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>
    <definedName hidden="1" localSheetId="0" name="_xlnm._FilterDatabase">Sheet1!$A$1:$I$3693</definedName>
    <definedName hidden="1" localSheetId="1" name="_xlnm._FilterDatabase">Sheet2!$A$1:$I$3693</definedName>
    <definedName hidden="1" localSheetId="0" name="Z_11878D48_0F7D_42C3_B639_9F320F28948E_.wvu.FilterData">Sheet1!$A$1:$I$3693</definedName>
  </definedNames>
  <calcPr/>
  <customWorkbookViews>
    <customWorkbookView activeSheetId="0" maximized="1" windowHeight="0" windowWidth="0" guid="{11878D48-0F7D-42C3-B639-9F320F28948E}" name="Filter 1"/>
  </customWorkbookViews>
</workbook>
</file>

<file path=xl/sharedStrings.xml><?xml version="1.0" encoding="utf-8"?>
<sst xmlns="http://schemas.openxmlformats.org/spreadsheetml/2006/main" count="48014" uniqueCount="5027">
  <si>
    <t>Product Title</t>
  </si>
  <si>
    <t>URL</t>
  </si>
  <si>
    <t>Brand</t>
  </si>
  <si>
    <t>Seller Name</t>
  </si>
  <si>
    <t>Marketplace</t>
  </si>
  <si>
    <t>Seller Type</t>
  </si>
  <si>
    <t>Location</t>
  </si>
  <si>
    <t>Sales Quantity</t>
  </si>
  <si>
    <t>Sales Revenue</t>
  </si>
  <si>
    <t>Bening's Diamond Serum / Serum Super Whitening</t>
  </si>
  <si>
    <t>Bening'S</t>
  </si>
  <si>
    <t>Bening's Official Shop</t>
  </si>
  <si>
    <t>Shopee</t>
  </si>
  <si>
    <t>Official Store</t>
  </si>
  <si>
    <t>KOTA JAMBI</t>
  </si>
  <si>
    <t>20805</t>
  </si>
  <si>
    <t>Bening's Skin Regeneration Serum | Serum Scar / Bopeng</t>
  </si>
  <si>
    <t>20,307</t>
  </si>
  <si>
    <t>Scarlett Whitening Mini Size Glowtening Serum</t>
  </si>
  <si>
    <t>Scarlett</t>
  </si>
  <si>
    <t>Scarlett Whitening Official Shop</t>
  </si>
  <si>
    <t>KOTA JAKARTA BARAT</t>
  </si>
  <si>
    <t>20,231</t>
  </si>
  <si>
    <t>Scarlett Whitening Paket 5 Item Brightly Series</t>
  </si>
  <si>
    <t>16,623</t>
  </si>
  <si>
    <t>Scarlett Whitening Brightly Your Skin Special Package</t>
  </si>
  <si>
    <t>14,342</t>
  </si>
  <si>
    <t>Scarlett Whitening Acne Care Special Package</t>
  </si>
  <si>
    <t>13,173</t>
  </si>
  <si>
    <t>Scarlett Whitening Brightly Care Package</t>
  </si>
  <si>
    <t>13,079</t>
  </si>
  <si>
    <t>Scarlett Whitening Acne Care Package</t>
  </si>
  <si>
    <t>12,651</t>
  </si>
  <si>
    <t>TRUEVE NIACINAMIDE 10% &amp; CERAMIDE Brightening Serum 30 ML , Serum Wajah</t>
  </si>
  <si>
    <t>Trueve</t>
  </si>
  <si>
    <t xml:space="preserve">Trueve Official Shop </t>
  </si>
  <si>
    <t>KAB. TANGERANG</t>
  </si>
  <si>
    <t>11,035</t>
  </si>
  <si>
    <t>Scarlett Whitening Paket 5 Item Acne Series</t>
  </si>
  <si>
    <t>10,745</t>
  </si>
  <si>
    <t>Scarlett Whitening Acne Serum</t>
  </si>
  <si>
    <t>10,226</t>
  </si>
  <si>
    <t>Scarlett Whitening Triple Combo Brightly Facial Care</t>
  </si>
  <si>
    <t>9,065</t>
  </si>
  <si>
    <t>SOMETHINC 5% Niacinamide + Moisture Sabi Beet Serum + FREE BAKUCHIOL 5 ML</t>
  </si>
  <si>
    <t>Somethinc</t>
  </si>
  <si>
    <t>SOMETHINC Official Shop</t>
  </si>
  <si>
    <t>8,085</t>
  </si>
  <si>
    <t>Scarlett Whitening Triple Combo Acne Facial Care</t>
  </si>
  <si>
    <t>8,074</t>
  </si>
  <si>
    <t>Scarlett Whitening Glowtening Serum</t>
  </si>
  <si>
    <t>7,093</t>
  </si>
  <si>
    <t>SOMETHINC 10% Niacinamide + Moisture Sabi Beet Max Brightening Serum + FREE BAKUCHIOL 5 ML</t>
  </si>
  <si>
    <t>7,044</t>
  </si>
  <si>
    <t>White Story Paket Wajah Brightening &amp; Serum</t>
  </si>
  <si>
    <t>White Story</t>
  </si>
  <si>
    <t>White Story Official Shop</t>
  </si>
  <si>
    <t>6,799</t>
  </si>
  <si>
    <t>Whitelab Brightening Face Serum</t>
  </si>
  <si>
    <t>Whitelab</t>
  </si>
  <si>
    <t>Whitelab Official Shop</t>
  </si>
  <si>
    <t>KOTA JAKARTA UTARA</t>
  </si>
  <si>
    <t>6,743</t>
  </si>
  <si>
    <t>Scarlett Whitening Brightly Ever After Serum</t>
  </si>
  <si>
    <t>6,549</t>
  </si>
  <si>
    <t>TRUEVE BHA &amp; CICA Acne Serum 30 ML, Serum Wajah</t>
  </si>
  <si>
    <t>5,930</t>
  </si>
  <si>
    <t>SOMETHINC HYALuronic9+ Advanced + B5 Serum + FREE BAKUCHIOL 5 ML</t>
  </si>
  <si>
    <t>5,766</t>
  </si>
  <si>
    <t>Dear Me Beauty Skin Barrier Water Cream</t>
  </si>
  <si>
    <t>Dear Me Beauty</t>
  </si>
  <si>
    <t>Dear Me Beauty Official Shop</t>
  </si>
  <si>
    <t>5,577</t>
  </si>
  <si>
    <t>Garnier Light Complete Serum + Day &amp; Night Cream - Rangkaian Garnier Light Complete Serum &amp; Cream</t>
  </si>
  <si>
    <t>Garnier</t>
  </si>
  <si>
    <t>Garnier Indonesia Official Shop</t>
  </si>
  <si>
    <t>5,460</t>
  </si>
  <si>
    <t>MSBB - Lacoco Dark Spot Essence</t>
  </si>
  <si>
    <t>My Skin But Better</t>
  </si>
  <si>
    <t>My Skin But Better Official Shop</t>
  </si>
  <si>
    <t>KOTA TANGERANG SELATAN</t>
  </si>
  <si>
    <t>5,275</t>
  </si>
  <si>
    <t>Avoskin Your Skin Bae Alpha Arbutin 3% + Grapeseed</t>
  </si>
  <si>
    <t>Avoskin</t>
  </si>
  <si>
    <t>Avoskin Official Shop</t>
  </si>
  <si>
    <t>KAB. SLEMAN</t>
  </si>
  <si>
    <t>5,076</t>
  </si>
  <si>
    <t>Garnier Light Complete Vitamin C 30x Booster Serum Skin Care - 30 ml x 2 pcs ( Cerahkan Noda Hitam )</t>
  </si>
  <si>
    <t>4,951</t>
  </si>
  <si>
    <t>Aura Bright - Glutathione Vit C (Serum)</t>
  </si>
  <si>
    <t>Aura Bright</t>
  </si>
  <si>
    <t>Aura Bright Official Shop</t>
  </si>
  <si>
    <t>4,716</t>
  </si>
  <si>
    <t>Avoskin Miraculous Retinol Ampoule</t>
  </si>
  <si>
    <t>4,655</t>
  </si>
  <si>
    <t>Ms Glow whitening Gold Serum bright and healthy skin</t>
  </si>
  <si>
    <t>Ms Glow</t>
  </si>
  <si>
    <t>MS Glow Indonesia Official Shop</t>
  </si>
  <si>
    <t>KOTA JAKARTA SELATAN</t>
  </si>
  <si>
    <t>4,597</t>
  </si>
  <si>
    <t>Avoskin Perfect Hydrating Treatment Essence 100ml</t>
  </si>
  <si>
    <t>4,550</t>
  </si>
  <si>
    <t>Ms glow Serum  LUMINOUS moist &amp; bright</t>
  </si>
  <si>
    <t>4,287</t>
  </si>
  <si>
    <t>L'Oreal Paris Revitalift Serum Radiance Booster Kit (Untuk Kulit Lembap dan Glowing)</t>
  </si>
  <si>
    <t>L'Oreal</t>
  </si>
  <si>
    <t>L'Oreal Paris Indonesia Official Shop</t>
  </si>
  <si>
    <t>4,280</t>
  </si>
  <si>
    <t>L'Oreal Paris Revitalift Crystal Micro Essence Water Serum Skin Care - 65 ml</t>
  </si>
  <si>
    <t>4,192</t>
  </si>
  <si>
    <t>Ms glow Deep TREATMENT ESSENCE</t>
  </si>
  <si>
    <t>4,044</t>
  </si>
  <si>
    <t>Implora Promo Buy 3 Serum Wajah 20ML Free Pouch</t>
  </si>
  <si>
    <t>Implora</t>
  </si>
  <si>
    <t>Implora Official Shop</t>
  </si>
  <si>
    <t>KAB. SIDOARJO</t>
  </si>
  <si>
    <t>3,883</t>
  </si>
  <si>
    <t>SOMETHINC Bakuchiol Skinpair Oil Serum 20ml + FREE BAKUCHIOL 5 ML</t>
  </si>
  <si>
    <t>3,856</t>
  </si>
  <si>
    <t>Phyto Power Essence Biobeautylab 50ml</t>
  </si>
  <si>
    <t>Bio Beauty Lab</t>
  </si>
  <si>
    <t>Bio Beauty Lab Official Shop</t>
  </si>
  <si>
    <t>3,749</t>
  </si>
  <si>
    <t>Somethinc Age Don't Care Exclusive Bundle</t>
  </si>
  <si>
    <t>3,609</t>
  </si>
  <si>
    <t>SOMETHINC Repair Your Skinbarrier</t>
  </si>
  <si>
    <t>3,599</t>
  </si>
  <si>
    <t>[9.9 DISC UP TO 68%] YOU Golden Age Refining Serum 20ml</t>
  </si>
  <si>
    <t>Y.O.U</t>
  </si>
  <si>
    <t>YOU Beauty Official Store</t>
  </si>
  <si>
    <t>KOTA TANGERANG</t>
  </si>
  <si>
    <t>3,551</t>
  </si>
  <si>
    <t>MS GLOW Lifting Serum</t>
  </si>
  <si>
    <t>3,354</t>
  </si>
  <si>
    <t>[GIFT] ElsheSkin Serum Sample 3ml</t>
  </si>
  <si>
    <t>ElsheSkin</t>
  </si>
  <si>
    <t>ElsheSkin Official Shop</t>
  </si>
  <si>
    <t>3,206</t>
  </si>
  <si>
    <t>Bio Beauty Lab Bundling Phyto &amp; 10ml Luxurious</t>
  </si>
  <si>
    <t>3,087</t>
  </si>
  <si>
    <t>SOMETHINC BRIGHT SKINPAIR (Bakuchiol &amp; 10% Niacinamide Sabi 20ml)</t>
  </si>
  <si>
    <t>3,046</t>
  </si>
  <si>
    <t>SOMETHINC SUPPLE POWER Hyaluronic9+ Onsen Essence Toner + FREE BAKUCHIOL 5 ML</t>
  </si>
  <si>
    <t>2,829</t>
  </si>
  <si>
    <t>Whitelab Acne Calming Serum</t>
  </si>
  <si>
    <t>2,787</t>
  </si>
  <si>
    <t>La Roche Posay Hyalu B5 50ml Bundle +  FREE Kerastase</t>
  </si>
  <si>
    <t>La Roche-Posay</t>
  </si>
  <si>
    <t>La Roche Posay Official Shop</t>
  </si>
  <si>
    <t>2,782</t>
  </si>
  <si>
    <t>TRUEVE VITAMIN C &amp; CERAMIDE Brightening Serum 30 ML, Serum Wajah</t>
  </si>
  <si>
    <t>2,761</t>
  </si>
  <si>
    <t>SOMETHINC CRIOUSLY 24K GOLD Essence + FREE BAKUCHIOL 5 ML</t>
  </si>
  <si>
    <t>2,735</t>
  </si>
  <si>
    <t>Avoskin Miraculous Refining Serum</t>
  </si>
  <si>
    <t>2,685</t>
  </si>
  <si>
    <t>Everwhite Brightening Essence Serum - ChromaBright</t>
  </si>
  <si>
    <t>Everwhite</t>
  </si>
  <si>
    <t>Everwhite Official Shop</t>
  </si>
  <si>
    <t>2,671</t>
  </si>
  <si>
    <t>SOMETHINC 5% Niacinamide Barrier Serum + FREE BAKUCHIOL 5 ML</t>
  </si>
  <si>
    <t>2,665</t>
  </si>
  <si>
    <t>Scarlett Whitening Brightly Kit Package</t>
  </si>
  <si>
    <t>2,656</t>
  </si>
  <si>
    <t>La Roche Posay Hyalu Serum Bundle BUY 60ML GET 120ML - FREE GIFTS Senilai Rp 1,680,000</t>
  </si>
  <si>
    <t>2,649</t>
  </si>
  <si>
    <t>Scarlett Whitening Acne Kit Package</t>
  </si>
  <si>
    <t>2,634</t>
  </si>
  <si>
    <t>Wardah Lightening Serum Ampoule 30 ml - Serum dengan 10X Advanced Niacinamide dan Bisabolol</t>
  </si>
  <si>
    <t>Wardah</t>
  </si>
  <si>
    <t>Wardah Official Shop</t>
  </si>
  <si>
    <t>2,620</t>
  </si>
  <si>
    <t>L'Oreal Paris Revitalift Hyaluronic Acid Serum Skin Care (Untuk Kulit Lembap Tampak Muda Bercahaya)</t>
  </si>
  <si>
    <t>2,580</t>
  </si>
  <si>
    <t>Avoskin Your Skin Bae Marine Collagen 10% + Ginseng Root</t>
  </si>
  <si>
    <t>2,551</t>
  </si>
  <si>
    <t>SOMETHINC 10% Niacinamide Barrier Serum + FREE BAKUCHIOL 5 ML</t>
  </si>
  <si>
    <t>2,396</t>
  </si>
  <si>
    <t>Avoskin Your Skin Bae Vitamin C 3% + Niacinamide 2% + Mandarin Orange Fruit Extract Serum</t>
  </si>
  <si>
    <t>2,338</t>
  </si>
  <si>
    <t>Erha Truwhite VIT C &amp; Peptides Brightening Serum 20 mL - Serum Pencerah Wajah</t>
  </si>
  <si>
    <t>Erha</t>
  </si>
  <si>
    <t>Erha Official Store</t>
  </si>
  <si>
    <t>2,289</t>
  </si>
  <si>
    <t>Avoskin Perfect Hydrating Treatment Essence 30ml - Travel Size</t>
  </si>
  <si>
    <t>2,263</t>
  </si>
  <si>
    <t>Garnier Light Complete Daily Kit - Krim Pagi dan Malam (Untuk Kulit Cerah Cepat)</t>
  </si>
  <si>
    <t>2,252</t>
  </si>
  <si>
    <t>Bening's Ultimate Serum</t>
  </si>
  <si>
    <t>2,200</t>
  </si>
  <si>
    <t>MS glow ACNE Serum</t>
  </si>
  <si>
    <t>2,190</t>
  </si>
  <si>
    <t>Garnier Sakura White Hyaluron 30x Booster Serum Skin Care-30 ml x 2 pcs (Kulit Glowing Dalam 7 Hari)</t>
  </si>
  <si>
    <t>2,149</t>
  </si>
  <si>
    <t>Nutrishe Intensive Bright &amp; Glow Serum</t>
  </si>
  <si>
    <t>Nutrishe</t>
  </si>
  <si>
    <t>NUTRISHE Official Shop</t>
  </si>
  <si>
    <t>2,130</t>
  </si>
  <si>
    <t xml:space="preserve">Garnier Bright Complete Vitamin C 30x Booster Serum Skin Care ( Cepat Cerahkan Noda Hitam ):15 ml	</t>
  </si>
  <si>
    <t>2,121</t>
  </si>
  <si>
    <t>ElsheSkin Radiant Skin Serum</t>
  </si>
  <si>
    <t>2,117</t>
  </si>
  <si>
    <t>Garnier Sakura White Daily Kit - Krim Pagi dan Malam (Untuk Kulit Cerah Merona)</t>
  </si>
  <si>
    <t>2,065</t>
  </si>
  <si>
    <t>Garnier Sakura White Hyaluron 30x Booster Serum Skin Care - 30 ml [Untuk Kulit Glowing Dalam 7 Hari]</t>
  </si>
  <si>
    <t>2,038</t>
  </si>
  <si>
    <t>L’Oreal Paris White Perfect Clinical Essence (Vit C Serum / Niacinamide) Skin Care – 30 ml</t>
  </si>
  <si>
    <t>2,013</t>
  </si>
  <si>
    <t>Emina Bright Stuff Face Serum 30 ml - Serum Wajah Cerah Glowing</t>
  </si>
  <si>
    <t>Emina</t>
  </si>
  <si>
    <t>Emina Official Shop</t>
  </si>
  <si>
    <t>2,005</t>
  </si>
  <si>
    <t>Some By Mi Snail Truecica Miracle Repair Serum</t>
  </si>
  <si>
    <t>Somebymi</t>
  </si>
  <si>
    <t>Some By Mi Official Shop</t>
  </si>
  <si>
    <t>1,987</t>
  </si>
  <si>
    <t>SOMETHINC Salmon DNA + Marine Collagen Elixir + FREE BAKUCHIOL 5 ML</t>
  </si>
  <si>
    <t>1,983</t>
  </si>
  <si>
    <t>Everwhite Cica Soothing Serum</t>
  </si>
  <si>
    <t>1,894</t>
  </si>
  <si>
    <t>The Body Shop Drops Of Light Brigthening Serum 30ml</t>
  </si>
  <si>
    <t>The Body Shop</t>
  </si>
  <si>
    <t>The Body Shop Official</t>
  </si>
  <si>
    <t>1,858</t>
  </si>
  <si>
    <t>Scarlett Whitening Acne to Glow Mini Series</t>
  </si>
  <si>
    <t>1,852</t>
  </si>
  <si>
    <t>Scarlett Acne Serum</t>
  </si>
  <si>
    <t>Beauty by Shopee</t>
  </si>
  <si>
    <t>1,819</t>
  </si>
  <si>
    <t>[9.9 DISC UP TO 68%] YOU The Radiance White Nourishing + Serum 20ml</t>
  </si>
  <si>
    <t>Scarlett Whitening Brightly to Glow Mini Series</t>
  </si>
  <si>
    <t>1,793</t>
  </si>
  <si>
    <t>Azarine C White Lightening Serum 20ml</t>
  </si>
  <si>
    <t>Azarine</t>
  </si>
  <si>
    <t>Azarine Cosmetic Official Shop</t>
  </si>
  <si>
    <t>1,717</t>
  </si>
  <si>
    <t>TRUEVE Galactomyces &amp; Peptide Anti-Aging Serum 30 ML, Serum Wajah</t>
  </si>
  <si>
    <t>1,716</t>
  </si>
  <si>
    <t>Airnderm Aesthetic Radiant Serum (by AIRIN BEAUTY)</t>
  </si>
  <si>
    <t>Airnderm Aesthetic</t>
  </si>
  <si>
    <t>Airnderm Aesthetic Official Shop</t>
  </si>
  <si>
    <t>KOTA BANDUNG</t>
  </si>
  <si>
    <t>1,707</t>
  </si>
  <si>
    <t>Niacid by Slurp Laboratories Korea All in One Face Serum</t>
  </si>
  <si>
    <t>All In</t>
  </si>
  <si>
    <t>Slurp Official Shop</t>
  </si>
  <si>
    <t>1,692</t>
  </si>
  <si>
    <t>Scarlett Whitening Paket Reseller 48 Item</t>
  </si>
  <si>
    <t>1,615</t>
  </si>
  <si>
    <t>Bening's Brightening Night Cream (K1) | Cream Malam Pencerah dan Glowing</t>
  </si>
  <si>
    <t>1,613</t>
  </si>
  <si>
    <t>Hyalu B5 Serum 30ml Bundle -FREE Hyalu B5 10ml &amp; Uvidea Anthelios 50+ Spf Sunscreen 3ml Senilai 330K</t>
  </si>
  <si>
    <t>1,611</t>
  </si>
  <si>
    <t>Premiere Beaute Niacinamide Centella Serum Luminous White Glow Brightening Serum 30ml</t>
  </si>
  <si>
    <t>Premiere Beaute</t>
  </si>
  <si>
    <t>Premiere Beaute Official Store</t>
  </si>
  <si>
    <t>1,582</t>
  </si>
  <si>
    <t>Wardah Lightening Serum Ampoule 8 ml - Serum dengan 10X Advanced Niacinamide dan Bisabolol</t>
  </si>
  <si>
    <t>1,578</t>
  </si>
  <si>
    <t>La Roche Posay Hyalu B5 Anti-Aging Serum 30ml- Serum Hyaluronic Acid Kulit Sensitif/ Kering/ Kerutan</t>
  </si>
  <si>
    <t>1,575</t>
  </si>
  <si>
    <t>La Roche Posay Effaclar Salicylic Acid Serum 30ml - Serum Wajah Kulit Jerawat/ Berminyak</t>
  </si>
  <si>
    <t>1,561</t>
  </si>
  <si>
    <t>Bening's Brightening Night Cream (H) / (K2new) | Cream Malam Pencerah dan Glowing</t>
  </si>
  <si>
    <t>1,533</t>
  </si>
  <si>
    <t>NPURE Face Essence Centella Asiatica / Acne Care (Cica Series)</t>
  </si>
  <si>
    <t>Npure</t>
  </si>
  <si>
    <t>Npure Official Shop</t>
  </si>
  <si>
    <t>1,519</t>
  </si>
  <si>
    <t>Whitelab Granactive Retinoid Intensive Care Serum</t>
  </si>
  <si>
    <t>1,477</t>
  </si>
  <si>
    <t>Wardah Renew You Anti Aging Intensive Serum 17 ml - Serum Anti Aging Samarkan Garis Halus</t>
  </si>
  <si>
    <t>1,461</t>
  </si>
  <si>
    <t>MSBB - Avoskin Your Skin Bae Alpha Arbutin 3% + Grapeseed</t>
  </si>
  <si>
    <t>1,442</t>
  </si>
  <si>
    <t>Everwhite Niacinamide Brightening Serum</t>
  </si>
  <si>
    <t>1,440</t>
  </si>
  <si>
    <t>Safi Age Defy Anti Aging Youth Elixir Serum 15ml - Perawatan Wajah</t>
  </si>
  <si>
    <t>Safi</t>
  </si>
  <si>
    <t>Safi Official Shop</t>
  </si>
  <si>
    <t>1,383</t>
  </si>
  <si>
    <t>Sulwhasoo First Care - Best Seller Trial Kit</t>
  </si>
  <si>
    <t>Sulwhasoo</t>
  </si>
  <si>
    <t>Sulwhasoo Official Shop</t>
  </si>
  <si>
    <t>1,372</t>
  </si>
  <si>
    <t>Madame Gie Madame Serum - Skin Care Face Serum</t>
  </si>
  <si>
    <t>Madame Gie</t>
  </si>
  <si>
    <t>Madame Gie Official Shop</t>
  </si>
  <si>
    <t>1,329</t>
  </si>
  <si>
    <t>MAKE OVER Hydration Serum 33 ml - Hydrating Makeup Primer</t>
  </si>
  <si>
    <t>Make Over</t>
  </si>
  <si>
    <t>Make Over Official Shop</t>
  </si>
  <si>
    <t>1,314</t>
  </si>
  <si>
    <t>[innisfree] Green Tea Seed Serum, Niacinamide, Hyaluronic Acid, Hydration, Serum Wajah, Skincare</t>
  </si>
  <si>
    <t>Innisfree</t>
  </si>
  <si>
    <t>Innisfree Official Shop</t>
  </si>
  <si>
    <t>KOTA BEKASI</t>
  </si>
  <si>
    <t>1,307</t>
  </si>
  <si>
    <t>La Roche Posay Effaclar Acne Serum Routine -  FREE GIFTS senilai Rp 680,000</t>
  </si>
  <si>
    <t>1,295</t>
  </si>
  <si>
    <t>Sulwhasoo Concentrated Ginseng Renewing Serum Trial Kit</t>
  </si>
  <si>
    <t>1,293</t>
  </si>
  <si>
    <t>Azarine Anti Acne &amp; Brightening Serum 20ml</t>
  </si>
  <si>
    <t>1,292</t>
  </si>
  <si>
    <t>COSRX Advanced Snail Mucin 96 Power Essence Skin Care - 100 ML (Esense wajah untuk anti penuaan)</t>
  </si>
  <si>
    <t>Cosrx</t>
  </si>
  <si>
    <t>COSRX Indonesia Official Shop</t>
  </si>
  <si>
    <t>1,214</t>
  </si>
  <si>
    <t>Scarlett Brightly Ever After Serum</t>
  </si>
  <si>
    <t>1,213</t>
  </si>
  <si>
    <t>Garnier Bright Complete White Speed Serum Day Cream Extra SPF 36/PA+++ Skin Care - 50 ml</t>
  </si>
  <si>
    <t>1,177</t>
  </si>
  <si>
    <t>Whitelab Hydrating Face Essence</t>
  </si>
  <si>
    <t>1,153</t>
  </si>
  <si>
    <t>Dear Me Beauty 2% Salicylic Acid (BHA) + Lemon Extract Face Serum - 12ml</t>
  </si>
  <si>
    <t>1,105</t>
  </si>
  <si>
    <t>Olay Serum Wajah Regenerist Anti Aging Skincare 50ml</t>
  </si>
  <si>
    <t>Olay</t>
  </si>
  <si>
    <t>P&amp;G Official Store</t>
  </si>
  <si>
    <t>1,088</t>
  </si>
  <si>
    <t>Sulwhasoo First Care Activating Serum Amber Set</t>
  </si>
  <si>
    <t>1,073</t>
  </si>
  <si>
    <t>Garnier Sakura White Serum Day Cream SPF30/PA+++ Skin Care - 50 ml (Untuk Kulit Cerah Merona)</t>
  </si>
  <si>
    <t>1,063</t>
  </si>
  <si>
    <t>Ponds Bright Beauty Power Serum 30G</t>
  </si>
  <si>
    <t>Pond'S</t>
  </si>
  <si>
    <t>Unilever Indonesia Official Shop</t>
  </si>
  <si>
    <t>1,056</t>
  </si>
  <si>
    <t>Bio Beauty Lab Bundling Phyto &amp; 10ml Acne Treatment</t>
  </si>
  <si>
    <t>1,009</t>
  </si>
  <si>
    <t>YOU Golden Age Special Glowing Complete Bundle Free Gift</t>
  </si>
  <si>
    <t>994</t>
  </si>
  <si>
    <t>Trueve Paket Glowing Anti Jerawat</t>
  </si>
  <si>
    <t>971</t>
  </si>
  <si>
    <t>Wardah White Secret Intense Brightening Essence</t>
  </si>
  <si>
    <t>Watsons Indonesia Official Shop</t>
  </si>
  <si>
    <t>963</t>
  </si>
  <si>
    <t>Sulwhasoo First Care Activating Serum Trial Set</t>
  </si>
  <si>
    <t>958</t>
  </si>
  <si>
    <t>White Story Brightening Face Serum</t>
  </si>
  <si>
    <t>951</t>
  </si>
  <si>
    <t>SOMETHINC Holygrail Multipeptide Youth Elixir 20ml + FREE BAKUCHIOL 5 ML</t>
  </si>
  <si>
    <t>945</t>
  </si>
  <si>
    <t>Nacific Fresh Herb Origin Serum (50ml)</t>
  </si>
  <si>
    <t>Nacific</t>
  </si>
  <si>
    <t>Nacific Cosmetics Official Shop</t>
  </si>
  <si>
    <t>927</t>
  </si>
  <si>
    <t>Aish Darkspot Serum Korea Original Serum Penghilang Bekas Flek Hitam Atau Noda Hitam Pada Wajah</t>
  </si>
  <si>
    <t>Aish Serum Korea</t>
  </si>
  <si>
    <t>Prestige Beauty</t>
  </si>
  <si>
    <t>KOTA SURABAYA</t>
  </si>
  <si>
    <t>903</t>
  </si>
  <si>
    <t>Avoskin Your Skin Bae Azeclair 10% + Kombucha 3% + Niacinamide 2,5% Vaccine Serum</t>
  </si>
  <si>
    <t>893</t>
  </si>
  <si>
    <t>Garnier Light Complete Serum and Day Cream Package - Untuk Kulit Cerah Cepat</t>
  </si>
  <si>
    <t>887</t>
  </si>
  <si>
    <t>Wardah Lightening Serum Ampoule 5x5 ml - Serum dengan 10X Advanced Niacinamide dan Bisabolol</t>
  </si>
  <si>
    <t>886</t>
  </si>
  <si>
    <t>Avoskin Hydrating Treatment Essence</t>
  </si>
  <si>
    <t>857</t>
  </si>
  <si>
    <t>L'Oreal Paris Revitalift Crystal Micro Essence  Serum Skin Care - 65 ml &amp; Clinical Essence - 30 ml</t>
  </si>
  <si>
    <t>Erha Truwhite 3% TXA &amp; Hexyl Resorcinol Active Glow Booster 15ml - Booster Pencerah</t>
  </si>
  <si>
    <t>849</t>
  </si>
  <si>
    <t>Laneige PR Youth Regenerator 40ml (OL21)</t>
  </si>
  <si>
    <t>Laneige</t>
  </si>
  <si>
    <t>Laneige Official Shop</t>
  </si>
  <si>
    <t>845</t>
  </si>
  <si>
    <t>Teratu Beauty Skin Barrier Serum</t>
  </si>
  <si>
    <t>Teratu</t>
  </si>
  <si>
    <t>Teratu Beauty Official Shop</t>
  </si>
  <si>
    <t>KAB. BANDUNG</t>
  </si>
  <si>
    <t>816</t>
  </si>
  <si>
    <t>Erha Age Corrector Peptides &amp; Soya Phytoplacenta Serum 20 mL - Serum Anti Penuaan</t>
  </si>
  <si>
    <t>790</t>
  </si>
  <si>
    <t>Bloomka Bakuchiol+Vitamin B3 Facial Treatment Serum(Brightening, acne)</t>
  </si>
  <si>
    <t>Bloomka</t>
  </si>
  <si>
    <t>Bloomka Official Shop</t>
  </si>
  <si>
    <t>787</t>
  </si>
  <si>
    <t>NUTRISHE Intensive Bright &amp; Glow Serum</t>
  </si>
  <si>
    <t>Yepposkin Official Shop</t>
  </si>
  <si>
    <t>KOTA YOGYAKARTA</t>
  </si>
  <si>
    <t>758</t>
  </si>
  <si>
    <t>L'Oreal Paris Revitalift Crystal Micro Essence Water Serum Skin Care - 130 ml</t>
  </si>
  <si>
    <t>751</t>
  </si>
  <si>
    <t>Avoskin Your Skin Bae Lactic Acid 10% + Kiwi Fruit 5% + Niacinamide 2,5% High Dose Serum</t>
  </si>
  <si>
    <t>744</t>
  </si>
  <si>
    <t>Ponds Age Miracle Serum Wajah Retinol Youthful Glow 30 Ml - Anti Aging Serum, Anti Wrinkle</t>
  </si>
  <si>
    <t>741</t>
  </si>
  <si>
    <t>Laneige Clear-C Peeling Serum 80ml (OL21)</t>
  </si>
  <si>
    <t>727</t>
  </si>
  <si>
    <t>MSBB - Avoskin Your Skin Bae Niacinamide 12% + Centella Asiatica</t>
  </si>
  <si>
    <t>704</t>
  </si>
  <si>
    <t>Somethinc 5% Niacinamide + Moisture Sabi Beet Serum 20ml</t>
  </si>
  <si>
    <t>701</t>
  </si>
  <si>
    <t>Wardah C-Defense Serum 17 ml - HiGrade Vitamin C yang Mencerahkan dan Antioksidan</t>
  </si>
  <si>
    <t>700</t>
  </si>
  <si>
    <t>Dear Me Beauty 10% Vitamin C + Orange Extract Face Serum - 32ml</t>
  </si>
  <si>
    <t>696</t>
  </si>
  <si>
    <t>L'Oreal Paris Revitalift Crystal Micro Essence  Serum Skin Care - 130 ml x2 Pcs</t>
  </si>
  <si>
    <t>693</t>
  </si>
  <si>
    <t>Bening's Acne Serum</t>
  </si>
  <si>
    <t>691</t>
  </si>
  <si>
    <t>Safi Age Defy Anti Aging Gold Water Essence 30 ml - Perawatan Wajah</t>
  </si>
  <si>
    <t>679</t>
  </si>
  <si>
    <t>Safi Age Defy Anti Aging Concentrated Serum 20ml - Perawatan Wajah</t>
  </si>
  <si>
    <t>655</t>
  </si>
  <si>
    <t>Glowlabs Retinol Cica Night Serum (Mild and Powerful Anti-Aging Skincare)</t>
  </si>
  <si>
    <t>Glowlabs</t>
  </si>
  <si>
    <t>Glowlabs Official Shop</t>
  </si>
  <si>
    <t>KOTA SURAKARTA (SOLO)</t>
  </si>
  <si>
    <t>638</t>
  </si>
  <si>
    <t>Wardah Hydra Rose Micro Gel Serum 30 ml - Serum untuk Kulit Kering dengan Rose Oil</t>
  </si>
  <si>
    <t>637</t>
  </si>
  <si>
    <t>Ponds Age Miracle Double Action Retinol Serum Anti Aging 15 Ml</t>
  </si>
  <si>
    <t>633</t>
  </si>
  <si>
    <t>Some By Mi Snail Truecica Miracle Repair Cream</t>
  </si>
  <si>
    <t>632</t>
  </si>
  <si>
    <t>Premiere Beaute Niacinamide Centella Toner Luminous White Glow Brightening Essence Toner 120ml</t>
  </si>
  <si>
    <t>630</t>
  </si>
  <si>
    <t>Sulwhasoo First Care Activating Serum 60ml (Limited Set)</t>
  </si>
  <si>
    <t>627</t>
  </si>
  <si>
    <t>ElsheSkin Radiant Supple Serum</t>
  </si>
  <si>
    <t>618</t>
  </si>
  <si>
    <t>Azarine Miraclear Herbal Peeling Serum AHA BHA 20ml</t>
  </si>
  <si>
    <t>617</t>
  </si>
  <si>
    <t>Laneige Clear C Booster Serum Set (OL21)</t>
  </si>
  <si>
    <t>611</t>
  </si>
  <si>
    <t>Purivera Sea Ceramide Serum Bakuchiol 2% Ceramide 3% Buckthorn Anti Aging Skin Barrier Retinol Alt</t>
  </si>
  <si>
    <t>Purivera</t>
  </si>
  <si>
    <t>Purivera Botanicals Official Shop</t>
  </si>
  <si>
    <t>605</t>
  </si>
  <si>
    <t>[Official Distributor] Klairs: Freshly Juiced Vitamin Drop 35ml</t>
  </si>
  <si>
    <t>Klairs</t>
  </si>
  <si>
    <t>Klairs Official Shop</t>
  </si>
  <si>
    <t>597</t>
  </si>
  <si>
    <t>Some By Mi Yuja Niacin 30 Days Blemish Care Serum</t>
  </si>
  <si>
    <t>594</t>
  </si>
  <si>
    <t>MSBB - Avoskin Miraculous Retinol Ampoule</t>
  </si>
  <si>
    <t>593</t>
  </si>
  <si>
    <t>La Roche Posay Effaclar Acne Serum 30ml Bundle -  FREE Effaclar Duo+ 15ml &amp; Anthelios Fluid 3ml</t>
  </si>
  <si>
    <t>SOMETHINC LEVEL 1% Retinol 20ml</t>
  </si>
  <si>
    <t>BEAUTYHAUL Official Shop</t>
  </si>
  <si>
    <t>585</t>
  </si>
  <si>
    <t>Aish Brightening Serum / Serum untuk mencerahkan dan melembabkan kulit wajah 15ml</t>
  </si>
  <si>
    <t>Aish Indonesia Official Shop</t>
  </si>
  <si>
    <t>581</t>
  </si>
  <si>
    <t>Mamonde Blossoming Red Serum (Birthday Set)</t>
  </si>
  <si>
    <t>Mamonde</t>
  </si>
  <si>
    <t>Mamonde Official Shop</t>
  </si>
  <si>
    <t>578</t>
  </si>
  <si>
    <t>Airnderm Aesthetic Glass Skin Serum (by AIRIN BEAUTY)</t>
  </si>
  <si>
    <t>Glass Skin</t>
  </si>
  <si>
    <t>574</t>
  </si>
  <si>
    <t>Olay Serum Wajah Total Effects 7 in 1 Anti Aging Skincare 50ml</t>
  </si>
  <si>
    <t>565</t>
  </si>
  <si>
    <t>Benton Snail Bee High Content Essence 60ml</t>
  </si>
  <si>
    <t>Benton</t>
  </si>
  <si>
    <t>Benton Official Shop</t>
  </si>
  <si>
    <t>564</t>
  </si>
  <si>
    <t>Laneige Clear-C Peeling Serum 80ml</t>
  </si>
  <si>
    <t>553</t>
  </si>
  <si>
    <t>[innisfree] Brightening Pore Serum 30ML - Serum Wajah, Perawatan Wajah</t>
  </si>
  <si>
    <t>[innisfree] Green Tea Seed Serum Deluxe Bundle</t>
  </si>
  <si>
    <t>544</t>
  </si>
  <si>
    <t>Safi Age Defy Anti Aging Gold Water Essence 100ml - Perawatan Wajah</t>
  </si>
  <si>
    <t>539</t>
  </si>
  <si>
    <t>Serum Kinclong Ertos</t>
  </si>
  <si>
    <t>Erto'S</t>
  </si>
  <si>
    <t>ERTO`S Official Shop</t>
  </si>
  <si>
    <t>KOTA JAKARTA TIMUR</t>
  </si>
  <si>
    <t>Tranexamic Acid, Hyaluronic Acid, Vitamin C Serum Pour Maharis Clinic</t>
  </si>
  <si>
    <t>Votre Peau</t>
  </si>
  <si>
    <t>Votre Peau Official Shop</t>
  </si>
  <si>
    <t>537</t>
  </si>
  <si>
    <t>PYUNKANG YUL Moisture Serum 100ml</t>
  </si>
  <si>
    <t>Pyunkang Yul</t>
  </si>
  <si>
    <t>Pyunkang Yul Official Shop</t>
  </si>
  <si>
    <t>522</t>
  </si>
  <si>
    <t>[innisfree] Green Tea Seed Serum 160ml Niacinamide, Hyaluronic Acid, Hydration, Serum Wajah Skincare</t>
  </si>
  <si>
    <t>514</t>
  </si>
  <si>
    <t>L'Oreal Paris Your First Skin Care Kit</t>
  </si>
  <si>
    <t>512</t>
  </si>
  <si>
    <t>Dear Me Beauty 10% Niacinamide + Watermelon Extract Face Serum - 32ml</t>
  </si>
  <si>
    <t>511</t>
  </si>
  <si>
    <t>Garnier Sakura White Serum + Day Cream + Night Cream - Rangkaian Garnier Sakura White Serum &amp; Cream</t>
  </si>
  <si>
    <t>505</t>
  </si>
  <si>
    <t>La Roche Posay Hyalu B5 Anti-Aging Serum 50ml- Serum Hyaluronic Acid Kulit Sensitif/ Kering/ Kerutan</t>
  </si>
  <si>
    <t>504</t>
  </si>
  <si>
    <t>Aura Bright - Whitening Serum For Acne</t>
  </si>
  <si>
    <t>L'Oreal Paris Revitalift Daily Intensive Serum Skin Care - 30ml (Untuk Kulit Cerah Tampak Muda)</t>
  </si>
  <si>
    <t>496</t>
  </si>
  <si>
    <t>COSRX Advanced Snail Mucin 96 Power Essence - 100 ml - Esens Lendir Siput - Skincare</t>
  </si>
  <si>
    <t>Edit by Sociolla Official</t>
  </si>
  <si>
    <t>494</t>
  </si>
  <si>
    <t>AVOSKIN Your Skin Bae Alpha Arbutin 3% + Grapeseed 30ml</t>
  </si>
  <si>
    <t>490</t>
  </si>
  <si>
    <t>Aish Darkspot Serum (menyamarkan flek hitam) 15ml</t>
  </si>
  <si>
    <t>488</t>
  </si>
  <si>
    <t>Garnier Sakura Glow Hyaluron Water - Glow Essence Skin Care - 30ml (Untuk Kulit Glowing Dari Dalam)</t>
  </si>
  <si>
    <t>486</t>
  </si>
  <si>
    <t>LACOCO Darkspot Essence 12ml</t>
  </si>
  <si>
    <t>Lacoco En Nature</t>
  </si>
  <si>
    <t>474</t>
  </si>
  <si>
    <t>Some By Mi Aha Bha Pha 30 Days Miracle Serum</t>
  </si>
  <si>
    <t>466</t>
  </si>
  <si>
    <t>Buy Pond's Triple Glow Serum 30ml + Triple Glow Serum Sheet Mask Free Serum Burst Cream 20gr</t>
  </si>
  <si>
    <t>462</t>
  </si>
  <si>
    <t>Dear Me Beauty 2% Salicylic Acid (BHA) + Lemon Extract Face Serum - 32ml</t>
  </si>
  <si>
    <t>460</t>
  </si>
  <si>
    <t>LUNICA Bundle | Bright Bloom Serum &amp; Cream</t>
  </si>
  <si>
    <t>Lunica</t>
  </si>
  <si>
    <t>LUNICA Official Shop</t>
  </si>
  <si>
    <t>456</t>
  </si>
  <si>
    <t>VAVL Vightne Blemish Serum 15ml</t>
  </si>
  <si>
    <t>VIGHTNE</t>
  </si>
  <si>
    <t>449</t>
  </si>
  <si>
    <t>Noera Acne Fight Serum | Serum Wajah Acne Kulit Berjerawat Moisturizer</t>
  </si>
  <si>
    <t>Noera</t>
  </si>
  <si>
    <t>Noera By Reisha Official Shop</t>
  </si>
  <si>
    <t>448</t>
  </si>
  <si>
    <t>Laneige White Dew Ampoule Essence 40ml (OL21)</t>
  </si>
  <si>
    <t>439</t>
  </si>
  <si>
    <t>Skin Game Skin Barricade Serum 30 gr</t>
  </si>
  <si>
    <t>Skin Game</t>
  </si>
  <si>
    <t>Skin Game Official Shop</t>
  </si>
  <si>
    <t>MSBB - Avoskin Your Skin Bae Marine Collagen 10% + Ginseng Root</t>
  </si>
  <si>
    <t>432</t>
  </si>
  <si>
    <t>Garnier Sakura White Day Treatment Skin Care (Perawatan Siang Hari Untuk Kulit Cerah Merona)</t>
  </si>
  <si>
    <t>430</t>
  </si>
  <si>
    <t>Nature Reaction Wajah Glowing Putih Bersih Bebas Jerawat Kusam Bintik Hitam Terdaftar BPOM Original</t>
  </si>
  <si>
    <t>Nature Reaction</t>
  </si>
  <si>
    <t>Adera Official Shop</t>
  </si>
  <si>
    <t>KOTA JAKARTA PUSAT</t>
  </si>
  <si>
    <t>429</t>
  </si>
  <si>
    <t>Some By Mi Propolis B5 Glow Barrier Calming Serum (Essence)</t>
  </si>
  <si>
    <t>428</t>
  </si>
  <si>
    <t>Nacific Phyto Niacin Whitening Essence (50ml)</t>
  </si>
  <si>
    <t>422</t>
  </si>
  <si>
    <t>ADLEEVA by ADEEVA Flawless Brightening Serum</t>
  </si>
  <si>
    <t>Adleeva</t>
  </si>
  <si>
    <t>Adleeva Official Shop</t>
  </si>
  <si>
    <t>KOTA CIMAHI</t>
  </si>
  <si>
    <t>421</t>
  </si>
  <si>
    <t>Pond'S Age Miracle Mini Serum 15 Ml + Serum Sheet Mask + Eye Mask Free Eye Cream 15 Ml</t>
  </si>
  <si>
    <t>419</t>
  </si>
  <si>
    <t>Wardah Crystallure Supreme Activating Booster Essence 30 ml - Pelembab Wajah</t>
  </si>
  <si>
    <t>Real White Niacinamide 10% + Collagen Brightening Face Serum</t>
  </si>
  <si>
    <t>Realwhite</t>
  </si>
  <si>
    <t>REALWHITE Official Shop</t>
  </si>
  <si>
    <t>Olay Serum Wajah White Radiance Light Perfecting Essence Pencerah Skincare 30ml</t>
  </si>
  <si>
    <t>417</t>
  </si>
  <si>
    <t>AVOSKIN YOUR SKIN BAE SERIES ALPHA ARBUTIN 3% + GRAPESEED BRIGHTENING AND ANTIOXIDANT SERUM 30 ML</t>
  </si>
  <si>
    <t>VitaminDiskon Official Shop</t>
  </si>
  <si>
    <t>410</t>
  </si>
  <si>
    <t>L'Oreal Paris Revitalift Crystal Micro Essence Water Serum Skin Care - 22 ml</t>
  </si>
  <si>
    <t>408</t>
  </si>
  <si>
    <t>Avoskin Your Skin Bae Alpha Arbutin 3% + Grapeseed 30ml</t>
  </si>
  <si>
    <t>Avoskin Perfect Hydrating Treatment Essence 100ml Special Edition</t>
  </si>
  <si>
    <t>Garnier Light Complete Vitamin C 30x Booster Serum Skin Care - 15 ml ( Cepat Cerahkan Noda Hitam )</t>
  </si>
  <si>
    <t>405</t>
  </si>
  <si>
    <t>Garnier Sakura White Pinkish Radiance Essence Lotion Skin Care - 120ml</t>
  </si>
  <si>
    <t>402</t>
  </si>
  <si>
    <t>[LEBIH HEMAT] Olay Regenerist Ritual Serum Wajah Anti Aging Skincare 50ml - Paket isi 2</t>
  </si>
  <si>
    <t>400</t>
  </si>
  <si>
    <t>SNP PREP PEPTARONIC SERUM</t>
  </si>
  <si>
    <t>SNP</t>
  </si>
  <si>
    <t>SNP Official Shop</t>
  </si>
  <si>
    <t>398</t>
  </si>
  <si>
    <t>Premiere Beaute Skincare Luminous White Skincare Series Serum Essence Toner Facial Wash Night Cream</t>
  </si>
  <si>
    <t>396</t>
  </si>
  <si>
    <t>Aish Acne Care Serum / Serum untuk merawat kulit berjerawat 15ml</t>
  </si>
  <si>
    <t>394</t>
  </si>
  <si>
    <t>Cleora Beauty Deep Hydrating Essence</t>
  </si>
  <si>
    <t>Cleora Beauty</t>
  </si>
  <si>
    <t>Cleora Beauty Official Shop</t>
  </si>
  <si>
    <t>392</t>
  </si>
  <si>
    <t>Bening's PORE SERUM / Serum Pengecil Pori-Pori</t>
  </si>
  <si>
    <t>391</t>
  </si>
  <si>
    <t>L'Occitane Immortelle Overnight Reset Serum [30 ML]</t>
  </si>
  <si>
    <t>L'Occitane</t>
  </si>
  <si>
    <t>L'Occitane Official Shop</t>
  </si>
  <si>
    <t>390</t>
  </si>
  <si>
    <t>La Roche Posay Acne Fighter Serum Bundle</t>
  </si>
  <si>
    <t>389</t>
  </si>
  <si>
    <t>Safi White Expert Ultimate Essence Serum 20ml - Perawatan Wajah</t>
  </si>
  <si>
    <t>385</t>
  </si>
  <si>
    <t>MSBB - Avoskin Your Skin Bae Vitamin C 3% + Niacinamide 2% + Mandarin Orange Fruit Extract</t>
  </si>
  <si>
    <t>380</t>
  </si>
  <si>
    <t>Everwhite Peptide Anti Aging Serum</t>
  </si>
  <si>
    <t>379</t>
  </si>
  <si>
    <t>Dove Deodorant Dry Serum Underarm Care Regenerate Care Collagen And Vitamin B3 50Ml</t>
  </si>
  <si>
    <t>Dove</t>
  </si>
  <si>
    <t>374</t>
  </si>
  <si>
    <t>Wardah Renew You Treatment Essence 100 ml - Hydrating Toner Anti Aging dengan Apple PhytoCell Extrac</t>
  </si>
  <si>
    <t>372</t>
  </si>
  <si>
    <t>Olay Serum Wajah RETINOL 24 Anti Aging Skincare 30ml</t>
  </si>
  <si>
    <t>367</t>
  </si>
  <si>
    <t>Ella Skincare Glass Skin Serum Whitening</t>
  </si>
  <si>
    <t>Ella Official Shop</t>
  </si>
  <si>
    <t>Olay White Radiance Niacinamide + Vitamin C Super Serum Brightening Skincare 30ML</t>
  </si>
  <si>
    <t>364</t>
  </si>
  <si>
    <t>La Roche Posay Effaclar Serum Bundle  + FREE Kerastase</t>
  </si>
  <si>
    <t>362</t>
  </si>
  <si>
    <t>MSBB - Nutrishe Intensive Bright &amp; Glow Serum</t>
  </si>
  <si>
    <t>360</t>
  </si>
  <si>
    <t>Azarine Revitalizing Anti Aging Serum 20ml</t>
  </si>
  <si>
    <t>359</t>
  </si>
  <si>
    <t>Madame Gie Madame Serum</t>
  </si>
  <si>
    <t>Adleeva - Acne Fighter Serum</t>
  </si>
  <si>
    <t>358</t>
  </si>
  <si>
    <t>Erto's Pore Minimizer Serum</t>
  </si>
  <si>
    <t>356</t>
  </si>
  <si>
    <t>THE BATH BOX Brassica Lightening Serum With Niacinamide Whitening Serum</t>
  </si>
  <si>
    <t>The Bath Box</t>
  </si>
  <si>
    <t>The Bath Box Official Shop</t>
  </si>
  <si>
    <t>352</t>
  </si>
  <si>
    <t>Skin Game Acne Combat Serum 30 gr</t>
  </si>
  <si>
    <t>351</t>
  </si>
  <si>
    <t>Lovila Glow Activation Booster Serum</t>
  </si>
  <si>
    <t>Lovila</t>
  </si>
  <si>
    <t>Lovila Official Shop</t>
  </si>
  <si>
    <t>344</t>
  </si>
  <si>
    <t>Somethinc 10% Niacinamide + Moisture Sabi White Max Brightening Serum 20ml</t>
  </si>
  <si>
    <t>343</t>
  </si>
  <si>
    <t>Dear Me Beauty 8% Snap 8 Peptide + Avocado Extract Face Serum - 12ml</t>
  </si>
  <si>
    <t>342</t>
  </si>
  <si>
    <t>Calm PIE &amp; PIH Serum Gel Moisturizer</t>
  </si>
  <si>
    <t>Mad For Makeup</t>
  </si>
  <si>
    <t>341</t>
  </si>
  <si>
    <t>Wardah Crystallure Supreme Revitalizing Oil Serum 30 ml - Pelembab Wajah Mengandung 7 botanical oil</t>
  </si>
  <si>
    <t>340</t>
  </si>
  <si>
    <t>Avoskin Your Skin Bae Serum All Varian</t>
  </si>
  <si>
    <t>Sherbeautee Official Shop</t>
  </si>
  <si>
    <t>336</t>
  </si>
  <si>
    <t>Skin Game Spot Guard Serum 30 gr</t>
  </si>
  <si>
    <t>333</t>
  </si>
  <si>
    <t>MSBB - Avoskin Your Skin Bae Ceramide LC S-20 1% + Mugwort + Cica Toner</t>
  </si>
  <si>
    <t>331</t>
  </si>
  <si>
    <t>Dr.Jart+ Cicapair Serum</t>
  </si>
  <si>
    <t>Dr.Jart+</t>
  </si>
  <si>
    <t>Dr.Jart+ Official Shop</t>
  </si>
  <si>
    <t>325</t>
  </si>
  <si>
    <t>Bio Talk BPOM Centella + Calendula Intensive Bright Serum</t>
  </si>
  <si>
    <t>Bio Talk</t>
  </si>
  <si>
    <t>Bio Talk Official Shop</t>
  </si>
  <si>
    <t>324</t>
  </si>
  <si>
    <t>Viva Queen Whitening Advanced Face Serum - 30 ml (WHITENING)</t>
  </si>
  <si>
    <t>Viva Cosmetics</t>
  </si>
  <si>
    <t>Viva Cosmetics Authorized Store Surabaya</t>
  </si>
  <si>
    <t>321</t>
  </si>
  <si>
    <t>ElsheSkin Active Rejuvenating Night Serum</t>
  </si>
  <si>
    <t>320</t>
  </si>
  <si>
    <t>319</t>
  </si>
  <si>
    <t>Skin Soul Brightening 24K Snail Gold Face Serum By Amanda Manopo</t>
  </si>
  <si>
    <t>Skin Soul</t>
  </si>
  <si>
    <t>SKIN SOUL MALL OFFICIAL</t>
  </si>
  <si>
    <t>318</t>
  </si>
  <si>
    <t>Cleora Acne Serum</t>
  </si>
  <si>
    <t>Azarine Easy White Herbal Moisturizer Serum 20ml</t>
  </si>
  <si>
    <t>Dancoly Rosemary Activating Regrowth Essence 50 ml</t>
  </si>
  <si>
    <t>Dancoly</t>
  </si>
  <si>
    <t>Dancoly Official Shop</t>
  </si>
  <si>
    <t>MSBB - Nutrishe Intensive Bright &amp; Glow Serum - 20Ml</t>
  </si>
  <si>
    <t>315</t>
  </si>
  <si>
    <t>Aura Bright - Whitening Serum</t>
  </si>
  <si>
    <t>True to Skin Niacinamide 10% + Zinc 1% + Allantoin Brightening Serum + FREE SAMPLE &amp; POTONGAN 40K</t>
  </si>
  <si>
    <t>True to Skin</t>
  </si>
  <si>
    <t>Truetoskin Official Shop</t>
  </si>
  <si>
    <t>313</t>
  </si>
  <si>
    <t>[innisfree] Brightening Pore Serum Bundle</t>
  </si>
  <si>
    <t>312</t>
  </si>
  <si>
    <t>Oh My Skin! ESSENCE 4in1 produk</t>
  </si>
  <si>
    <t>Oh My Skin!</t>
  </si>
  <si>
    <t>Oh My Skin Official Shop</t>
  </si>
  <si>
    <t>KAB. PATI</t>
  </si>
  <si>
    <t>311</t>
  </si>
  <si>
    <t>All Perfect Beauty Set (Essence Toner 100ml + Whitening Serum 30ml)</t>
  </si>
  <si>
    <t>Perfect Beauty</t>
  </si>
  <si>
    <t>All Perfect Official Shop</t>
  </si>
  <si>
    <t>308</t>
  </si>
  <si>
    <t>[BUY 1 GET 1] Sulwhasoo Concentrated Ginseng Renewing Serum Trial Kit</t>
  </si>
  <si>
    <t>303</t>
  </si>
  <si>
    <t>L’Oreal Paris Clinical Essence (Vit C Serum / Niacinamide) Skin Care – 30 ml x2 Pcs</t>
  </si>
  <si>
    <t>ElsheSkin Radiant Skin Serum x Active Rejuvenating Night Serum [LIMITED EDITION]</t>
  </si>
  <si>
    <t>301</t>
  </si>
  <si>
    <t>L'Oreal Paris Revitalift Micro-Essence Water Serum Skin Care - 130 ml (Untuk Kulit Cerah &amp; Kencang)</t>
  </si>
  <si>
    <t>298</t>
  </si>
  <si>
    <t>Olay Serum Wajah Regenerist Youth Pre-Essence Advanced Anti-Aging Skincare 40ml</t>
  </si>
  <si>
    <t>297</t>
  </si>
  <si>
    <t>White Story Acne Soothing Serum</t>
  </si>
  <si>
    <t>Niacinamide Serum</t>
  </si>
  <si>
    <t>296</t>
  </si>
  <si>
    <t>True to Skin Bakuchiol Anti-aging Serum(Natural Retinol - Water Based serum) + FREE SAMPLE &amp; POTONGAN 40K</t>
  </si>
  <si>
    <t>295</t>
  </si>
  <si>
    <t>MISSHA Time Revolution The First Essence 5X (150ml) Free 2 Mascure (Guaiazulene, Madecasoid)</t>
  </si>
  <si>
    <t>Missha</t>
  </si>
  <si>
    <t>Missha Indonesia Official Shop</t>
  </si>
  <si>
    <t>Some By Mi Super Matcha Pore Tightening Serum</t>
  </si>
  <si>
    <t>292</t>
  </si>
  <si>
    <t>Ella skin Care Serum Matcha Sebo Control</t>
  </si>
  <si>
    <t>Ella</t>
  </si>
  <si>
    <t>291</t>
  </si>
  <si>
    <t>Ponds Bright Beauty Perfect Potion Essence 50Ml</t>
  </si>
  <si>
    <t>288</t>
  </si>
  <si>
    <t>L'Oreal Paris Radiant Plumping Starter Kit (Untuk Kulit Lembap dan Glowing)</t>
  </si>
  <si>
    <t>287</t>
  </si>
  <si>
    <t>White Story Hydrating Face Essence</t>
  </si>
  <si>
    <t>286</t>
  </si>
  <si>
    <t>Bening's Deluxe Serum / Serum Anti Aging</t>
  </si>
  <si>
    <t>Axis Y Dark Spot Correcting Glow Serum</t>
  </si>
  <si>
    <t>Axis Y</t>
  </si>
  <si>
    <t>284</t>
  </si>
  <si>
    <t>Benton Snail Bee High Content Essence</t>
  </si>
  <si>
    <t>Style Korean Indonesia Official Shop</t>
  </si>
  <si>
    <t>283</t>
  </si>
  <si>
    <t xml:space="preserve">Ponds Bright Beauty Perfect Potion Essence Normal Skin 50ml </t>
  </si>
  <si>
    <t>280</t>
  </si>
  <si>
    <t>All Perfect Whitening Serum</t>
  </si>
  <si>
    <t>All Perfect</t>
  </si>
  <si>
    <t>279</t>
  </si>
  <si>
    <t>L'Oreal Paris Revitalift Crystal Micro Essence Serum Skin Care - 130 ml x2 Pcs</t>
  </si>
  <si>
    <t>275</t>
  </si>
  <si>
    <t>L'Oreal Paris Revitalift Crystal Micro Essence Serum Mask Skin Care (Pack of 5)</t>
  </si>
  <si>
    <t>273</t>
  </si>
  <si>
    <t>Ella Skincare Advance Serum Vitamin C</t>
  </si>
  <si>
    <t>263</t>
  </si>
  <si>
    <t>Nama C-Booster Brightening &amp; Age Defying Face Serum</t>
  </si>
  <si>
    <t>Nama Beauty</t>
  </si>
  <si>
    <t>NAMA Beauty Official Shop</t>
  </si>
  <si>
    <t>Dear Me Beauty 1% Bakuchiol + Blueberry Extract Face Serum - 32ml</t>
  </si>
  <si>
    <t>261</t>
  </si>
  <si>
    <t>Retinol Serum Ertos</t>
  </si>
  <si>
    <t>260</t>
  </si>
  <si>
    <t>[innisfree] Black Tea Youth Enhancing Ampoule Bundle</t>
  </si>
  <si>
    <t>259</t>
  </si>
  <si>
    <t>Ponds Bright Beauty Power Serum 7.5G</t>
  </si>
  <si>
    <t>253</t>
  </si>
  <si>
    <t>Jarkeen Skin Purifier Gel Serum (Glow Serum)</t>
  </si>
  <si>
    <t>Jarkeen</t>
  </si>
  <si>
    <t>Jarkeen Official Shop</t>
  </si>
  <si>
    <t>252</t>
  </si>
  <si>
    <t>Scarlett Whitening Toner Package</t>
  </si>
  <si>
    <t>[innisfree] Black Tea Youth Enhancing Ampoule 30ML</t>
  </si>
  <si>
    <t>251</t>
  </si>
  <si>
    <t>Avoskin Your Skin Bae Serum 30ml</t>
  </si>
  <si>
    <t>Nihonmart Official Shop</t>
  </si>
  <si>
    <t>249</t>
  </si>
  <si>
    <t>Purivera Fermented Red Serum Oil - Whitening - Glowing - Vitamin C &amp; Kojic Acid Natural Alternative</t>
  </si>
  <si>
    <t>248</t>
  </si>
  <si>
    <t>Airnderm Aesthetic Retinol Serum (by AIRIN BEAUTY)</t>
  </si>
  <si>
    <t>Garnier Sakura White Perfect Glow Skin Care - Booster Serum 30 ml + Glow Essence 100 ml</t>
  </si>
  <si>
    <t>243</t>
  </si>
  <si>
    <t>HPR Retinol Serum</t>
  </si>
  <si>
    <t>Bhumi</t>
  </si>
  <si>
    <t>BHUMI Official Shop</t>
  </si>
  <si>
    <t>241</t>
  </si>
  <si>
    <t>Npure Face Serum Marigold Series (Anti Aging Face Serum)</t>
  </si>
  <si>
    <t>239</t>
  </si>
  <si>
    <t>Olay White Radiance Light Perfecting Essence Water 150 ml</t>
  </si>
  <si>
    <t>Votre Peau Vitamin C Serum 30ml</t>
  </si>
  <si>
    <t>HAYEJIN Blessing of Sprout Enriched Serum</t>
  </si>
  <si>
    <t>Hayejin</t>
  </si>
  <si>
    <t>Fast Beauty Official Shop</t>
  </si>
  <si>
    <t>237</t>
  </si>
  <si>
    <t>ElsheSkin Radiant Skin Serum x Active Rejuvenating Night Serum</t>
  </si>
  <si>
    <t>236</t>
  </si>
  <si>
    <t>White Story Advanced Care Serum</t>
  </si>
  <si>
    <t>[innisfree] Jeju Pomegranate Revitalizing Serum 50ML - Serum Wajah, Perawatan Wajah</t>
  </si>
  <si>
    <t>235</t>
  </si>
  <si>
    <t>L'Oreal Paris Youth Code Ferment Pre-Essence Serum Skin Care - 30ml (Untuk Kulit Cerah &amp; Kencang)</t>
  </si>
  <si>
    <t>232</t>
  </si>
  <si>
    <t>The Aubree Niacinamide Skin Booster 30 ml</t>
  </si>
  <si>
    <t>The Aubree</t>
  </si>
  <si>
    <t>The Aubree Official Shop</t>
  </si>
  <si>
    <t>Scarlett Whitening Paket Reseller 12 Item</t>
  </si>
  <si>
    <t>231</t>
  </si>
  <si>
    <t>Garnier Sakura Glow Hyaluron Water - Glow Essence Skin Care - 2 pcs (Untuk Kulit Glowing Dari Dalam)</t>
  </si>
  <si>
    <t>230</t>
  </si>
  <si>
    <t>Erha Age Corrector Serum &amp; Essence</t>
  </si>
  <si>
    <t>229</t>
  </si>
  <si>
    <t>ElsheSkin Smoothing Serum For Acne Skin</t>
  </si>
  <si>
    <t>Noera Bright &amp; Glow Serum | Serum Wajah Brightening Glowing Moisturizer Anti Aging</t>
  </si>
  <si>
    <t>228</t>
  </si>
  <si>
    <t>Hanasui Intense Treatment Serum Bright Up</t>
  </si>
  <si>
    <t>Hanasui</t>
  </si>
  <si>
    <t>Hanasui Official Shop</t>
  </si>
  <si>
    <t>224</t>
  </si>
  <si>
    <t>Some By Mi Galactomyces Pure Vitamin C Glow Serum</t>
  </si>
  <si>
    <t>223</t>
  </si>
  <si>
    <t>Frudia Blueberry Hydrating Serum FREE Frudia Pouch Garis Vertikal</t>
  </si>
  <si>
    <t>Frudia</t>
  </si>
  <si>
    <t>Frudia Indonesia Official Shop</t>
  </si>
  <si>
    <t>Natasha by dr Fredi Setyawan Pure Vit C Glow Serum</t>
  </si>
  <si>
    <t>Natasha by dr Fredi Setyawan</t>
  </si>
  <si>
    <t>Natasha Skincare Official</t>
  </si>
  <si>
    <t>Glowing Serum BPOM - Skinsena</t>
  </si>
  <si>
    <t>Skinsena</t>
  </si>
  <si>
    <t>Skinsena Official Shop</t>
  </si>
  <si>
    <t>222</t>
  </si>
  <si>
    <t>Ponds Age Miracle Face Serum 30 ml &amp; Ponds Age Miracle Facial Foam 100g</t>
  </si>
  <si>
    <t>221</t>
  </si>
  <si>
    <t>L'Oreal Paris Crystal Micro-Essence 22 ml x 2 pcs</t>
  </si>
  <si>
    <t>Dear Me Beauty Hyaluronic Acid + Pomegranate Extract Face Serum - 12ml</t>
  </si>
  <si>
    <t>The Body Shop Tea Tree Daily Solution Serum 50ml</t>
  </si>
  <si>
    <t>220</t>
  </si>
  <si>
    <t>AVOSKIN RETINOL AMPOULE 30ml</t>
  </si>
  <si>
    <t>[POTONGAN 31.250 SAAT CHECKOUT] Mineral Botanica Hyaluronic Acid Serum (with Kakadu Plum Fruit Extract)</t>
  </si>
  <si>
    <t>Mineral Botanica</t>
  </si>
  <si>
    <t>Mineral Botanica Official Shop</t>
  </si>
  <si>
    <t>219</t>
  </si>
  <si>
    <t>Dear Me Beauty Paket Serum Glowing 12 ml: Retinol + Cica</t>
  </si>
  <si>
    <t>Everwhite Granactive Retinoid Multi-action Serum</t>
  </si>
  <si>
    <t>218</t>
  </si>
  <si>
    <t>[innisfree] *NEW* Green Tea Seed Serum Deluxe Size 30ml</t>
  </si>
  <si>
    <t>217</t>
  </si>
  <si>
    <t>Serum Mencerahkan LUNICA Bright Bloom - Serum</t>
  </si>
  <si>
    <t>The Body Shop New Drops Of Youth Youth Concentrate Serum 50ml</t>
  </si>
  <si>
    <t>Purivera Blue Grapeseed Serum Oil - Anti Acne - Jerawat - Bakuchiol As Salicylic Acid 2% Alternative</t>
  </si>
  <si>
    <t>216</t>
  </si>
  <si>
    <t>Hanasui Vitamin C + Collagen Serum New Look &amp; New Formula..</t>
  </si>
  <si>
    <t>213</t>
  </si>
  <si>
    <t>Dear Me Beauty 10% Cica + Watermelon Extract Face Serum -  32ml</t>
  </si>
  <si>
    <t>212</t>
  </si>
  <si>
    <t>Hayejin Indonesia Official Shop</t>
  </si>
  <si>
    <t>211</t>
  </si>
  <si>
    <t>L'Oreal Paris Revitalift Crystal Micro Essence Water Serum Skin Care - 130 ml LIMITED EDITION</t>
  </si>
  <si>
    <t>210</t>
  </si>
  <si>
    <t>Garnier Light Complete Daily Treatment Skin Care (Rangkaian Lengkap Untuk Kulit Cerah Cepat)</t>
  </si>
  <si>
    <t>209</t>
  </si>
  <si>
    <t>Skin Aqua Tone Up Essence</t>
  </si>
  <si>
    <t>Skin Aqua</t>
  </si>
  <si>
    <t>ROHTO Official Shop</t>
  </si>
  <si>
    <t>207</t>
  </si>
  <si>
    <t>( Buy 1 Get 1 ) Bio Essence Bio-Gold Golden Ratio Double Serum</t>
  </si>
  <si>
    <t>Bio Gold</t>
  </si>
  <si>
    <t>Bio-Essence Official Shop</t>
  </si>
  <si>
    <t>206</t>
  </si>
  <si>
    <t>Wardah Renew You Treatment Essence 50 ml - Hydrating Toner Anti Aging dengan Apple PhytoCell Extract</t>
  </si>
  <si>
    <t>SNP PREP Cicaronic Toning Essence</t>
  </si>
  <si>
    <t>THE BATH BOX Peptide Probiotic (anti aging, wrinkle, firm skin)</t>
  </si>
  <si>
    <t>205</t>
  </si>
  <si>
    <t>Sulwhasoo Snowise Brightening Serum Set</t>
  </si>
  <si>
    <t>L'Oreal Paris Revitalift Anti-Wrinkle Set Serum 30 ml + Day Cream 50 ml</t>
  </si>
  <si>
    <t>200</t>
  </si>
  <si>
    <t>Benton Snail Bee Ultimate Serum 35ml</t>
  </si>
  <si>
    <t>199</t>
  </si>
  <si>
    <t>Airnderm Aesthetic Anti Acne Serum (by AIRIN BEAUTY)</t>
  </si>
  <si>
    <t>White Story Peeling Serum</t>
  </si>
  <si>
    <t>Natur-E Advanced Anti - Aging Serum (DANASE15)</t>
  </si>
  <si>
    <t>Natur-E</t>
  </si>
  <si>
    <t>Natur-E Official Shop</t>
  </si>
  <si>
    <t>[BPOM] BREYLEE Pomegranate Serum - Mencerahkan Wajah (30 ml)</t>
  </si>
  <si>
    <t>Breylee</t>
  </si>
  <si>
    <t>BREYLEE Indonesia Official Shop</t>
  </si>
  <si>
    <t>Wardah White Secret Pure Treatment Essence 50 ml - Hydrating Toner Mencerahkan dengan Edelweiss</t>
  </si>
  <si>
    <t>198</t>
  </si>
  <si>
    <t>Sulwhasoo Concentrated Ginseng Renewing Serum &amp; Cream Set</t>
  </si>
  <si>
    <t>Purify Acne &amp; Blackhead Serum Gel Moisturizer</t>
  </si>
  <si>
    <t>197</t>
  </si>
  <si>
    <t>Safi Expert Solutions Intensive Ampoule Anti Aging Serum 3x14gr</t>
  </si>
  <si>
    <t>196</t>
  </si>
  <si>
    <t>Somethinc Bakuchiol Skinpair Serum- 20ml</t>
  </si>
  <si>
    <t>194</t>
  </si>
  <si>
    <t>HANADA Brighten Up Body Serum</t>
  </si>
  <si>
    <t>Hanada</t>
  </si>
  <si>
    <t>Hanada Official Shop</t>
  </si>
  <si>
    <t>193</t>
  </si>
  <si>
    <t>[ONLY 9-12 SEPT] Ultimune Power Infusing Concentrate  Serum 3.0 50ml</t>
  </si>
  <si>
    <t>Shiseido</t>
  </si>
  <si>
    <t>Shiseido Official Shop</t>
  </si>
  <si>
    <t>Votre Peau Brightening Essence With Niacinamide, Hyaluronic Acid &amp; RFF</t>
  </si>
  <si>
    <t>Airnderm Aesthetic Serum Spot Lightening (by AIRIN BEAUTY)</t>
  </si>
  <si>
    <t>190</t>
  </si>
  <si>
    <t>[innisfree]  Bija Trouble Spot Essence (Jerawat/Trouble Care) 15ML</t>
  </si>
  <si>
    <t>189</t>
  </si>
  <si>
    <t>Sulwhasoo Concentrated Ginseng Renewing Serum 50ml</t>
  </si>
  <si>
    <t>188</t>
  </si>
  <si>
    <t>SOMETHINC HYAluronic9 + ADVANCED + B5 20ml</t>
  </si>
  <si>
    <t>187</t>
  </si>
  <si>
    <t>Lacoco Dark Spot Essence 12ml</t>
  </si>
  <si>
    <t>MSBB - Avoskin Miraculous Refining Serum 30ml</t>
  </si>
  <si>
    <t>186</t>
  </si>
  <si>
    <t>Vaseline Healthy Bright Vitamin Gel Serum Fresh Glow 180 ml</t>
  </si>
  <si>
    <t>Vaseline</t>
  </si>
  <si>
    <t>185</t>
  </si>
  <si>
    <t>MSBB - Avoskin Your Skin Bae Salicylic Acid 2% + Zinc</t>
  </si>
  <si>
    <t>Buy Pond's Triple Glow Serum 30ml Free Triple Glow Serum Sheet Mask</t>
  </si>
  <si>
    <t>184</t>
  </si>
  <si>
    <t>Azarine CBD Hydraoxidant Ampoule 40ml</t>
  </si>
  <si>
    <t>183</t>
  </si>
  <si>
    <t>Hanasui Serum Anti Acne</t>
  </si>
  <si>
    <t>Erha Age Corrector 1% Bakuchiol &amp; 10% AHA Skin Renew Booster 15ml - Booster Anti Penuaan</t>
  </si>
  <si>
    <t>SOMETHINC HYALuronic9 + Advanced + B5 Serum</t>
  </si>
  <si>
    <t>182</t>
  </si>
  <si>
    <t>Treasure Glow Duo Whitening Anti-aging Kit / Peeling Serum / All Type Skin</t>
  </si>
  <si>
    <t>Treasure</t>
  </si>
  <si>
    <t>Evershine Official Shop</t>
  </si>
  <si>
    <t>MISSHA VITA HEALTHY SPECIAL SET : VITA C PLUS SPOT CORRECTING &amp; FIRMING AMPOULE 30ml Free 5 masker</t>
  </si>
  <si>
    <t>Dear Me Beauty Retinol + Blueberry Extract Face Serum - 32ml</t>
  </si>
  <si>
    <t>181</t>
  </si>
  <si>
    <t>Dear Me Beauty Retinol + Blueberry Extract Face Serum - 12ml</t>
  </si>
  <si>
    <t>180</t>
  </si>
  <si>
    <t>Some By Mi Aha Bha Pha 30 Days Miracle Serum Light</t>
  </si>
  <si>
    <t>[BPOM] BREYLEE Serum Treatment - Wajah Berjerawat (17ml)</t>
  </si>
  <si>
    <t>179</t>
  </si>
  <si>
    <t>GF TRILOGY VITAMIN C BOOSTER TREATMENT 5ML</t>
  </si>
  <si>
    <t>Trilogy</t>
  </si>
  <si>
    <t>C&amp;F Store Official</t>
  </si>
  <si>
    <t>Garnier Sakura White Whitening Serum Day Cream SPF 30 - 20 ml (Untuk Kulit Cerah Merona)</t>
  </si>
  <si>
    <t>Solcare Bundling Collagen Serum and Cream</t>
  </si>
  <si>
    <t>Solcare</t>
  </si>
  <si>
    <t>Solcare Official Shop</t>
  </si>
  <si>
    <t>178</t>
  </si>
  <si>
    <t>Hanasui Intense Treatment Serum Propolis</t>
  </si>
  <si>
    <t>Emina Bright Stuff Face Serum 7.5 ml</t>
  </si>
  <si>
    <t>MSBB - Lacoco Hydrating Divine Essence</t>
  </si>
  <si>
    <t>177</t>
  </si>
  <si>
    <t>NACIFIC Fresh Herb Origin Serum 50ml</t>
  </si>
  <si>
    <t>Nacific Indonesia Official Shop</t>
  </si>
  <si>
    <t>MSBB - Avoskin Perfect Hydrating Treatment Essence 100ml</t>
  </si>
  <si>
    <t>176</t>
  </si>
  <si>
    <t>SOMEBYMI Snail Truecica Miracle Repair SERUM 50ml</t>
  </si>
  <si>
    <t>175</t>
  </si>
  <si>
    <t>MSBB - Avoskin Perfect Hydrating Treatment Essence 30ml</t>
  </si>
  <si>
    <t>174</t>
  </si>
  <si>
    <t>( Buy 1 Get 1 ) Bio Essence Bio-Gold Night Cream 40Gr</t>
  </si>
  <si>
    <t>171</t>
  </si>
  <si>
    <t>MISSHA TIME REVOLUTION NIGHT REPAIR AMPOULE 5X (50ML) Free 2 Mascure (Madecasoid, Guaiazulene)</t>
  </si>
  <si>
    <t>170</t>
  </si>
  <si>
    <t>L'Oreal Paris Revitalift Crystal Micro Essence  Serum Skin Care - 65 ml x2 Pcs</t>
  </si>
  <si>
    <t>Glowlabs Glo-C Serum (Brightening Vitamin C Skincare)</t>
  </si>
  <si>
    <t>169</t>
  </si>
  <si>
    <t>Dear Me Beauty Paket Serum Melawan Waktu 12ml: Retinol + Peptide</t>
  </si>
  <si>
    <t>[ONLY 9-12 SEPT] Ultimune Power Infusing Concentrate  Serum 3.0 75ml</t>
  </si>
  <si>
    <t>ElsheSkin Active Rejuvenating Night Serum X ElsheSkin Radiant Supple Serum</t>
  </si>
  <si>
    <t>168</t>
  </si>
  <si>
    <t>Avoskin YOUR SKIN BAE SERIES SALICYLIC ACID 2% + ZINC ANTI ACNE AND EXFOLIATING SERUM 30 ML</t>
  </si>
  <si>
    <t>Zinc Shampoo</t>
  </si>
  <si>
    <t>167</t>
  </si>
  <si>
    <t>Purivera Everlasting Tamanu Serum Oil - Scar Repair - Bopeng - Truecica - Snail Cica Alternative</t>
  </si>
  <si>
    <t>Tamanu</t>
  </si>
  <si>
    <t>166</t>
  </si>
  <si>
    <t>Sensatia Botanicals Seastem Marine Essence - 150 ml</t>
  </si>
  <si>
    <t>Sensatia Botanicals</t>
  </si>
  <si>
    <t>Sensatia Botanicals Official Shop</t>
  </si>
  <si>
    <t>KOTA DENPASAR</t>
  </si>
  <si>
    <t>Garnier Sakura White Glowing Kit Regiment ( Rangkaian Lengkap Untuk Kulit Glowing &amp; Merona )</t>
  </si>
  <si>
    <t>165</t>
  </si>
  <si>
    <t>MEDGLOW CLINIC Niacinamide &amp; Zinc Serum | Aesthetic Skincare Serum Whitening Noda Bekas Jerawat BPOM</t>
  </si>
  <si>
    <t>Medglow</t>
  </si>
  <si>
    <t>MEDGLOW CLINIC Official Store</t>
  </si>
  <si>
    <t>164</t>
  </si>
  <si>
    <t>True to Skin Hyaluronic Acid Hydrating Serum (Pure Mini HA, Vit B5, Allantoin) + FREE SAMPLE &amp; POTONGAN 40K</t>
  </si>
  <si>
    <t>Ella Skincare Bye Oily Skin Serum</t>
  </si>
  <si>
    <t>Ella Skincare</t>
  </si>
  <si>
    <t>160</t>
  </si>
  <si>
    <t>Derma Express Midnight Glow Brightening Serum</t>
  </si>
  <si>
    <t>Derma Express</t>
  </si>
  <si>
    <t>Derma Express Official Shop</t>
  </si>
  <si>
    <t>159</t>
  </si>
  <si>
    <t>Somethinc HYAluronic9+ Advanced + B5 Serum 20 ml</t>
  </si>
  <si>
    <t>158</t>
  </si>
  <si>
    <t>NACIFIC Phyto Niacin Whitening Essence 50ml</t>
  </si>
  <si>
    <t>Mamonde Red Energy Recovery Serum 30ml</t>
  </si>
  <si>
    <t>157</t>
  </si>
  <si>
    <t>[ONLY 9 SEPT 00:00-02:00] Shiseido White Lucent Illuminating Micro Spot-Serum 30ML</t>
  </si>
  <si>
    <t>Dear Me Beauty 5% Inoceramide (Ceramide) + Pomegranate Extract Face Serum - 32ml</t>
  </si>
  <si>
    <t>156</t>
  </si>
  <si>
    <t>Tuesbelle - NUTRISHE Intensive Bright &amp; Glow Serum - 20ml &amp; 30ml</t>
  </si>
  <si>
    <t>Tuesbelle Official Shop</t>
  </si>
  <si>
    <t>Laneige Water Bank Hydro Essence 70ml (OL21)</t>
  </si>
  <si>
    <t>155</t>
  </si>
  <si>
    <t>MEDGLOW CLINIC Acne Control Serum | Aesthetic Skincare Serum Anti Acne Jerawat Komedo Oily Skin BPOM</t>
  </si>
  <si>
    <t>154</t>
  </si>
  <si>
    <t>ELLA SKINCARE Luminous Glow Serum</t>
  </si>
  <si>
    <t>Aura Bright - Signature Whitening</t>
  </si>
  <si>
    <t>153</t>
  </si>
  <si>
    <t>L'Occitane Immortelle Reset Triphase Essence 150ml</t>
  </si>
  <si>
    <t>152</t>
  </si>
  <si>
    <t>BHUMI G-Alpine Brightening Serum</t>
  </si>
  <si>
    <t>151</t>
  </si>
  <si>
    <t>BHUMI Acid Complex Clearing Serum</t>
  </si>
  <si>
    <t>150</t>
  </si>
  <si>
    <t>Bio Essence Bio-Gold Water Essence 30ml - Perawatan Wajah Anti Aging</t>
  </si>
  <si>
    <t>SECA NIACINAMIDE 10% Serum</t>
  </si>
  <si>
    <t>Seca</t>
  </si>
  <si>
    <t>Seca Official Shop</t>
  </si>
  <si>
    <t>Derma Express Day Light Whitening Serum</t>
  </si>
  <si>
    <t>149</t>
  </si>
  <si>
    <t>Olay Regenerist Micro-Sculpting Essence Water Serum Wajah Brightening Skincare 150ml</t>
  </si>
  <si>
    <t>SOMETHINC 5% Niacinamide + Moisture Sabi Beet Serum (20ml 5% sabi)</t>
  </si>
  <si>
    <t>148</t>
  </si>
  <si>
    <t>[innisfree] Black Tea Youth Enhancing Ampoule Jumbo Free Diffuser Bundle</t>
  </si>
  <si>
    <t>SOMETHINC Niacinamide + Moisture Beet Serum (20 ml)</t>
  </si>
  <si>
    <t>Indoganic Beauty Brightening Vitamin C Serum with Glutathione (15ml)/brightening serum/vit c serum</t>
  </si>
  <si>
    <t>Indoganic</t>
  </si>
  <si>
    <t>Indoganic Beauty Official Shop</t>
  </si>
  <si>
    <t>147</t>
  </si>
  <si>
    <t>Votre Peau Skin Care Bright &amp; Glow Package</t>
  </si>
  <si>
    <t>Votre Peau Skin Care</t>
  </si>
  <si>
    <t>Nacific Fresh Herb Origin 2 SET (Serum + Toner)</t>
  </si>
  <si>
    <t>145</t>
  </si>
  <si>
    <t>[BUY 1 GET 1] Sulwhasoo Concentrated Ginseng Renewing Serum &amp; Cream Trial Kit</t>
  </si>
  <si>
    <t>144</t>
  </si>
  <si>
    <t>HISERHA VP Booster Series - Sabun + Essence/ Serum Pencerah Wajah Khusus Pria</t>
  </si>
  <si>
    <t>142</t>
  </si>
  <si>
    <t>Dear Me Beauty Paket Serum Bumil 12ml: PHA + Bakuchiol</t>
  </si>
  <si>
    <t>Garnier Sakura Glow Hyaluron Water - Glow Essence Skin Care x 2pcs (Untuk Kulit Glowing Dari Dalam)</t>
  </si>
  <si>
    <t>[Official Distributor] Klairs Midnight Blue Youth Activating Drop 20ml</t>
  </si>
  <si>
    <t>140</t>
  </si>
  <si>
    <t>( Buy 1 Get 1 ) Bio Essence Bio-Gold Gold Water 150 Ml</t>
  </si>
  <si>
    <t>Vaseline Healthy Bright Vitamin Gel Serum Fresh Glow Lotion Serum Pencerah 180Ml</t>
  </si>
  <si>
    <t>SOMETHINC 5% Niacinamide + Moisture Sabi Beet Serum</t>
  </si>
  <si>
    <t>139</t>
  </si>
  <si>
    <t>Aish Acne / Brightening / Darkspot Serum Original dan Bersertifikat BPOM</t>
  </si>
  <si>
    <t>Aish Glow Beauty</t>
  </si>
  <si>
    <t>Dr.Jart+ V7 Serum</t>
  </si>
  <si>
    <t>138</t>
  </si>
  <si>
    <t>Real White Alpha Arbutin Serum</t>
  </si>
  <si>
    <t>137</t>
  </si>
  <si>
    <t>Avoskin Miraculous Refining Serum - 30 Ml | Pencerah Dan Regenerasi Kulit, Pengangkat Sel Kulit Mati</t>
  </si>
  <si>
    <t>136</t>
  </si>
  <si>
    <t>Laneige Water Bank Moisture Essence 70ml (OL21)</t>
  </si>
  <si>
    <t>135</t>
  </si>
  <si>
    <t>Skin Aqua Tone Up UV Essence 40gr</t>
  </si>
  <si>
    <t>Scarlett Whitening Brightly / Acne Ever After Serum 15 Ml</t>
  </si>
  <si>
    <t>BEAU Official Shop</t>
  </si>
  <si>
    <t>BREYLEE Serum Wajah - 1pc (17ml)</t>
  </si>
  <si>
    <t>134</t>
  </si>
  <si>
    <t>ERHA Age Corrector Essence 100ml - Galactomyces &amp; Prebiotic</t>
  </si>
  <si>
    <t>Garnier Sakura White Booster Serum 30 ml + Sakura White Serum Mask x 3 Pcs</t>
  </si>
  <si>
    <t>133</t>
  </si>
  <si>
    <t>White Story Hydrating Serum</t>
  </si>
  <si>
    <t>132</t>
  </si>
  <si>
    <t>BUHOTEI Scarlett Whitening Glowtening Serum Whitening Acne Serum Whitening Brightly Ever After Serum</t>
  </si>
  <si>
    <t>BUHOTEI Official Shop</t>
  </si>
  <si>
    <t>Avoskin Perfect Hydrating Treatment Essence</t>
  </si>
  <si>
    <t>NPURE Silky Face Primer Serum Centella Asiatica (Cica Series)</t>
  </si>
  <si>
    <t>131</t>
  </si>
  <si>
    <t>Sulwhasoo First Care Activating Serum 30ml</t>
  </si>
  <si>
    <t>Sulwhasoo First Care Activating Serum Kit</t>
  </si>
  <si>
    <t>Wardah Pore &amp; Oil Control with Lightening &amp; C-defense</t>
  </si>
  <si>
    <t>The Body Shop Drops of Youth Essence Lotion 160ml</t>
  </si>
  <si>
    <t>130</t>
  </si>
  <si>
    <t>Somethinc 10% Niacinamide + Moisture Sabi White Max Brightening Serum 40ml</t>
  </si>
  <si>
    <t>Clorismen SC Serum</t>
  </si>
  <si>
    <t>Cloris</t>
  </si>
  <si>
    <t>Clorismen Official Shop</t>
  </si>
  <si>
    <t>KOTA DEPOK</t>
  </si>
  <si>
    <t>Buy 2x Pond's Triple Glow Serum 30ml Free Potion Essence 50ml</t>
  </si>
  <si>
    <t>SOMETHINC 10% Niacinamide + Moisture Sabi Beet Brightening Serum (20ml 10% sabi)</t>
  </si>
  <si>
    <t>Bio Talk BPOM Organic Argan Oil, Moisturizing Anti Aging</t>
  </si>
  <si>
    <t>129</t>
  </si>
  <si>
    <t>[innisfree] Soybean Energy Essence EX 150ML - Serum Wajah, Perawatan Wajah</t>
  </si>
  <si>
    <t>128</t>
  </si>
  <si>
    <t>SOMETHINC 10% Niacinamide + Moisture Sabi Beet Brightening Serum (40ml 10% sabi)</t>
  </si>
  <si>
    <t>127</t>
  </si>
  <si>
    <t>Somethinc 5% Niacinamide + Moisture Sabi Beet Serum 40ml</t>
  </si>
  <si>
    <t>[LEBIH HEMAT] Olay Serum Bundle White Radiance Essence 30ml - Paket isi 2</t>
  </si>
  <si>
    <t>126</t>
  </si>
  <si>
    <t>Evershine Pure Bakuchiol 2% Blemish &amp; Age Define Serum / Natural Alternatif Retinol / Anti-aging</t>
  </si>
  <si>
    <t>Evershine</t>
  </si>
  <si>
    <t>MISSHA TIME REVOLUTION NIGHT REPAIR AMPOULE 5X (50ML) Free 2 Sheet Mask (Madecasoid, Guaiazulene)</t>
  </si>
  <si>
    <t>DERMALUZ Serum Acne Exfoliating</t>
  </si>
  <si>
    <t>Dermaluz</t>
  </si>
  <si>
    <t>Dermaluz Official Shop</t>
  </si>
  <si>
    <t>125</t>
  </si>
  <si>
    <t>BREYLEE SETS of SERUM C - Mencerahkan &amp; Mengecilkan Pori Wajah (2pcs)</t>
  </si>
  <si>
    <t>Ella Skincare Translucent White Serum</t>
  </si>
  <si>
    <t>124</t>
  </si>
  <si>
    <t>Sulwhasoo Concentrated Ginseng Renewing Serum 30ml</t>
  </si>
  <si>
    <t>123</t>
  </si>
  <si>
    <t>L'OREAL PARIS REVITALIFT CRYSTAL MICRO ESSENCE</t>
  </si>
  <si>
    <t>122</t>
  </si>
  <si>
    <t>Azrina Natural Glow Serum</t>
  </si>
  <si>
    <t>Natural Glow</t>
  </si>
  <si>
    <t>Azrina Beauty Official Shop</t>
  </si>
  <si>
    <t>[BPOM] BREYLEE Step 2 Pore Minimizer Serum - Pengecil Pori Wajah (17ml)</t>
  </si>
  <si>
    <t>NATURE REPUBLIC Vitapair C Dark Spot Serum Special Set</t>
  </si>
  <si>
    <t>Nature Republic</t>
  </si>
  <si>
    <t>NATURE REPUBLIC OFFICIAL</t>
  </si>
  <si>
    <t>121</t>
  </si>
  <si>
    <t>Maggie Glow Acne Pimple / Obat Totol Penghilang Jerawat Batu</t>
  </si>
  <si>
    <t>Maggie Glow</t>
  </si>
  <si>
    <t>Fair n Pink Official Shop</t>
  </si>
  <si>
    <t>KOTA BOGOR</t>
  </si>
  <si>
    <t>Hanasui Serum Vitamin C</t>
  </si>
  <si>
    <t>COSRX AC Collection Blemish Spot Serum - 40ML (Serum untuk Noda Hitam)</t>
  </si>
  <si>
    <t>119</t>
  </si>
  <si>
    <t>L'Oreal Paris Revitalift Crystal Micro Essence Serum Mask Skin Care Buy 5 Get 5</t>
  </si>
  <si>
    <t>Garnier Sakura White Whitening Serum Day Cream UV - 40 ml (Untuk Kulit Cerah Merona)</t>
  </si>
  <si>
    <t>BREYLEE Bundle Hemat, Step 1 I Step 2 I Acne Treatment serum I 3pcs</t>
  </si>
  <si>
    <t>118</t>
  </si>
  <si>
    <t>Dear Me Beauty 1% Bakuchiol + Blueberry Extract Face Serum - 12ml</t>
  </si>
  <si>
    <t>Precious Skin Kojic Brightening &amp; Whitening Intensive Serum Body &amp; Face / Face &amp; Body Serum 30ml</t>
  </si>
  <si>
    <t>Precious Skin</t>
  </si>
  <si>
    <t>Precious Skin Official Shop</t>
  </si>
  <si>
    <t>117</t>
  </si>
  <si>
    <t>Bio Essence Bio-Gold Radiance Cleanser 100 gr - Foam Cleanser</t>
  </si>
  <si>
    <t>Aura Bright - Facial Treatment Essence</t>
  </si>
  <si>
    <t>Wardah White Secret Intense Brightening Essence 17 ml - Serum Mencerahkan dengan Silver Vine Extract</t>
  </si>
  <si>
    <t>116</t>
  </si>
  <si>
    <t>AA Anti Aging gold serum</t>
  </si>
  <si>
    <t>[TIDAK DIJUAL] Vitamin C pour Maharis Travel Size 10ml</t>
  </si>
  <si>
    <t>114</t>
  </si>
  <si>
    <t>Implora Serum All Varian 20ml Acne | Luminous | Midnight | Peeling</t>
  </si>
  <si>
    <t>113</t>
  </si>
  <si>
    <t>Laneige PR Youth Regenerator 40ml</t>
  </si>
  <si>
    <t>AVOSKIN YOUR SKIN BAE SERIES Marine Collagen 10% + Ginseng Root (30ml)</t>
  </si>
  <si>
    <t>Somethinc Niacinamide + Moisture SABI Beet Serum</t>
  </si>
  <si>
    <t>112</t>
  </si>
  <si>
    <t>ElsheSkin Vitamin C Serum</t>
  </si>
  <si>
    <t>JUMISO All Day Vitamin Brightening &amp; Balancing Facial Serum</t>
  </si>
  <si>
    <t>Jumiso</t>
  </si>
  <si>
    <t>THE BATH BOX Galacto Essence (Anti-aging/melasma/Pigmentasi/wringkles/pencerah wajah)</t>
  </si>
  <si>
    <t>I-Face Vitamin C Serum 10 mL</t>
  </si>
  <si>
    <t>I-Face</t>
  </si>
  <si>
    <t>Jersi Beauty Official Shop</t>
  </si>
  <si>
    <t>111</t>
  </si>
  <si>
    <t>PAKET KOMEDO (COMEDONAL ACNE) ELLA SKINCARE</t>
  </si>
  <si>
    <t>110</t>
  </si>
  <si>
    <t>Purivera Almond Buckthorn Serum Oil - Anti Aging - Sea Bakuchiol 1% As Retinol Retinoid Alternative</t>
  </si>
  <si>
    <t>Votre Peau Skin Care Acne Fighter Package</t>
  </si>
  <si>
    <t>All Perfect Acne Beauty Set (Essence Toner 100ml + Fresh Calming Serum 30ml)</t>
  </si>
  <si>
    <t>Garnier x Realfood Healthy Glow Kit - Rangkaian Perawatan Untuk Kulit Glowing Luar &amp; Dalam</t>
  </si>
  <si>
    <t>Realfood</t>
  </si>
  <si>
    <t>109</t>
  </si>
  <si>
    <t>SECA BHA 2% Serum</t>
  </si>
  <si>
    <t>[BPOM] SOMETHINC HYALuronic9 + Advanced + B5 Serum 20ml &amp; 40ml</t>
  </si>
  <si>
    <t>beauteamor.id</t>
  </si>
  <si>
    <t>KOTA PEKANBARU</t>
  </si>
  <si>
    <t>108</t>
  </si>
  <si>
    <t>Jarkeen Vit C Booster Serum</t>
  </si>
  <si>
    <t>Aish Serum Paket 12 Pcs Bebas Pilih Varian isi di catatan</t>
  </si>
  <si>
    <t>107</t>
  </si>
  <si>
    <t>NATURE REPUBLIC Good Skin Ampoule - NIACINAMIDE</t>
  </si>
  <si>
    <t>[innisfree] Green Tea Seed Essence In Lotion 100ML - Serum Wajah, Perawatan Wajah</t>
  </si>
  <si>
    <t>Laneige Water Bank Hydro Essence 70ml</t>
  </si>
  <si>
    <t>SOMETHINC Niacinamide + Moisture Beet Serum (40 ml)</t>
  </si>
  <si>
    <t>106</t>
  </si>
  <si>
    <t>Skinmee Dualmee Series Shine Bright</t>
  </si>
  <si>
    <t>Skinmee</t>
  </si>
  <si>
    <t>Skinmee Official Shop</t>
  </si>
  <si>
    <t>Haum LCID Salicylic Acid 2% 28 Ml X 1</t>
  </si>
  <si>
    <t>Haum</t>
  </si>
  <si>
    <t>HAUM Skincare Official Shop</t>
  </si>
  <si>
    <t>105</t>
  </si>
  <si>
    <t>Scarlett Whitening Serum Acne | Brightly Ever After | Glowtening 15ml</t>
  </si>
  <si>
    <t>MSBB - Lacoco 5% Bakuchiol Essence</t>
  </si>
  <si>
    <t>YOU AcnePlus Complete Solution Serum 20 ml</t>
  </si>
  <si>
    <t>The Aubree Rose Bloom Petal Essence 120 ml</t>
  </si>
  <si>
    <t>104</t>
  </si>
  <si>
    <t>Dear Me Beauty 10% Cica + Watermelon Extract Face Serum - 12ml</t>
  </si>
  <si>
    <t>ERTOS SERUM KINCLONG / ERTO'S SERUM CREAM MUKA</t>
  </si>
  <si>
    <t>103</t>
  </si>
  <si>
    <t>( Buy 1 Get 1 ) Bio Essence Bio-Gold Day Cream Spf 25 40Gr</t>
  </si>
  <si>
    <t>Vitamin C Serum 20ml "Nadfaskin"</t>
  </si>
  <si>
    <t>Nadfaskin</t>
  </si>
  <si>
    <t>Nadfaskin Official Shop</t>
  </si>
  <si>
    <t>The Body Shop New Drops Of Youth Youth Concentrate Serum 30ml</t>
  </si>
  <si>
    <t>[Bundle] Olay White Radiance Essence 30 ml + Retinol Serum 30 ml</t>
  </si>
  <si>
    <t>ACNES DERMA ANTI BLEMISH ESSENCE 20ML</t>
  </si>
  <si>
    <t>Derma</t>
  </si>
  <si>
    <t>All Perfect Fresh Calming Serum</t>
  </si>
  <si>
    <t>102</t>
  </si>
  <si>
    <t>Bio Essence Bio-Gold Gold Water 30 ml + Bio Essence Bio-Gold Radiance Cleanser 100 gr</t>
  </si>
  <si>
    <t>GEUT BY DR. T - GEUT BRILLIANCE Serum Duo</t>
  </si>
  <si>
    <t>GEUT BY DR. T</t>
  </si>
  <si>
    <t>GEUT BY DR. T Official Shop</t>
  </si>
  <si>
    <t>101</t>
  </si>
  <si>
    <t>[BPOM] VAVL BEAUTE Vightne Blemish Serum 15ml</t>
  </si>
  <si>
    <t>Vavl</t>
  </si>
  <si>
    <t>100</t>
  </si>
  <si>
    <t>Laneige White Dew Skin Refiner 120ml</t>
  </si>
  <si>
    <t>Skin Refiner</t>
  </si>
  <si>
    <t>Frudia Serum Hydrating / Brightening / Moisturizing FREE Frudia Pouch Garis Vertikal</t>
  </si>
  <si>
    <t>99</t>
  </si>
  <si>
    <t>Sulwhasoo First Care Activating Serum 60ml</t>
  </si>
  <si>
    <t>Viva Queen Whitening Advanced Face Serum</t>
  </si>
  <si>
    <t>Viva Cosmetics Official Shop</t>
  </si>
  <si>
    <t>L'Occitane Immortelle Divine Extract Serum Wajah [30 mL]</t>
  </si>
  <si>
    <t>COSRX Advanced Snail 96 Mucin Power Essence 100ml</t>
  </si>
  <si>
    <t>98</t>
  </si>
  <si>
    <t>Lacoco Dark Spot Essence - 12ml</t>
  </si>
  <si>
    <t>Ponny Beaute Official Shop</t>
  </si>
  <si>
    <t>Safi Age Defy Gold Water Essence 100 ml + Day &amp; Night Cream 40 gr</t>
  </si>
  <si>
    <t>97</t>
  </si>
  <si>
    <t>Beautybarme - [Bpom] Skin1004 Madagascar Centella Asiatica 100 Ampoule| 100 Ml / 50 Ml New Cover</t>
  </si>
  <si>
    <t>Skin1004</t>
  </si>
  <si>
    <t>Beautybarme Official Shop</t>
  </si>
  <si>
    <t>KOTA SERANG</t>
  </si>
  <si>
    <t>[RAMADHAN PACKAGE] Around The Nature Brightening Set</t>
  </si>
  <si>
    <t>Dove Deodorant Dry Serum Regenerate Care Collagen + Vitamin B3 Free Dove Deodorant Ultimate 40Ml</t>
  </si>
  <si>
    <t>96</t>
  </si>
  <si>
    <t>NMW Serum Vit C - 20Ml</t>
  </si>
  <si>
    <t>Nmw Skincare</t>
  </si>
  <si>
    <t>NMW Clinic Official Shop</t>
  </si>
  <si>
    <t>[innisfree] Brightening Pore Spot Treatment 30ML</t>
  </si>
  <si>
    <t>WARDAH White Secret Pure Treatment Essence 100ml</t>
  </si>
  <si>
    <t>95</t>
  </si>
  <si>
    <t>AVOSKIN Your Skin Bae Vitamin C 3% + Niacinamide 2% + Mandarin Orange Fruit Extract 30ml</t>
  </si>
  <si>
    <t>KEEP COOL Soothe Bamboo Serum 50ml</t>
  </si>
  <si>
    <t>Soothe</t>
  </si>
  <si>
    <t>Keep Cool Indonesia Official Shop</t>
  </si>
  <si>
    <t>[POTONGAN 31.250 SAAT CHECKOUT ] Mineral Botanica Niacinamide Serum (with Artichoke Leaf Extract)</t>
  </si>
  <si>
    <t>Olay Regenerist RETINOL 24 Serum 30ml</t>
  </si>
  <si>
    <t>94</t>
  </si>
  <si>
    <t>HAUM C - Serum Vitamin C 15% 28 ml x 1</t>
  </si>
  <si>
    <t>Clorismen Brightening Serum</t>
  </si>
  <si>
    <t>Ultima II Paket Clear White</t>
  </si>
  <si>
    <t>Ultima Ii</t>
  </si>
  <si>
    <t>Ultima II Official Shop</t>
  </si>
  <si>
    <t>[innisfree] Jeju Orchid Enriched Essence 50ML - Serum Wajah, Perawatan Wajah</t>
  </si>
  <si>
    <t>Hanasui Vitamin C New Look &amp; New Formula</t>
  </si>
  <si>
    <t>Hanasui Whitening Gold Serum New Look &amp; New Formula</t>
  </si>
  <si>
    <t>93</t>
  </si>
  <si>
    <t>[The Face Shop] White Seed Brightening Serum - 50ml - Original</t>
  </si>
  <si>
    <t>The Face Shop</t>
  </si>
  <si>
    <t>THEFACESHOP ID Official Shop</t>
  </si>
  <si>
    <t>Trueve Ultimate Combo Vitamin C Series</t>
  </si>
  <si>
    <t>Tuesbelle - AVOSKIN Your Skin Bae | Alpha Arbutin | Niacinamide | Marine Collagen | Mugwort Cica</t>
  </si>
  <si>
    <t>Jarkeen Porecelain Skin Serum</t>
  </si>
  <si>
    <t>The Aubree Centella Herb Serum 30 ml</t>
  </si>
  <si>
    <t>L'Oreal Paris Revitalift Crystal Micro Essence  Serum Skin Care - 130 ml &amp; Serum Mask</t>
  </si>
  <si>
    <t>92</t>
  </si>
  <si>
    <t>Avoskin Miraculous Refining Serum 30ml</t>
  </si>
  <si>
    <t>Vavl Vightne  Blemish Serum 15ml</t>
  </si>
  <si>
    <t>Avoskin Perfect Hydrating Treatment Essence - 30 Ml | Menjaga Kesegaran Dan Kelembapan Kulit</t>
  </si>
  <si>
    <t>91</t>
  </si>
  <si>
    <t>Hanasui Anti Acne Serum New Look &amp; New Formula</t>
  </si>
  <si>
    <t>SOMETHINC Level 1% Encapsulated Retinol</t>
  </si>
  <si>
    <t>NATURE REPUBLIC Good Skin Ampoule - VITAMIN E</t>
  </si>
  <si>
    <t>Dr.Jart+ New Ceramidin Serum</t>
  </si>
  <si>
    <t>Natur Miracle Calming Face Serum : Cica &amp; Witch Hazel</t>
  </si>
  <si>
    <t>Natur</t>
  </si>
  <si>
    <t>Natur Official Store</t>
  </si>
  <si>
    <t>L'Oreal Revitalift Pro-Youth Face Mask Skin Elasticity + Anti Aging x 5 pcs</t>
  </si>
  <si>
    <t>89</t>
  </si>
  <si>
    <t>Avoskin Miraculous Retinol Ampoule - 30 Ml | Penunda Munculnya Tanda Penuaan Dini, Regenerasi Kulit</t>
  </si>
  <si>
    <t>Sulwhasoo Men Recharging Serum</t>
  </si>
  <si>
    <t>Implora Promo Buy 1 Serum Wajah + 1 Lip Satin</t>
  </si>
  <si>
    <t>AVOSKIN Your Skin Bae Collagen10% + Ginseng Root 30ml</t>
  </si>
  <si>
    <t>SOMETHINC Niacinamide 5% BARRIER Serum 20ml</t>
  </si>
  <si>
    <t>88</t>
  </si>
  <si>
    <t>The Ordinary Hyaluronic Acid 2% + B5 60ml</t>
  </si>
  <si>
    <t>The Ordinary</t>
  </si>
  <si>
    <t>Tull Jye Whitening Lotion</t>
  </si>
  <si>
    <t>Tull Jye</t>
  </si>
  <si>
    <t>Tull Jye Official Shop</t>
  </si>
  <si>
    <t>NATURE REACTION CRYSTAL BRIGHT SERUM NR Pemutih Wajah Glowing Atasi Jerawat Flek Hitam Original BPOM</t>
  </si>
  <si>
    <t>Somethinc 5% Niacinamide Barrier Serum 20 ml</t>
  </si>
  <si>
    <t>Airnderm Aesthetic AHA BHA Serum (by AIRIN BEAUTY)</t>
  </si>
  <si>
    <t>Safi Expert Solutions Milk Drop Serum Cream Anti Aging 40gr - Wajah</t>
  </si>
  <si>
    <t>Bio Essence Bio-Renew Exfoliating/Face Scrub Gel 60 gr - Cleanser</t>
  </si>
  <si>
    <t>Bio Essence</t>
  </si>
  <si>
    <t>87</t>
  </si>
  <si>
    <t>Ella Skincare Niacinamide Botanical Cica Essence</t>
  </si>
  <si>
    <t>Elvicto Brightening Serum</t>
  </si>
  <si>
    <t>Elvicto</t>
  </si>
  <si>
    <t>Gamal Men Official Shop</t>
  </si>
  <si>
    <t>86</t>
  </si>
  <si>
    <t>Wardah  Renewal Anti-Aging Intensive Serum</t>
  </si>
  <si>
    <t>Derma Express Acne Defense Intensive Serum</t>
  </si>
  <si>
    <t>The Aubree Brightening Serum Concentrate 30 ml</t>
  </si>
  <si>
    <t>Garnier Sakura White Daily Treatment Skin Care (Rangkaian Lengkap Untuk Kulit Cerah Merona)</t>
  </si>
  <si>
    <t>Azarine Vitamin Lab Series: Beauty is Fun x Nanda Arsyinta</t>
  </si>
  <si>
    <t>85</t>
  </si>
  <si>
    <t>Solcare Collagen Serum</t>
  </si>
  <si>
    <t xml:space="preserve">La Roche Posay Care &amp; Protect Bundle + FREE Kerastase </t>
  </si>
  <si>
    <t>84</t>
  </si>
  <si>
    <t>SNP Prep Peptaronic Serum 220ml</t>
  </si>
  <si>
    <t>White Expert Cerahkan Ramadhan 2</t>
  </si>
  <si>
    <t>Serum Acne Fighter 15ml "Nadfaskin"</t>
  </si>
  <si>
    <t>Bio Essence BioWhite Advanced Whitening Cleanser 100gr - Foam Cleanser</t>
  </si>
  <si>
    <t>83</t>
  </si>
  <si>
    <t>MISSHA "MINIATUR KIT" 5X GENERATION (FTE, AMPOULE, AMPOULE, CREAM)</t>
  </si>
  <si>
    <t>BIO BEAUTY LAB Phyto Power Essence 50ml</t>
  </si>
  <si>
    <t>82</t>
  </si>
  <si>
    <t>Safi Age Defy Youth Elixir Twinpack Special</t>
  </si>
  <si>
    <t>L'Oreal Paris Revitalift Crystal Micro Essence Serum Mask Skin Care (Pack of 3)</t>
  </si>
  <si>
    <t>[The Face Shop] Pomegranate And Collagen Lifting Serum - 80ml - Original</t>
  </si>
  <si>
    <t>ERHA X AQUA Re-Fresh Hydrating Serum</t>
  </si>
  <si>
    <t>Bioessence Bio White Full Set Regime</t>
  </si>
  <si>
    <t>81</t>
  </si>
  <si>
    <t>[BPOM] Lacoco Dark Spot Essence 12ml</t>
  </si>
  <si>
    <t>Oh My Skin! Bright &amp; Glow SERUM Ohmyskin!</t>
  </si>
  <si>
    <t>Skin Bright</t>
  </si>
  <si>
    <t>Laneige Essential Balancing Emulsion Light 120ml (OL21)</t>
  </si>
  <si>
    <t>80</t>
  </si>
  <si>
    <t>KF Skin - Serum Dermaplus Vit C</t>
  </si>
  <si>
    <t>Kf Skin</t>
  </si>
  <si>
    <t>KF Skin Official Shop</t>
  </si>
  <si>
    <t>KAB. LAMONGAN</t>
  </si>
  <si>
    <t>Mamonde Vital Vitamin Essence 100ml - Buy 1 Get 1</t>
  </si>
  <si>
    <t>Langsre Good Times AHA-ed Serum 30ml</t>
  </si>
  <si>
    <t>Langsre</t>
  </si>
  <si>
    <t>Langsre Official Shop</t>
  </si>
  <si>
    <t>79</t>
  </si>
  <si>
    <t>The Aubree Hyaluron Hydrating Serum 30ml</t>
  </si>
  <si>
    <t>Datglow Skin Honey + Boswellia Skinpair Serum (Acne Serum)</t>
  </si>
  <si>
    <t>Datglow Skin</t>
  </si>
  <si>
    <t>Datglow Skin Official Shop</t>
  </si>
  <si>
    <t>Laneige Glowy Makeup Serum 30ml (OL21)</t>
  </si>
  <si>
    <t>78</t>
  </si>
  <si>
    <t>MSBB - Somethinc 5% Niacinamide + Moisture Sabi Beet Serum 20Ml</t>
  </si>
  <si>
    <t>Olay White Radiance Niacinamide + Hyaluronic Super Serum Brightening Skincare 30ML</t>
  </si>
  <si>
    <t>77</t>
  </si>
  <si>
    <t>[Bundle]  Olay White Radiance Niacinamide Vit C 30 ml + Hyaluronic 30 ml Super Serum</t>
  </si>
  <si>
    <t>Nourish Beauty Care Wrinkle Remover Serum 30 mL</t>
  </si>
  <si>
    <t>Nourish Beauty Care</t>
  </si>
  <si>
    <t>Olay Powerful Duo Pencerah Whip + Anti Aging - Krim Pelembab, Essence Wajah</t>
  </si>
  <si>
    <t>THANA Orchid Radiant Glow Ampoule</t>
  </si>
  <si>
    <t>Thana</t>
  </si>
  <si>
    <t>Thana Official Shop</t>
  </si>
  <si>
    <t>KOTA MALANG</t>
  </si>
  <si>
    <t>Somethinc Niacinamide + Moisture Sabi Beet Serum</t>
  </si>
  <si>
    <t>PURIVERA MYSTERY BOX - Special Package for Puriteams in SAVETEMBER CERIA</t>
  </si>
  <si>
    <t>76</t>
  </si>
  <si>
    <t>Airnderm Aesthetic Advance Brightener Serum (by AIRIN BEAUTY)</t>
  </si>
  <si>
    <t>[BPOM] AVOSKIN Your Skin Bae SERUM Series READY</t>
  </si>
  <si>
    <t>INNERTRUE Essence of Life Serum 15ml</t>
  </si>
  <si>
    <t>Innertrue</t>
  </si>
  <si>
    <t>Innertrue Official Store</t>
  </si>
  <si>
    <t>Jarkeen Double Glow Serum</t>
  </si>
  <si>
    <t>Aizen Whitifique Face Cream - Cream Pemutih &amp; Pencerah Kulit Wajah</t>
  </si>
  <si>
    <t>Aizen</t>
  </si>
  <si>
    <t>Aizen Official Store</t>
  </si>
  <si>
    <t>Natur Miracle Renew Skin Face Serum : Ginseng &amp; Probiotic</t>
  </si>
  <si>
    <t>75</t>
  </si>
  <si>
    <t>THE BATH BOX Rose Hydrating Serum in Jar (Anti-Aging)</t>
  </si>
  <si>
    <t>AVOSKIN YOUR SKIN BAE SERIES Vitamin C 3% + Niacinamide 2% Mandarin Orange Fruit Exctract Serum</t>
  </si>
  <si>
    <t>Hanasui Intense Treatment Serum Rich Nutrition</t>
  </si>
  <si>
    <t>MISSHA Time Revolution The First Essence 5X (150ml) Free 2 Mascure Mask (Guaiazulene, Madecasoid)</t>
  </si>
  <si>
    <t>74</t>
  </si>
  <si>
    <t>AVOSKIN YOUR SKIN BAE SERIES Alpha Arbutin 3% + Grapeseed 30ml</t>
  </si>
  <si>
    <t>Garnier Bright Complete White Speed Day Serum Cream Uva/Uvb Skin Care - 20 ml</t>
  </si>
  <si>
    <t>Avoskin Perfect Hydrating Treatment Essence (30 ml)</t>
  </si>
  <si>
    <t>Ceramide+Ginseng Skinbar Serum (for skin barrier)</t>
  </si>
  <si>
    <t>Bio Essence Bio Gold Full Set Package</t>
  </si>
  <si>
    <t>Secret Key Starting Treatment Essence - Size: 155 ml - Edit by Sociolla</t>
  </si>
  <si>
    <t>Secret Key</t>
  </si>
  <si>
    <t>Garnier Light Complete Booster Serum 30 ml + Light Complete Serum Mask x 3 Pcs</t>
  </si>
  <si>
    <t>Jellys Pure Face Serum</t>
  </si>
  <si>
    <t>Jellys</t>
  </si>
  <si>
    <t>Jellys Official Shop</t>
  </si>
  <si>
    <t>[BPOM] BREYLEE Serum Vitamin C - Mencerahkan Wajah (17ml)</t>
  </si>
  <si>
    <t>BREYLEE SETS of SERUM F - Mencerahkan &amp; Membersihkan Jerawat (2pcs)</t>
  </si>
  <si>
    <t>COSRX Pure Fit Cica Serum Skin Care - 30 ML (Serum Untuk Kulit Sensitif)</t>
  </si>
  <si>
    <t>Hyaluronic Plus Serum Erto's</t>
  </si>
  <si>
    <t>AVOSKIN Perfect Hydrating Treatment Essence 100ml</t>
  </si>
  <si>
    <t>Ponds Age Miracle Double Action Face Serum Wajah Youthful Glow 30 ml Twin Pack</t>
  </si>
  <si>
    <t>73</t>
  </si>
  <si>
    <t>MD Glowing Glass Skin Treatment (Serum Glowing // Arbutin // Whitening // Vit C // Pemutih )</t>
  </si>
  <si>
    <t>Md Glowing</t>
  </si>
  <si>
    <t>MD Glowing Official Shop</t>
  </si>
  <si>
    <t>ERTOS PORE MINIMIZER 20ML / SERUM PENGECIL PORI-PORI ERTO'S</t>
  </si>
  <si>
    <t>YOU Biomecera Advanced  Booster Serum 20 ml</t>
  </si>
  <si>
    <t>72</t>
  </si>
  <si>
    <t>C+ Brightening Booster (10% Vitamin C + 3% Alpha Arbutin)</t>
  </si>
  <si>
    <t>Alpha Arbutin</t>
  </si>
  <si>
    <t>ERHAIR Restore Shield Serum 100ml - Perawatan Rambut Kering &amp; Rusak</t>
  </si>
  <si>
    <t>Erhair</t>
  </si>
  <si>
    <t>Laneige Water Bank Moisture Essence 70ml</t>
  </si>
  <si>
    <t>71</t>
  </si>
  <si>
    <t>Hanasui Whitening Gold Serum New Look &amp; New Formula.</t>
  </si>
  <si>
    <t>SOMETHINC Bakuchiol Skinpair Oil Serum 20ml</t>
  </si>
  <si>
    <t>The Aubree Centella Herb Serum UNSCENTED 30 ml</t>
  </si>
  <si>
    <t>Dear Me Beauty 5% Inoceramide (Ceramide) + Pomegranate Extract Face Serum - 12ml</t>
  </si>
  <si>
    <t>70</t>
  </si>
  <si>
    <t>Airnderm Aesthetic Brightening Serum (by AIRIN BEAUTY)</t>
  </si>
  <si>
    <t>Avoskin Perfect Hydrating Treatment Essence - 100 Ml | Menjaga Kesegaran Dan Kelembapan Kulit</t>
  </si>
  <si>
    <t>Sk-Ii Genoptics Aura Essence</t>
  </si>
  <si>
    <t>SK-II</t>
  </si>
  <si>
    <t>Lotte Shopping Avenue Official Shop</t>
  </si>
  <si>
    <t>SOMETHINC 5% Niacinamide + Moisture Sabi Beet Serum 20ml</t>
  </si>
  <si>
    <t>69</t>
  </si>
  <si>
    <t>L'Occitane Reine Blanche Bright Serum 30mL New Formula [30 mL]</t>
  </si>
  <si>
    <t>ERTOS Retinol Serum Wajah BPOM ORIGINAL / Atasi Kerutan Noda Hitam Mencerahkan Wajah</t>
  </si>
  <si>
    <t>[Limited Edition] Olay Serum Wajah White Radiance Light Perfecting Essence Pencerah Skincare 30ml</t>
  </si>
  <si>
    <t>68</t>
  </si>
  <si>
    <t>Somethinc HYAluronic9+ Advanced + B5 Serum 40 ml</t>
  </si>
  <si>
    <t>Mineral Botanica Age Defying Serum</t>
  </si>
  <si>
    <t>67</t>
  </si>
  <si>
    <t>[BPOM] BREYLEE Pomegranate Serum Facial Mask - Melembabkan &amp; Menutrisi (30 ml)</t>
  </si>
  <si>
    <t>YOU Golden Age Refining Serum 5ml TRAVEL SIZE</t>
  </si>
  <si>
    <t>Secret Key Starting Treatment Essence 155ml</t>
  </si>
  <si>
    <t>Bioderma Hydrabio Serum 40ml - Hydrating Skin Barrier Bundle</t>
  </si>
  <si>
    <t>Bioderma</t>
  </si>
  <si>
    <t>Bioderma Official Shop</t>
  </si>
  <si>
    <t>SECA BAKUCHIOL 1% Serum</t>
  </si>
  <si>
    <t>66</t>
  </si>
  <si>
    <t>GEUT BY DR. T -  REVITALIZE Vitamin C+ Serum 10ml</t>
  </si>
  <si>
    <t>HALE Brightening Potion</t>
  </si>
  <si>
    <t>Hale</t>
  </si>
  <si>
    <t>Hale Official Shop</t>
  </si>
  <si>
    <t>Promo 2pcs Cleora Beauty Jelly Booster Free Pouch</t>
  </si>
  <si>
    <t>L'Oreal Paris Revitalift Crystal Micro Essence Serum Mask Skin Care Buy 3 Get 3</t>
  </si>
  <si>
    <t>PIXY White-Aqua Concentrated Brightening Serum</t>
  </si>
  <si>
    <t>Pixy</t>
  </si>
  <si>
    <t>Pixy Official Store</t>
  </si>
  <si>
    <t>65</t>
  </si>
  <si>
    <t>Westcare Bounce and Glow Serum</t>
  </si>
  <si>
    <t>Westcare</t>
  </si>
  <si>
    <t>Westcare Official Shop</t>
  </si>
  <si>
    <t>GEUT BY DR. T - REVITALIZE Vitamin C+ Serum 30ml</t>
  </si>
  <si>
    <t>ElsheSkin Radiant Skin Serum + Moisturizer for Acne Skin</t>
  </si>
  <si>
    <t>64</t>
  </si>
  <si>
    <t>Bio Essence Bio-Gold Double Serum 36ml - Perawatan Wajah Anti Aging</t>
  </si>
  <si>
    <t>Bio Essence Bio-Gold Radiance Cleanser 100 gr Twinpack Special</t>
  </si>
  <si>
    <t>Azarine AHA BHA Miraclear Herbal Peeling Serum 20ml</t>
  </si>
  <si>
    <t>AVOSKIN Your Skin Bae Ultimate Hyaluron + Hyacross 3% + Greentea SERUM 30ml</t>
  </si>
  <si>
    <t>( Buy 1 Get 1 ) Bio Essence Bio- Vlift Face Lifting Cream 45gr</t>
  </si>
  <si>
    <t>63</t>
  </si>
  <si>
    <t>SOMETHINC 10% Niacinamide BARRIER Serum 20ml</t>
  </si>
  <si>
    <t>HAPLE Sunshine Glow Booster</t>
  </si>
  <si>
    <t>Haple</t>
  </si>
  <si>
    <t>Haple Official Shop</t>
  </si>
  <si>
    <t>MSBB - Avoskin Your Skin Bae Lactic Acid 10% + Kiwi Fruit 5% + Niacinamide 2,5% High Dose Serum</t>
  </si>
  <si>
    <t>Garnier Light Complete White Speed Day Serum Cream Uva/Uvb Skin Care - 40 ml</t>
  </si>
  <si>
    <t>THE AUBREE Niacinamide Skin Booster 30ml</t>
  </si>
  <si>
    <t>Moriganic Grapeseed Oil Serum - Grape seed 30ml BPOM</t>
  </si>
  <si>
    <t>Moriganic</t>
  </si>
  <si>
    <t>Moriganic Official Shop</t>
  </si>
  <si>
    <t>Aesthetic Bluepin Excellen-C Face Serum</t>
  </si>
  <si>
    <t>Aesthetic Bluepin</t>
  </si>
  <si>
    <t>Glowgame Official Shop</t>
  </si>
  <si>
    <t>[BPOM] LANBENA Vitamin C Serum - Mencerahkan Wajah (30ml)</t>
  </si>
  <si>
    <t>Lanbena</t>
  </si>
  <si>
    <t>LANBENA Indonesia Official Shop</t>
  </si>
  <si>
    <t>SOME BY MI Yuja Niacin Blemish Care Serum</t>
  </si>
  <si>
    <t>Tuesbelle - LACOCO Dark Spot Essence - 12ml</t>
  </si>
  <si>
    <t>62</t>
  </si>
  <si>
    <t>Babor Dr. Babor Brightening Skin Corrector Ampoule Treatment 28x2 ML</t>
  </si>
  <si>
    <t>Babor</t>
  </si>
  <si>
    <t>Babor Indonesia Official Shop</t>
  </si>
  <si>
    <t>Bio Essence Bio White Day and Night Cream</t>
  </si>
  <si>
    <t>[BPOM] SOMETHINC Niacinamide Serum 20ml</t>
  </si>
  <si>
    <t>ElsheSkin Active Rejuvenating night Serum X ElsheSkin Vitamin C Serum</t>
  </si>
  <si>
    <t>61</t>
  </si>
  <si>
    <t>L'Occitane Reine Blanche Bright Cream New Formula [50 mL]</t>
  </si>
  <si>
    <t>Tull Jye Moisturizing Essence</t>
  </si>
  <si>
    <t>Olay Serum Wajah RETINOL 24 Anti Aging Skincare 30ml - Paket isi 2</t>
  </si>
  <si>
    <t>Lacoco Darkspot Essence 12ml</t>
  </si>
  <si>
    <t>Glowlabs Gentle Bright Serum (Powerful Brightening Skincare)</t>
  </si>
  <si>
    <t>Glowlabs Glo-C Serum &amp; Peptide Moist (Brightening Vitamin C &amp; Acne Prone Friendly Skincare)</t>
  </si>
  <si>
    <t>Bio Essence Bio White Whitening Day Cream 50gr - Perawatan Wajah</t>
  </si>
  <si>
    <t>60</t>
  </si>
  <si>
    <t>Hanasui Glow 10 Power Essence</t>
  </si>
  <si>
    <t>SOMETHINC Age Don't Care Exclusive Bundle</t>
  </si>
  <si>
    <t>Nacific Fresh Herb Origin Serum 50ml</t>
  </si>
  <si>
    <t>Lovila Glow Activation Booster Serum (2 Pcs)</t>
  </si>
  <si>
    <t>[GIFT NOT FOR SALE] Crystallure NFS Booster Essence 6 ml</t>
  </si>
  <si>
    <t>La Luna Anti Aging Serum - 30ml</t>
  </si>
  <si>
    <t>SOMETHINC 10% Niacinamide + Moisture Sabi Beet Max Brightening Serum 20ml</t>
  </si>
  <si>
    <t>59</t>
  </si>
  <si>
    <t>CLINELLE Caviar Gold Firming Serum - Face Serum Wajah</t>
  </si>
  <si>
    <t>Clinelle</t>
  </si>
  <si>
    <t>Clinelle Official Shop</t>
  </si>
  <si>
    <t>Botanity Flavon Serum Wajah 50ml</t>
  </si>
  <si>
    <t>Botanity</t>
  </si>
  <si>
    <t>Botanity Official Shop</t>
  </si>
  <si>
    <t>[The Face Shop]Yehwadam HGG Rejuvenating Serum - 45ml- Original</t>
  </si>
  <si>
    <t>Azalea Amazing Brightening Face Serum</t>
  </si>
  <si>
    <t>Azalea</t>
  </si>
  <si>
    <t>Inez 900 Anti Aging Serum</t>
  </si>
  <si>
    <t>Inez</t>
  </si>
  <si>
    <t>Inez Official Shop</t>
  </si>
  <si>
    <t>Hanada Brighten Up Body Serum 20 ml</t>
  </si>
  <si>
    <t>Wajah Bersih Maksimal</t>
  </si>
  <si>
    <t>58</t>
  </si>
  <si>
    <t>MSBB - Somethinc 10% Niacinamide + Moisture Sabi Beet Max Brightening Serum 20ml</t>
  </si>
  <si>
    <t>Bioderma Hydrabio Serum 40ml - Moisturizing Concentrate untuk Kulit Dehidrasi</t>
  </si>
  <si>
    <t>KANEBO Lift Serum Kit</t>
  </si>
  <si>
    <t>Kanebo</t>
  </si>
  <si>
    <t>Kanebo Cosmetics Official Shop</t>
  </si>
  <si>
    <t>Erto's For Men Toner Essence Serum</t>
  </si>
  <si>
    <t>[Official Distributor] Klairs: Rich Moist Soothing Serum 80ml</t>
  </si>
  <si>
    <t>Mirelle Glossy Serum (Glossy Series)</t>
  </si>
  <si>
    <t>Mirelle</t>
  </si>
  <si>
    <t>Mirelle Official Shop</t>
  </si>
  <si>
    <t>KOTA SEMARANG</t>
  </si>
  <si>
    <t>ElsheSkin Sebum Reducer Serum</t>
  </si>
  <si>
    <t>Indoganic Beauty Rose Essence C</t>
  </si>
  <si>
    <t>57</t>
  </si>
  <si>
    <t>[BPOM][Voucher]kkv-BREYLEE Step 2 Pore Minimizer Serum - Pengecil Pori Wajah (17ml)</t>
  </si>
  <si>
    <t>KKV Indonesia Official Shop</t>
  </si>
  <si>
    <t>dr. Ekle's Skincare - Glowing Serum Essence</t>
  </si>
  <si>
    <t>Dr. Ekle'S Skincare</t>
  </si>
  <si>
    <t>dr. Ekle's Skincare Official Shop</t>
  </si>
  <si>
    <t>56</t>
  </si>
  <si>
    <t>MSBB - Avoskin Hydrating Treatment Essence</t>
  </si>
  <si>
    <t>Premiere Beaute Luminous White Glow Brightening Whitening Serum 30ml</t>
  </si>
  <si>
    <t>Sulwhasoo Bloomstay Vitalizing Serum 50ml</t>
  </si>
  <si>
    <t>55</t>
  </si>
  <si>
    <t>Brightening Serum With Pearl &amp; Almond Extract - Beauty In The Pot - Skincare Alami BPOM Mencerahkan, Menghaluskan, &amp; Mengenyalkan Wajah</t>
  </si>
  <si>
    <t>Beauty In The Pot</t>
  </si>
  <si>
    <t>Beauty In The Pot Official Shop</t>
  </si>
  <si>
    <t>Garnier Light Complete White Speed Day Serum Cream UVA/UVB Skin Care - 40ml x 2 Pcs</t>
  </si>
  <si>
    <t>NEUTROGENA Hydro Boost Capsule in Serum - Perawatan Wajah 30ml - Isi 2</t>
  </si>
  <si>
    <t>Neutrogena</t>
  </si>
  <si>
    <t>Johnson &amp; Johnson Official Shop</t>
  </si>
  <si>
    <t>The Aubree Ginseng Renewing First Serum 30 ml</t>
  </si>
  <si>
    <t>Safi Expert Solutions Milk Drop Serum + Safi Expert Solutions Bio Skin Mosturizer SPF 34 PA++</t>
  </si>
  <si>
    <t>Langsre Brightspot Serum 30ml</t>
  </si>
  <si>
    <t>54</t>
  </si>
  <si>
    <t>Aizen Niacinamide Ascorbate 15% Ultra Ampoule - Serum Pencerah &amp; Perbaikan Kulit Wajah</t>
  </si>
  <si>
    <t>MEDGLOW CLINIC Alpha Arbutin Serum |Aesthetic Skincare Whitening Lightening Brightening Pemutih BPOM</t>
  </si>
  <si>
    <t>Rojukiss Korean Serum 8ml All Varian</t>
  </si>
  <si>
    <t>Rojukiss</t>
  </si>
  <si>
    <t>The Body Shop Oils Of Life Intensely Revitalising Facial Oil Serum 50ml</t>
  </si>
  <si>
    <t>COSRX Galactomyces 95 Tone Balancing Essence - 100 ml - Esens untuk Kulit Kusam - Skincare</t>
  </si>
  <si>
    <t>Bless Hydrating &amp; Brightening Serum 20ml</t>
  </si>
  <si>
    <t>Bless Cosmetics</t>
  </si>
  <si>
    <t>Bless Cosmetics Official Store</t>
  </si>
  <si>
    <t>53</t>
  </si>
  <si>
    <t>ELSHE SKIN Eyessential Night Serum 18ml</t>
  </si>
  <si>
    <t>SOMETHINC 10% Niacinamide + Moisture Sabi Beet Max Brightening Serum 40ml</t>
  </si>
  <si>
    <t>Azrina Brightening Secret Serum</t>
  </si>
  <si>
    <t>Azrina</t>
  </si>
  <si>
    <t>SOMEBYMI AHA BHA PHA 30 Days Miracle SERUM 50ml</t>
  </si>
  <si>
    <t>Benton Snail Bee Ultimate Serum</t>
  </si>
  <si>
    <t>SECA CERAMIDE Solution 3% Serum</t>
  </si>
  <si>
    <t>Benton Snail Bee High Content Skin</t>
  </si>
  <si>
    <t>KKV - [GET VOUCHER]Avoskin Perfect Hydrating Treatment Essence /untuk mencerahkan dan melembapkan /Brightening</t>
  </si>
  <si>
    <t>KKV Beauty Official Shop</t>
  </si>
  <si>
    <t>Roro Mendut Natural Ingredients Serum</t>
  </si>
  <si>
    <t>Roro Mendut</t>
  </si>
  <si>
    <t>Roro Mendut Skin Official Shop</t>
  </si>
  <si>
    <t>Astalift Infocus Cellative Serum 30 ml</t>
  </si>
  <si>
    <t>Astalift</t>
  </si>
  <si>
    <t xml:space="preserve">Astalift Indonesia </t>
  </si>
  <si>
    <t>52</t>
  </si>
  <si>
    <t>Derma Express Solution Essence</t>
  </si>
  <si>
    <t>Natasha by dr Fredi Setyawan Retinol White Night Serum</t>
  </si>
  <si>
    <t>Natasha by dr Fredi Setyawan Glowing Essence Serum</t>
  </si>
  <si>
    <t>Intense Ultimate Care 200ml - For Women</t>
  </si>
  <si>
    <t>Intense</t>
  </si>
  <si>
    <t>B29 Official Shop</t>
  </si>
  <si>
    <t>51</t>
  </si>
  <si>
    <t>Natur Miracle Brightening Face Serum :  Vitamin C &amp; Sour Lime</t>
  </si>
  <si>
    <t>Purivera Double Combo Skin Repair Package - Tamanu Bakuchiol 1% + Ceramide 3% Sea Buckthorn</t>
  </si>
  <si>
    <t>SOMEBYMI Yuja Niacin Blemish Care SERUM 50ml</t>
  </si>
  <si>
    <t>SCARLETT WHITENING - ACNE Serum 15ml</t>
  </si>
  <si>
    <t>I'm From Mugwort Essence - Size: 160 ml - Edit by Sociolla</t>
  </si>
  <si>
    <t>I'M From</t>
  </si>
  <si>
    <t>Somethinc Hyaluronic9 + Advanced + B5 Serum  20ml | 40ml</t>
  </si>
  <si>
    <t>The Body Shop Vitamin E Overnight Serum In Oil 28ml</t>
  </si>
  <si>
    <t>LUNICA Bundle | Aqua Blossom Serum &amp; Cream</t>
  </si>
  <si>
    <t>Bio Essence Bio White Advanced Whitening Serum 30 ml - Wajah Cerah</t>
  </si>
  <si>
    <t>50</t>
  </si>
  <si>
    <t>Glowlabs Probiome Acne Serum</t>
  </si>
  <si>
    <t>HAUM ALPHA MF 2% Alpha Arbutin 30 ml x 1</t>
  </si>
  <si>
    <t>J-GLOW - Skin Refining Serum Fungsi Untuk Kulit Berminyak Beruntus Atau Berjerawat -15ml</t>
  </si>
  <si>
    <t>J-Glow</t>
  </si>
  <si>
    <t>J-GLOW Official Shop</t>
  </si>
  <si>
    <t>MSBB - Somethinc AHA BHA PHA Peeling Solution 20 ml</t>
  </si>
  <si>
    <t>49</t>
  </si>
  <si>
    <t>Olay White Radiance Essence 7 ml</t>
  </si>
  <si>
    <t>Ella Skincare Glow Acne Tea Tree Serum</t>
  </si>
  <si>
    <t>Dear Me Beauty 10% Lactic Acid (AHA) + Pineapple Extract Face Serum - 12ml</t>
  </si>
  <si>
    <t>[BPOM] Implora Face Serum 20 ml- Brightening/Acne Serum/Midnight Serum/Peeling Serum</t>
  </si>
  <si>
    <t>Bio Essence Bio-Gold Night Cream 40 gr - Perawatan Wajah Anti Aging</t>
  </si>
  <si>
    <t>Bio Essence Bio-Vlift Face Lifting Cream 45gr - Wajah Anti Aging</t>
  </si>
  <si>
    <t>[innisfree] Forest for Men Pore Care All In One Essence 100ML - Serum Wajah, Perawatan Wajah</t>
  </si>
  <si>
    <t>Garnier Bright Complete White Speed Day Serum Cream UVA/UVB Skin Care - 20ml x 2 Pcs</t>
  </si>
  <si>
    <t>Aura Bright - Glutathione 5Ml</t>
  </si>
  <si>
    <t>Sulwhasoo First Care Activating Serum 90ml</t>
  </si>
  <si>
    <t>Mineral Botanica Perfect Purifying Face Serum</t>
  </si>
  <si>
    <t>48</t>
  </si>
  <si>
    <t>AVOSKIN Miraculous Refining Serum 30ml</t>
  </si>
  <si>
    <t>NIVEA Make Up Starter White Day Serum SPF 33 - 30 ml</t>
  </si>
  <si>
    <t>Nivea</t>
  </si>
  <si>
    <t>NIVEA Official Store</t>
  </si>
  <si>
    <t>Bio Essence BioWhite Advanced Whitening Night Cream 45gr - Wajah Cerah</t>
  </si>
  <si>
    <t>Safi Age Defy Gold Water Essence 30 ml Twinpack Special</t>
  </si>
  <si>
    <t>Pixy White Aqua Hydra Moist Essence 100 ML+ PIXY White-Aqua Concentrated Brightening Serum 17 ML</t>
  </si>
  <si>
    <t>Haum Lcid With Salicylic Acid 2% 28Ml</t>
  </si>
  <si>
    <t>Hyaluronic Acid Serum "Nadfaskin"</t>
  </si>
  <si>
    <t>Special Divine Pearl Serum - Size: 33 ml - Edit by Sociolla</t>
  </si>
  <si>
    <t>Klavuu</t>
  </si>
  <si>
    <t>Babor Active Purifier 7X2ML</t>
  </si>
  <si>
    <t>47</t>
  </si>
  <si>
    <t>[SPECIAL SET] Nacific Lip Tint + Fresh Herb Origin Serum</t>
  </si>
  <si>
    <t>(New Packaging) Skinua Pure O2 Mask Serum</t>
  </si>
  <si>
    <t>Skinua Natural Mask</t>
  </si>
  <si>
    <t>Skinua Official Shop</t>
  </si>
  <si>
    <t>Sulwhasoo Bloomstay Vitalizing Serum 50ml + First Care Activating Serum 30ml (Limited Set)</t>
  </si>
  <si>
    <t>The Body Shop Roots Of Strength Firming Serum 30ml</t>
  </si>
  <si>
    <t>Glowlabs Gentle Glow Essence (AHA, BHA, PHA + Centella Asiatica - Gentle Exfoliator)</t>
  </si>
  <si>
    <t>Haum Aloecid Niacinamide 10% 50 Gr X 1</t>
  </si>
  <si>
    <t>Sk-Ii Genoptics Spot Essence</t>
  </si>
  <si>
    <t>AVOSKIN YOUR SKIN BAE SERIES MARINE COLLAGEN 10% + GINSENG ROOT SERUM 30ML</t>
  </si>
  <si>
    <t>Bioderma Hydrabio Essence Lotion 200ml - Moisturizing and Radiance Booster untuk Kulit Dehidrasi</t>
  </si>
  <si>
    <t>Bio Essence Bio-Renew Foamy Cleanser 100 gr - Foam Cleanser</t>
  </si>
  <si>
    <t>Glowmy Glass Skin Pearlets Serum (20ml)</t>
  </si>
  <si>
    <t>Glowmy</t>
  </si>
  <si>
    <t>Glowmy Official Shop</t>
  </si>
  <si>
    <t>Bio Essence Bio-Gold Day Cream SPF24 40gr - Perawatan Wajah Anti Aging</t>
  </si>
  <si>
    <t>46</t>
  </si>
  <si>
    <t>Ponds Bright Beauty Power Serum 7.5 gr</t>
  </si>
  <si>
    <t>Shopee Supermarket</t>
  </si>
  <si>
    <t>[BPOM] Nutrishe Intensive Bright &amp; Glow Serum - 30ml</t>
  </si>
  <si>
    <t>ERTOS Anti Aging Gold Serum Original BPOM 100% / ERTO'S</t>
  </si>
  <si>
    <t>Dear Me Beauty 10% Lactobionic Acid (PHA) + Lime Extract Face Serum - 12ml</t>
  </si>
  <si>
    <t>Shiseido White Lucent Illuminating Micro Spot-Serum 50ML</t>
  </si>
  <si>
    <t>Melanox Premium Whitening Serum 15ml - Free Melanox Facial Wipes</t>
  </si>
  <si>
    <t>Melanox</t>
  </si>
  <si>
    <t>Surya Dermato Medica Labs</t>
  </si>
  <si>
    <t>45</t>
  </si>
  <si>
    <t>Glowlabs Retinol Cica Night Serum &amp; Peptide Moist (Powerful Anti-Aging &amp; Acne Prone Skincare)</t>
  </si>
  <si>
    <t>Olay Power Duo Krim Pelembab Regenerist Pagi &amp; White Radiance Serum Wajah Anti Aging Skincare</t>
  </si>
  <si>
    <t>MSBB - Avoskin Your Skin Bae Azeclair 10% + Kombucha 3% + Niacinamide 2,5% Vaccine Serum</t>
  </si>
  <si>
    <t>Somethinc AHA 7% BHA 1%, PHA 3% Weekly Peeling Control!</t>
  </si>
  <si>
    <t>Fresh Herb Origin Simple Set</t>
  </si>
  <si>
    <t>Pack of 2 - Votre Peau Skin Care Vitamin C Serum Pour Maharis Clinic 30ml</t>
  </si>
  <si>
    <t>Bioderma Hydrabio Serum 40ml</t>
  </si>
  <si>
    <t>FIRST LAB FIRST LAB Probiotic Skin Essence SIGNATURE 150ml</t>
  </si>
  <si>
    <t>First Lab</t>
  </si>
  <si>
    <t>Crushlicious Niacinamide Glow Up Facial Serum</t>
  </si>
  <si>
    <t>Crushlicious</t>
  </si>
  <si>
    <t>CRUSHLICIOUS Official Shop</t>
  </si>
  <si>
    <t>KAB. PURBALINGGA</t>
  </si>
  <si>
    <t>SOME BY MI AHABHAPHA 30 Days Miracle Travel Kit</t>
  </si>
  <si>
    <t>44</t>
  </si>
  <si>
    <t>Avoskin Perfect Hydrating Treatment Essence 30ml</t>
  </si>
  <si>
    <t>KF Skin - Acne Serum</t>
  </si>
  <si>
    <t>Some By Mi Snail Truecica Miracle Repair Series</t>
  </si>
  <si>
    <t>Garnier Sakura Glow Hyaluron Water - Glow Essence Skin Care x 3 pcs (Untuk Kulit Glowing Dari Dalam)</t>
  </si>
  <si>
    <t>CLINELLE PushUp Bust Firming &amp; Lifting Serum</t>
  </si>
  <si>
    <t>Raecca Glow It Up Serum [Official Store]</t>
  </si>
  <si>
    <t>Raecca</t>
  </si>
  <si>
    <t>Raecca Beauty Care Official Shop</t>
  </si>
  <si>
    <t>[BPOM] Avoskin Your Skin Bae Serum Alpha Arbutin 3% + Grapeseed</t>
  </si>
  <si>
    <t>Skinmee Dualmee Series Universal</t>
  </si>
  <si>
    <t>Huxley Essence; Brightly Ever After 30 ml</t>
  </si>
  <si>
    <t>Huxley</t>
  </si>
  <si>
    <t>Somethinc Niacinamide + Moisture Sabi Beet Serum 5% &amp; 10% 20ML | 40ML</t>
  </si>
  <si>
    <t>43</t>
  </si>
  <si>
    <t>[innisfree] Wrinkle Science Oil Serum 30ML - Serum Wajah, Perawatan Wajah</t>
  </si>
  <si>
    <t>L'Oreal Paris Crystal Aura Skin Essential Kit (Esssence &amp; Facial Cleanser Wash) Skin Care</t>
  </si>
  <si>
    <t>Avoskin Hydrating Treatment Essence 100ml</t>
  </si>
  <si>
    <t>[innisfree] Jeju Lava Seawater Essence 50ML - Serum Wajah, Perawatan Wajah</t>
  </si>
  <si>
    <t>Sulwhasoo Perfecting Cushion Intense No. 21 Medium Pink + Essential Lip Serum Stick</t>
  </si>
  <si>
    <t>[Buy 1 Get 1] Safi Age Defy Skin Booster</t>
  </si>
  <si>
    <t>Olay White Radiance Niacinamide + Cica Super Serum Brightening Skincare 30ML</t>
  </si>
  <si>
    <t>Luxcrime Venus Serum : Hydrating &amp; Glowing</t>
  </si>
  <si>
    <t>Luxcrime</t>
  </si>
  <si>
    <t>Luxcrime Official Shop</t>
  </si>
  <si>
    <t>Jarkeen Bundling Porcelain Skin Technology Series</t>
  </si>
  <si>
    <t>I Trust Nature Licorice Serum - Soothing &amp; Brightening</t>
  </si>
  <si>
    <t>I Trust Nature</t>
  </si>
  <si>
    <t>I Trust Nature Official Shop</t>
  </si>
  <si>
    <t>42</t>
  </si>
  <si>
    <t>Ella Skincare Glass Skin Rice Bran Essence</t>
  </si>
  <si>
    <t>NACIFIC Day and Night Set</t>
  </si>
  <si>
    <t>Nacific Phyto Niacin Whitening Essence 50ml</t>
  </si>
  <si>
    <t>NEUTROGENA Hydro Boost Capsule in Serum - Perawatan Wajah 30ml</t>
  </si>
  <si>
    <t>Iunik Propolis Vitamin Synergy Serum 50ml</t>
  </si>
  <si>
    <t>Iunik</t>
  </si>
  <si>
    <t>Iunik Official Shop</t>
  </si>
  <si>
    <t>ZUZU Brightening Serum</t>
  </si>
  <si>
    <t>Zuzu Beauty</t>
  </si>
  <si>
    <t>ZUZU Official Shop</t>
  </si>
  <si>
    <t>Shiseido Vital Perfection LiftDefine Radiance Serum 40ml</t>
  </si>
  <si>
    <t>Moriganic Sunflower Oil Serum - Sun Flower 30ml BPOM</t>
  </si>
  <si>
    <t>Sunflower</t>
  </si>
  <si>
    <t>41</t>
  </si>
  <si>
    <t>Roro Mendut Temulawak Pore Control Serum</t>
  </si>
  <si>
    <t>YU CHUN MEI Cordyceps Serum Whitening Essence 30ml</t>
  </si>
  <si>
    <t>Yu Chun Mei</t>
  </si>
  <si>
    <t>Cressindo Official Shop</t>
  </si>
  <si>
    <t>Yves Rocher White Botanical Youth Essence Anti Dark Spot 30 ML</t>
  </si>
  <si>
    <t>Yves Rocher</t>
  </si>
  <si>
    <t>Yves Rocher Official Shop</t>
  </si>
  <si>
    <t>Dear Me Beauty 10% Lactobionic Acid (PHA) + Lime Extract Face Serum - 32ml</t>
  </si>
  <si>
    <t>Nacific Real Floral Calendula Essence (50g)</t>
  </si>
  <si>
    <t>ERTOS Niacinamide Plus With Aloevera BPOM ORIGINAL</t>
  </si>
  <si>
    <t>40</t>
  </si>
  <si>
    <t>SECA ALPHA ARBUTIN 3% Serum</t>
  </si>
  <si>
    <t>SOMETHINC 5% Niacinamide + Moisture Sabi Beet Serum (40ml 5% sabi)</t>
  </si>
  <si>
    <t>Votre Peau Skin Care Bright &amp; Clear Package</t>
  </si>
  <si>
    <t>( Buy 1 Get 1 ) Bio Essence Bio-Gold Gold Water 100 Ml</t>
  </si>
  <si>
    <t>Frudia Pomegranate Nutri-Moisturizing Serum FREE Frudia Pouch Garis Vertikal</t>
  </si>
  <si>
    <t>Airnderm Aesthetic Premium Vitamin C Serum (by AIRIN BEAUTY)</t>
  </si>
  <si>
    <t>KANEBO The First Serum - 60ML</t>
  </si>
  <si>
    <t>39</t>
  </si>
  <si>
    <t>[innisfree] Green Tea Seed Serum Bundle</t>
  </si>
  <si>
    <t>Bio Essence Rose Gold Water Essence 30 ml - Perawatan Wajah Anti Aging</t>
  </si>
  <si>
    <t>Gold Diamond</t>
  </si>
  <si>
    <t>Bioessence Bio White Serum + Bio White Cleanser</t>
  </si>
  <si>
    <t>Calysta Serum Whitening</t>
  </si>
  <si>
    <t>Cyskin</t>
  </si>
  <si>
    <t>Calysta Skin Care Clinic Official Shop</t>
  </si>
  <si>
    <t>D'alba White Truffle First Spray Serum 100 ml</t>
  </si>
  <si>
    <t>D'Alba</t>
  </si>
  <si>
    <t>Crystallure Supr Revital Oil Serum 30ml</t>
  </si>
  <si>
    <t>Crystallur</t>
  </si>
  <si>
    <t>[BPOM] TRUEVE Serum Niacinamide 10% | Galactomyces peptide | BHA Cica | VitaminC | AHA BHA | Eye Gel</t>
  </si>
  <si>
    <t>MSBB - Somethinc 10% Niacinamide Barrier Serum - 20Ml</t>
  </si>
  <si>
    <t>AXIS-Y Artichoke Intensive Skin Barrier Ampoule 30ml</t>
  </si>
  <si>
    <t>Aizen SymWhite 377 3% Ultra Ampoule - Serum Pemutih &amp; Pencerah Kulit Wajah</t>
  </si>
  <si>
    <t>38</t>
  </si>
  <si>
    <t>Safi Age Defy Gold Water Essence 100ml Twinpack Special</t>
  </si>
  <si>
    <t>Real White AHA BHA Serum</t>
  </si>
  <si>
    <t>Safi White Expert Ultimate Essence 20ml Twinpack Special</t>
  </si>
  <si>
    <t>Nacific Pink Ahabha Serum (50ml)</t>
  </si>
  <si>
    <t>MSBB - Somethinc 10% Niacinamide + Moisture Sabi Beet Max Brightening Serum 40Ml</t>
  </si>
  <si>
    <t>WARDAH Hydra Rose Micro Gel Serum</t>
  </si>
  <si>
    <t>[BPOM] SOMETHINC 5% Niacinamide + Moisture Sabi Beet Serum</t>
  </si>
  <si>
    <t>Purivera Elixir Serum Oil Package Anti Acne - Aging - Whitening - Scar - Jerawat - Mencerahkan</t>
  </si>
  <si>
    <t>Avoskin Miraculous Retinol Ampoule - 30ml</t>
  </si>
  <si>
    <t>Serum Aura Essence "Nadfaskin"</t>
  </si>
  <si>
    <t>KANEBO Lift Serum - 50ML</t>
  </si>
  <si>
    <t>Safi Age Defy Gold Water Essence 30 ml + Naturals Micellar Water with Rose 100 ml</t>
  </si>
  <si>
    <t>NUTRISHE Intensive Bright &amp; Glow Serum Travel Size 20ml</t>
  </si>
  <si>
    <t>SOMETHINC CRIOUSLY 24K GOLD Essence (20 ml)</t>
  </si>
  <si>
    <t>37</t>
  </si>
  <si>
    <t>Ponds Age Miracle Double Action Retinol Serum Anti Aging 15 mL</t>
  </si>
  <si>
    <t>Bio Essence Bio-Gold Day Cream SPF 25 40 gr + Bio Essence Bio-Gold Night Cream 40 gr</t>
  </si>
  <si>
    <t>Tuesbelle - SOMETHINC Niacinamide+Moisture Sabi Beet Max 5%10% Brightening|Niacinamide Barrier Serum</t>
  </si>
  <si>
    <t>SOMETHINC 5% Niacinamide + Moisture Sabi Beet Serum 40ml</t>
  </si>
  <si>
    <t>Skinmee Dualmee Series Youthful</t>
  </si>
  <si>
    <t>Nacific Phyto Niacin Whitening Essence</t>
  </si>
  <si>
    <t>[BPOM] SOMETHINC Bakuchiol Skinpair Oil Serum 20ml</t>
  </si>
  <si>
    <t>Bioderma Sebium Global 30ml</t>
  </si>
  <si>
    <t>36</t>
  </si>
  <si>
    <t>BUHOTEI Implora Facial Serum Essence Midnight Serum Luminous Brightening Serum Acne Serum Peeling Serum</t>
  </si>
  <si>
    <t>Aish Serum Paket 10 Pcs Bebas Pilih Varian isi di catatan</t>
  </si>
  <si>
    <t>Dayskin Centella Intensive Brightening Serum</t>
  </si>
  <si>
    <t>Dayskin</t>
  </si>
  <si>
    <t>Dayskin Official Shop</t>
  </si>
  <si>
    <t>The Body Shop Himalayan Charcoal Clarifying Night Peel Serum 30ml</t>
  </si>
  <si>
    <t>I-Face Vitamin C Serum 10ml / Serum Wajah / Vitamin Wajah / Kulit Cerah / Antioksidan / Kolagen</t>
  </si>
  <si>
    <t>Century Health Official Shop</t>
  </si>
  <si>
    <t>Scarlett Whitening Glowtening Serum 15ml</t>
  </si>
  <si>
    <t>SYB Forte Red Jelly Glow Serum</t>
  </si>
  <si>
    <t>Syb Forte</t>
  </si>
  <si>
    <t>SYB Official Shop</t>
  </si>
  <si>
    <t>Sulwhasoo First Care Activating Serum Trial Kit</t>
  </si>
  <si>
    <t>35</t>
  </si>
  <si>
    <t>Viva Cosmetics Authorized Store Padang</t>
  </si>
  <si>
    <t>KOTA PADANG</t>
  </si>
  <si>
    <t>THE AUBREE Centella Herb Serum UNSCENTED 30ml</t>
  </si>
  <si>
    <t>BIOAQUA - Bioaqua 24K Gold Skin Brightening Serum Wajah Essence Cream</t>
  </si>
  <si>
    <t>Bioaqua</t>
  </si>
  <si>
    <t>BIOAQUA Indonesia Official Shop</t>
  </si>
  <si>
    <t>Sk-Ii R.N.A.Power Radical New Age Essence</t>
  </si>
  <si>
    <t>KLAIRS 	Freshly Juiced Vitamin Drop 35ml</t>
  </si>
  <si>
    <t>Adleeva - BUNDLING 2 pcs Serum (Flawless Brightening Serum &amp; Acne Fighter Serum)</t>
  </si>
  <si>
    <t>Illuminare Brightening Serum 30gr / Serum Pencerah / Serum Whitening / Skin Care / Flek Hitam</t>
  </si>
  <si>
    <t>Illuminare</t>
  </si>
  <si>
    <t>Natasha by dr Fredi Setyawan Renewal Diamond Caviar Serum</t>
  </si>
  <si>
    <t>Natasha</t>
  </si>
  <si>
    <t>ZUZU Darkspot Serum</t>
  </si>
  <si>
    <t>NATURE REPUBLIC Good Skin Ampoule - TEA TREE</t>
  </si>
  <si>
    <t>[BPOM] SOMETHINC 10% Niacinamide + Moisture Sabi Beet Brightening Serum 20ml/40ml</t>
  </si>
  <si>
    <t>ERTOS DARK SPOT 15ML / SERUM PENCERAH WAJAH &amp; PENGHILANG FLEK ERTO'S</t>
  </si>
  <si>
    <t>ElsheSkin Active Rejuvenating Night Serum X ElsheSkin Sebum Reducer Serum</t>
  </si>
  <si>
    <t>[SPECIAL SET] Nacific Lip Tint + Phyto Niacin Whitening Essence</t>
  </si>
  <si>
    <t>COSRX Hydrium Centella Aqua Soothing Ampoule - 40 ml - Ampul untuk Menenangkan - Skincare</t>
  </si>
  <si>
    <t>La Tulipe Essential Whitening Serum</t>
  </si>
  <si>
    <t>La Tulipe</t>
  </si>
  <si>
    <t>La Tulipe Official Shop</t>
  </si>
  <si>
    <t>34</t>
  </si>
  <si>
    <t>SOMETHINC Bakuchiol Skinrepair Oil Serum</t>
  </si>
  <si>
    <t>THE AUBREE Centella Herb Serum (Centella Asiatica + Niacinamide + Salicylic Acid) 30ml</t>
  </si>
  <si>
    <t>WHITELAB Brightening Face Serum 20ml</t>
  </si>
  <si>
    <t>Bio Beauty Lab Phyto Power Essence 50 mL</t>
  </si>
  <si>
    <t>Avoskin Your Skin Bae Niacinamide 12% + Centella Asiatica - 30ml</t>
  </si>
  <si>
    <t>GF TRILOGY CERTIFIED ORGANIC RHO 5ML</t>
  </si>
  <si>
    <t>Ertos Astaxanthine Whitening Essence Cream by Erto's Skincare</t>
  </si>
  <si>
    <t>For Skin's Sake FSS - Retinol Serum</t>
  </si>
  <si>
    <t>For Skin'S Sake</t>
  </si>
  <si>
    <t>For Skin's Sake Official Shop</t>
  </si>
  <si>
    <t>Sbcskin - Vit C 15 Skin Booster And Antioxidant Serum</t>
  </si>
  <si>
    <t>Sbc Skin</t>
  </si>
  <si>
    <t>Sbcskin Official Shop</t>
  </si>
  <si>
    <t>KAB. SUKABUMI</t>
  </si>
  <si>
    <t>Benton Fermentation Essence 100ml</t>
  </si>
  <si>
    <t>KKV - [GET VOUCHER]Avoskin Miraculous Refining Serum/ AHA/BHA/Niacinamide</t>
  </si>
  <si>
    <t>Nature Reaction Serum Wajah Glowing Putih Bersih Bebas Jerawat Kusam Bintik Hitam Terdaftar BPOM</t>
  </si>
  <si>
    <t>Purivera Double Treat Whitening - Chromabright + Niacinamide 5% As Kojic Acid Vitamin C Alternative</t>
  </si>
  <si>
    <t>33</t>
  </si>
  <si>
    <t>BREYLEE SETS of SERUM A - Mencerahkan &amp; Mengencangkan Wajah (2pcs)</t>
  </si>
  <si>
    <t>Somethinc Bakuchiol Skinpair Oil Serum 20ml</t>
  </si>
  <si>
    <t>KF Skin - Serum Silky</t>
  </si>
  <si>
    <t>[ONLY 9-12 SEPT] Ultimune Power Infusing Concentrate Serum 3.0 30 ml</t>
  </si>
  <si>
    <t>BREYLEE Cleaning &amp; Acne Treatment Serum Set (3 pcs)</t>
  </si>
  <si>
    <t>KANEBO Smoothing Serum - 100ML</t>
  </si>
  <si>
    <t>Avoskin Perfect Hydrating Treatment Essence (100 ml)</t>
  </si>
  <si>
    <t>Le d'Olla Nuovo Caviar &amp; Ginseng Essence</t>
  </si>
  <si>
    <t>Le D'Olla</t>
  </si>
  <si>
    <t xml:space="preserve">Le d'Olla Official Shop </t>
  </si>
  <si>
    <t>L'OREAL Revitalift Micro-Essence Water Skin Care - 130ml</t>
  </si>
  <si>
    <t>Joylab Skinotic Probiotic Package (Water Essence &amp; Moisture Gel)</t>
  </si>
  <si>
    <t>Joylab</t>
  </si>
  <si>
    <t>JOYLAB Official Shop</t>
  </si>
  <si>
    <t>Buy 1 Get 1 Bio Essence Bio White Advanced Whitening Serum 30 ml</t>
  </si>
  <si>
    <t>TRUEVE Vitamin C &amp; Ceramide Brightening Serum 30ml</t>
  </si>
  <si>
    <t>Niacid 50ml By Slurp All In One Anti Acne Serum 20ml | 50ml</t>
  </si>
  <si>
    <t>Pixy White Aqua Hydra Moist Essence Netto - 100 ML</t>
  </si>
  <si>
    <t>( Buy 1 Get 1 ) Bio Water Soothing Cleansing Gel 150ml</t>
  </si>
  <si>
    <t>32</t>
  </si>
  <si>
    <t>DERMALUZ Lucem Smothees Power Serum with Galactomyces</t>
  </si>
  <si>
    <t>[innisfree] Wrinkle Science Spot Treatment 40ML</t>
  </si>
  <si>
    <t>Wardah C-Defense Serum 17Ml</t>
  </si>
  <si>
    <t>Kalonea Skincare Triple Brightening Serum - BPOM</t>
  </si>
  <si>
    <t>Kalonea Skincare</t>
  </si>
  <si>
    <t>Kalonea SkinCare Official Shop</t>
  </si>
  <si>
    <t>Somethinc Niacinamide Moisture Beet / Hyaluronic B5 / Aha Bha Pha Peeling Solution Serum 20 Ml</t>
  </si>
  <si>
    <t>SERUM MOISTURIZER BTX ELLA SKIN CARE</t>
  </si>
  <si>
    <t>MISSHA Misa Yei Hyun Emulsion (140ml)</t>
  </si>
  <si>
    <t>MSBB - Somethinc Bakuchiol Skinpair Oil Serum 20ml</t>
  </si>
  <si>
    <t>Dr.Jart+ Vital Hydra Solution Biome Essence with Intensive Blue Shot 150 ml</t>
  </si>
  <si>
    <t>Hydra</t>
  </si>
  <si>
    <t>AVOSKIN YOUR SKIN BAE SERIES LACTIC ACID 10% + KIWI EXTRACT 5% + NIACINAMIDE 2,5% SERUM 30 ML</t>
  </si>
  <si>
    <t>Babor Lifting Cellular Collagen Infusion 28ML</t>
  </si>
  <si>
    <t>MD Glowing Brightening Face Serum (Pencerah Wajah/Muka)</t>
  </si>
  <si>
    <t>Revlon Evivesse Face Essence 30 ml</t>
  </si>
  <si>
    <t>Revlon</t>
  </si>
  <si>
    <t>Revlon Official Shop</t>
  </si>
  <si>
    <t>Silver Moon Calming Serum - Haple</t>
  </si>
  <si>
    <t>DR Rochelle Serum 15 Ml</t>
  </si>
  <si>
    <t>Dr. Rochelle</t>
  </si>
  <si>
    <t>DR Rochelle Official Shop</t>
  </si>
  <si>
    <t>Votre Peau Skin Care Bye Bye Wrinkles Package</t>
  </si>
  <si>
    <t>31</t>
  </si>
  <si>
    <t>Tea Tree Serum 20ml "Nadfaskin"</t>
  </si>
  <si>
    <t>Somethinc 10% Niacinamide Barrier Serum 20 ml</t>
  </si>
  <si>
    <t>ElsheSkin Active Rejuvenating Serum X ElsheSkin Smoothing Serum For Acne Skin</t>
  </si>
  <si>
    <t>AVOSKIN Perfect Hydrating Treatment Essence Valentine Special Edition 100ml</t>
  </si>
  <si>
    <t>Humphrey Niacinamide 10% + ‌Hyaluronic Acid Serum</t>
  </si>
  <si>
    <t>Humphrey</t>
  </si>
  <si>
    <t>Humphrey Official Shop</t>
  </si>
  <si>
    <t>MSBB - Somethinc HYALuronic9+ Advanced + B5 Serum 20Ml</t>
  </si>
  <si>
    <t>Somethinc Level 1% Retinol 20ml</t>
  </si>
  <si>
    <t>SOMETHINC Salmon DNA + Marine Collagen Elixir 20ml</t>
  </si>
  <si>
    <t>Bio Essence Rose Gold Water Essence 100ml - Perawatan Wajah Anti Aging</t>
  </si>
  <si>
    <t>Hanasui Acne Spot Gel</t>
  </si>
  <si>
    <t>Dr.Jart+ Cryo Rubber with Brightening Vitamin C</t>
  </si>
  <si>
    <t>SERUM SEOUL ORGANIC / SERUM WAJAH WHITENING ORGANIK DAN SERUM ANTI ACNE JERAWAT</t>
  </si>
  <si>
    <t>Seoul</t>
  </si>
  <si>
    <t>Aizen Bakuchiol 10% Ultra Ampoule - Serum Anti-Aging &amp; Perbaikan Kulit Wajah</t>
  </si>
  <si>
    <t>Haum LCID Salicylic Acid 2% Serum - 28ml</t>
  </si>
  <si>
    <t>Garnier Light Complete Booster Serum 15ml + Micellar Oil  400ml (Untuk Kulit Cerah Bebas Makeup)</t>
  </si>
  <si>
    <t>30</t>
  </si>
  <si>
    <t>Glowmy  The Ultimate Centella Acne Serum (20ml)</t>
  </si>
  <si>
    <t>Ikigai Galactomyces Serum</t>
  </si>
  <si>
    <t>Ikigai</t>
  </si>
  <si>
    <t>Ikigai Skincare Official Shop</t>
  </si>
  <si>
    <t>Nutrishe Intensive Bright &amp; Glow Serum 30ml</t>
  </si>
  <si>
    <t>SOMETHINC 10% Niacinamide Barrier Serum</t>
  </si>
  <si>
    <t>Safi Age Defy Anti Aging Skin Booster Face Mist 75ml - Perawatan Wajah</t>
  </si>
  <si>
    <t>HISTOIRE NATURELLE Lactobacillus Refine Serum I (30ml)</t>
  </si>
  <si>
    <t>Naturelle</t>
  </si>
  <si>
    <t>Histoire Naturelle Official Shop</t>
  </si>
  <si>
    <t>Somethinc 5% Niacinamide + Moisture Sabi Beet Serum 20 mL</t>
  </si>
  <si>
    <t>HAUM ALPHA MF 2% Alpha Arbutin 30 ml</t>
  </si>
  <si>
    <t>Scarlett Whitening Paket Reseller 24 Item</t>
  </si>
  <si>
    <t>Yves Rocher Anti Age Global The Anti-Aging Correcting  Supra Essence 50 ML</t>
  </si>
  <si>
    <t>Avoskin Your Skin Bae Alpha Arbutin 3% + Grapeseed Serum - 30ml</t>
  </si>
  <si>
    <t>MISSHA All Around Essence Sun SPF45/PA+++ (50ml) Free Airy Fit Sheet Mask 2 pcs (Shea Butter)</t>
  </si>
  <si>
    <t>MSBB - Elsheskin Radiant Supple Serum</t>
  </si>
  <si>
    <t>Fruit Mix Willow Peeling Glow Serum / Natural AHA BHA / Fruit aha</t>
  </si>
  <si>
    <t>SOMETHINC CRIOUSLY 24K GOLD Essence (40ml)</t>
  </si>
  <si>
    <t>29</t>
  </si>
  <si>
    <t>Precious Skin Hya Whitening Booster Face Serum / Anti Aging Face Serum / Serum Wajah &amp; Muka 10ml</t>
  </si>
  <si>
    <t>Beautybarme- IMPLORA FACE SERUM LUMINOUS BRIGHT SERUM ACNE PEELING MIDNIGHT SERUM WAJAH (BPOM)</t>
  </si>
  <si>
    <t>SOMETHINC C-RIOUSLY 24K Gold Essence 40ml</t>
  </si>
  <si>
    <t>Ultima II Clear White Supreme Face Essence 30 ml</t>
  </si>
  <si>
    <t>Bio Essence Bio Treatment Essence In Oil 60 ml - Perawatan Wajah</t>
  </si>
  <si>
    <t>Bio Essence Bio White Advanced Whitening Cleanser 100 gr Twinpack Special</t>
  </si>
  <si>
    <t>BIOKOS Botu Like Intensive Correcting Serum</t>
  </si>
  <si>
    <t>Biokos</t>
  </si>
  <si>
    <t>Martha Tilaar Official Shop</t>
  </si>
  <si>
    <t>NATURE REPUBLIC Green Derma Mild Cica Serum</t>
  </si>
  <si>
    <t>[LIMITED EDITION] L'Occitane Immortelle Overnight Reset Serum  [50 ML]</t>
  </si>
  <si>
    <t>Olay White Radiance Light Perfecting Essence 30ml</t>
  </si>
  <si>
    <t>Radi Skin Vitamin C Glow Serum</t>
  </si>
  <si>
    <t>Radi Skin</t>
  </si>
  <si>
    <t>Radi Skin Official Shop</t>
  </si>
  <si>
    <t>Pond's Instabright Tone Up Milk Essence 50 ml</t>
  </si>
  <si>
    <t>MSBB - Somethinc 5% Niacinamide Barrier Serum - 20Ml</t>
  </si>
  <si>
    <t>HUXLEY Essence Brightly Ever After 30ml</t>
  </si>
  <si>
    <t>Huxley Official Shop</t>
  </si>
  <si>
    <t>Bio Essence Bio-Gold Water Essence 100ml - Perawatan Wajah Anti Aging</t>
  </si>
  <si>
    <t>Langsre Hydraluronic Serum 30ml</t>
  </si>
  <si>
    <t>[POTONGAN 31.250 SAAT CHECKOUT] Mineral Botanica Ceramide Serum</t>
  </si>
  <si>
    <t>Rojukiss Tea Tree Bija Pro Acne Serum - size : 8 ml - Edit by Sociolla</t>
  </si>
  <si>
    <t>Crushlicious Overnight Glow Serum</t>
  </si>
  <si>
    <t>28</t>
  </si>
  <si>
    <t>Bio Essence Bio White Advanced Whitening Refiner Toner 100 ml - Wajah</t>
  </si>
  <si>
    <t>[Buy 1 Get 1] Bio Essence Bio White Advanced Whitening Refiner 100 ml</t>
  </si>
  <si>
    <t>CLINNELE PureSwiss Hydracalm Serum 20 ml - Face Serum Wajah</t>
  </si>
  <si>
    <t>Dove Deodorant Dry Serum Regenerate Care Collagen + Vitamin B3 Anti Bakteri 50 mL</t>
  </si>
  <si>
    <t>Avoskin Your Skin Bae Marine Collagen 10% + Ginseng Root - 30ml</t>
  </si>
  <si>
    <t>Avoskin Your Skin Bae Vitamin C 3% + Niacinamide 2% + Mandarin Orange Fruit Extract Serum - 30ml</t>
  </si>
  <si>
    <t>GLOWINC POTION ACNECORE+ Clear AC Serum</t>
  </si>
  <si>
    <t>Glowinc</t>
  </si>
  <si>
    <t>GLOWINC POTION Official Shop</t>
  </si>
  <si>
    <t>HISTOIRE NATURELLE Lactobacillus Series Bundle (Foam, Toner &amp; Serum full size)</t>
  </si>
  <si>
    <t>[BPOM] SCARLETT Whitening Acne Serum 15ml</t>
  </si>
  <si>
    <t>DERMALOGICA Biolumin-C Serum (30ml) - Face Serum Wajah Vitamin C</t>
  </si>
  <si>
    <t>Dermalogica</t>
  </si>
  <si>
    <t>Dermalogica Indonesia Official Shop</t>
  </si>
  <si>
    <t>MSBB - Avoskin Perfect Hydrating Treatment Essence Special Valentine 100ml</t>
  </si>
  <si>
    <t>Serum Pelembap LUNICA Aqua Blossom -  Serum</t>
  </si>
  <si>
    <t>Erha21 Age Corrector Serum 20 Ml</t>
  </si>
  <si>
    <t>Erha 21</t>
  </si>
  <si>
    <t>27</t>
  </si>
  <si>
    <t>Avoskin Your Skin Bae Salicylic Acid 2% Serum 30ml</t>
  </si>
  <si>
    <t>AKNEMA - BHA + HA Serum - #1 Acne Solution</t>
  </si>
  <si>
    <t>Aknema</t>
  </si>
  <si>
    <t>AKNEMA Official Shop</t>
  </si>
  <si>
    <t>Safi Age Defy Concentrated Serum 20ml Twinpack Special</t>
  </si>
  <si>
    <t>Biokos Derma Bright Intensive Brightening Serum</t>
  </si>
  <si>
    <t>SOMEBYMI Propolis B5 Glow Barrier Calming Serum 50ml</t>
  </si>
  <si>
    <t>Nuface Nu Glow Liquid Acneprone Care Serum (Serum Acne)</t>
  </si>
  <si>
    <t>Nuface</t>
  </si>
  <si>
    <t>Oemah Herborist Official Shop</t>
  </si>
  <si>
    <t>La Tulipe La Tulipe C Serum</t>
  </si>
  <si>
    <t>[The Face Shop] Yehwadam Pure Brightening Serum - 45ml - Original</t>
  </si>
  <si>
    <t>FACE UP ACTIVATE ESSENCE LE SERUM ULTIME</t>
  </si>
  <si>
    <t>Face Up</t>
  </si>
  <si>
    <t>Sinergia Beaute Official Shop</t>
  </si>
  <si>
    <t>ULTRA V Idebenone Treatment Essence - Idebenone 4 ampoule bonus I-wand</t>
  </si>
  <si>
    <t>Idebenone</t>
  </si>
  <si>
    <t>Ocydia Official Shop</t>
  </si>
  <si>
    <t>Skin Dewi Tamanu Green Serum 30ml (Skincare Organic)</t>
  </si>
  <si>
    <t>Skin Dewi Official Shop</t>
  </si>
  <si>
    <t>COLLAGEN BY WATSONS Youth Secret Supreme Serum 35ml</t>
  </si>
  <si>
    <t>Collagen by Watsons</t>
  </si>
  <si>
    <t>SOMETHINC 5% Niacinamide Barrier Serum</t>
  </si>
  <si>
    <t>WHITELAB Acne Calming Serum 20ml</t>
  </si>
  <si>
    <t>[BPOM] Avoskin Your Skin Bae Serum Niacinamide 12% + Centella Asiatica</t>
  </si>
  <si>
    <t>Humphrey Vitamin C Whitening Plus Serum 20ml (Kulit Berminyak)</t>
  </si>
  <si>
    <t>Precious Skin Vitamin C Lemon Facial Whitening Serum All skin Type / Serum Wajah / Serum Muka 50ml</t>
  </si>
  <si>
    <t>ANTI ACNE &amp; BRIGHTENING SERUM</t>
  </si>
  <si>
    <t>Mineral Botanica Glo It Up - Peptide Serum 20ml</t>
  </si>
  <si>
    <t>BREYLEE SETS of SERUM B - Mencerahkan &amp; Menyegarkan Wajah (2pcs)</t>
  </si>
  <si>
    <t>M LAB SERUM</t>
  </si>
  <si>
    <t>Mizzu Cosmetics</t>
  </si>
  <si>
    <t>Mizzu Official Shop</t>
  </si>
  <si>
    <t>SOMETHINC Level 1% Retinol 20ml</t>
  </si>
  <si>
    <t>26</t>
  </si>
  <si>
    <t>Maharis Skin Care Sublime Serum 30ml</t>
  </si>
  <si>
    <t>Maharis Skin Care</t>
  </si>
  <si>
    <t>Maharis Official Shop</t>
  </si>
  <si>
    <t>ERHA TRUWHITE VIT C AND PEPTIDES SERUM 20ML | Membuat Kulit Wajah lebih cerah dan glowing</t>
  </si>
  <si>
    <t>Bio Essence Bio-Gold Golden Ratio Double Serum + Radiant Cleanser 100 gr</t>
  </si>
  <si>
    <t>Somethinc Salmon DNA + Marine Colagen Elixir 20 ml</t>
  </si>
  <si>
    <t>HISERHA Booster Essence All In One 60ml - Serum Pencerah Wajah Pria</t>
  </si>
  <si>
    <t>His Erha</t>
  </si>
  <si>
    <t>Calysta Tranexamic Niacin Serum</t>
  </si>
  <si>
    <t>Calysta</t>
  </si>
  <si>
    <t>Sercret Wish by Angel Lelga Glow Infusion Serum | Serum Glowing | Serum 20ml</t>
  </si>
  <si>
    <t>Secret Wish</t>
  </si>
  <si>
    <t>Secret Wish Official Shop</t>
  </si>
  <si>
    <t>Viva Cosmetics Authorized Store Bandung</t>
  </si>
  <si>
    <t>Avoskin YSB Vitamin C 3% + Niacinamide 2% Mandarin Orange Fruit Extract Serum</t>
  </si>
  <si>
    <t>Precious Skin Alpha Arbutin 3Plus Glow &amp; Shine Collagen Face Serum / Serum Pemutih Wajah 50ml</t>
  </si>
  <si>
    <t>Mirelle Acne Serum (Acne Series)</t>
  </si>
  <si>
    <t>WHITELAB BRIGHTENING FACE SERUM 20ML</t>
  </si>
  <si>
    <t>BREYLEE SETS of SERUM E - Mencerahkan &amp; Melembabkan Wajah (2pcs)</t>
  </si>
  <si>
    <t>Yves Rocher Lifting Serum 30ml</t>
  </si>
  <si>
    <t>Somethinc Niacinamide Barrier Serum 5% &amp; 10% 20ml | 40ml</t>
  </si>
  <si>
    <t>25</t>
  </si>
  <si>
    <t>NUTRISHE Intensive Bright &amp; Glow Serum 20ml</t>
  </si>
  <si>
    <t>BLITHE VITAL TREATMENT ESSENCE - 8 NOURISH BEANS 150 ML</t>
  </si>
  <si>
    <t>Blithe</t>
  </si>
  <si>
    <t xml:space="preserve">I'm From Mugwort Essence - size:30 ml- Edit by Sociolla </t>
  </si>
  <si>
    <t>Whitelab Brightening Face Serum 20ml</t>
  </si>
  <si>
    <t>The Ordinary Buffet - 60ml</t>
  </si>
  <si>
    <t>Combo : Retinol Cream with Brightening Essence</t>
  </si>
  <si>
    <t>Votre Peau Skincare</t>
  </si>
  <si>
    <t>Avoskin Hydrating Treatment Essence (New Formula)</t>
  </si>
  <si>
    <t>MSBB - Somethinc 5% Niacinamide + Moisture Sabi Beet Serum 40Ml</t>
  </si>
  <si>
    <t>THE ORDINARY Niacinamide 10% + Zinc 1% 30ml</t>
  </si>
  <si>
    <t>Essence Cosmetics Official Shop</t>
  </si>
  <si>
    <t>MSBB - Somethinc Salmon DNA + Marine Collagen Elixir - 20ml</t>
  </si>
  <si>
    <t>Garnier Sakura Glow Hyaluron Water - Glow Essence Skin Care (Untuk Kulit Glowing Dari Dalam)</t>
  </si>
  <si>
    <t>Bio Essence Bio-Gold Water Essence 150ml - Perawatan Wajah Anti Aging</t>
  </si>
  <si>
    <t>SOMETHINC Hyaluronic B5 20ml</t>
  </si>
  <si>
    <t>Mineral Botanica Niacinamide &amp; Ceramide Serum Beauty Package</t>
  </si>
  <si>
    <t>24</t>
  </si>
  <si>
    <t>SCARLETT WHITENING - BRIGHTLY Serum 15ml</t>
  </si>
  <si>
    <t>SOMEBYMI Super Matcha Pore Tightening Serum 50ml</t>
  </si>
  <si>
    <t>Azarine Lightening Serum 20 ml C White</t>
  </si>
  <si>
    <t>L'OREAL Dex Revitalift Crystal Micro-Essence Water 22ml</t>
  </si>
  <si>
    <t>Natasha by dr Fredi Setyawan Moist Tea Tree Serum</t>
  </si>
  <si>
    <t>L’Occitane - Immortelle Precious Serum</t>
  </si>
  <si>
    <t>Ultima II Paket Procollagen Extrema</t>
  </si>
  <si>
    <t>PURITO Pure Vitamin C Serum</t>
  </si>
  <si>
    <t>Purito</t>
  </si>
  <si>
    <t>Purito Official Shop</t>
  </si>
  <si>
    <t>Cosrx Advance Snail 96 Mucin Power Essence 100ml</t>
  </si>
  <si>
    <t>Sekkisei Sun Protect Essence Gel</t>
  </si>
  <si>
    <t>Kose</t>
  </si>
  <si>
    <t>KOSE Official Store</t>
  </si>
  <si>
    <t>Hersall Bundle Watermelon Ice Cream Serum &amp; Moon Fairy Serum</t>
  </si>
  <si>
    <t>Hersall</t>
  </si>
  <si>
    <t>Hersall Official Shop</t>
  </si>
  <si>
    <t>SECA VITAMIN C 4% Serum</t>
  </si>
  <si>
    <t>ZUZU Acne Serum</t>
  </si>
  <si>
    <t>PROMO Seger Snow Serum Moisturizing 2pcs &amp; Seger Snow Anti anging 1pcs GRATIS Totebag</t>
  </si>
  <si>
    <t>Seger Snow</t>
  </si>
  <si>
    <t>Seger Surya Official Shop</t>
  </si>
  <si>
    <t>COSRX Hydrium Triple Hyaluronic Moisture Ampoule - 40 ml - Ampul untuk kulit kering - Skincare</t>
  </si>
  <si>
    <t>Iunik Propolis Vitamin Synergy Serum 15ml</t>
  </si>
  <si>
    <t>HISERHA Acne Essence 60 ml - Serum Wajah Jerawat Khusus Pria</t>
  </si>
  <si>
    <t>[BPOM] LANBENA Vitamin C Serum - Mencerahkan Wajah (15ml)</t>
  </si>
  <si>
    <t>ADARA C Bright Serum 30ML | Brightening Serum</t>
  </si>
  <si>
    <t>Adara</t>
  </si>
  <si>
    <t>Adara Indonesia Official Shop</t>
  </si>
  <si>
    <t>Somethinc Level 1% Retinol - 20ml</t>
  </si>
  <si>
    <t>SECA HYALURONIC ACID Solution 3% Serum</t>
  </si>
  <si>
    <t>23</t>
  </si>
  <si>
    <t>Joylab Skinotic Water Essence - 50ml with Probiotic</t>
  </si>
  <si>
    <t>AVOSKIN Hydrating Treatment Essence 100ml</t>
  </si>
  <si>
    <t>MD Glowing Acne Serum (Serum Wajah // Serum Muka // Meratakan Bekas Jerawat)</t>
  </si>
  <si>
    <t>Click House Skin Brightening Serum</t>
  </si>
  <si>
    <t>Click House</t>
  </si>
  <si>
    <t>Click House Official Shop</t>
  </si>
  <si>
    <t>Purivera Perfect Combination for Dull Skin - Chromabright + Tamanu Bakuchiol 1%</t>
  </si>
  <si>
    <t>Pack of 2 - Brightening Essence 50ml</t>
  </si>
  <si>
    <t>SECA AHA 10% Serum</t>
  </si>
  <si>
    <t>AHA Collagen Plus+</t>
  </si>
  <si>
    <t>Scarlett Acne Serum 15 mL</t>
  </si>
  <si>
    <t>L'OREAL Revitalift 1.5% Hyaluronic Acid Serum 30ml</t>
  </si>
  <si>
    <t>Buy 1 Get 1 Glowing Serum</t>
  </si>
  <si>
    <t>Baby Pink Skincare</t>
  </si>
  <si>
    <t>Baby Pink Skincare Official Shop</t>
  </si>
  <si>
    <t>KAB. CIREBON</t>
  </si>
  <si>
    <t>Envygreen Pore Minimizer Serum 5gr</t>
  </si>
  <si>
    <t>Envygreen</t>
  </si>
  <si>
    <t>Nox Coffee Serum</t>
  </si>
  <si>
    <t>Nox</t>
  </si>
  <si>
    <t>NOX Official Shop</t>
  </si>
  <si>
    <t>Avoskin Your Skin Bae Salicylic Acid 2% + Zinc - 30ml</t>
  </si>
  <si>
    <t>SECA COLLAGEN 1% + PEPTIDE Serum</t>
  </si>
  <si>
    <t>Iunik Tea Tree Relief Serum 50ml</t>
  </si>
  <si>
    <t>Sarae Glowing Serum Niacinamide with CICA 20ml - Centella  Asiatica</t>
  </si>
  <si>
    <t>Zoya Cosmetics</t>
  </si>
  <si>
    <t>Zoya Cosmetics Official Shop</t>
  </si>
  <si>
    <t>L'Oreal Paris Brightening Crystal Skin Set</t>
  </si>
  <si>
    <t>MSBB - Bio Beauty Lab Phyto Power Essence</t>
  </si>
  <si>
    <t>HUXLEY Oil Essence  Essence-Like, Oil-Like 30ml</t>
  </si>
  <si>
    <t>Dear Me Beauty 10% Lactic Acid (AHA) + Pineapple Extract Face Serum - 32ml</t>
  </si>
  <si>
    <t>22</t>
  </si>
  <si>
    <t>PIXY White-Aqua Concentrated Brightening Serum 17 ML + Pixy White Aqua Brightening Mask 50 GR</t>
  </si>
  <si>
    <t>Age Defy Glowing Raya 3</t>
  </si>
  <si>
    <t>[BPOM] Avoskin Your Skin Bae Serum Marine Collagen 10% + Ginseng Root</t>
  </si>
  <si>
    <t>AHC Peony Bright Luminous Serum - Size: 40 ml - Edit by Sociolla</t>
  </si>
  <si>
    <t>AHC</t>
  </si>
  <si>
    <t>Elshe Skin Radiant Skin Serum 20 ml</t>
  </si>
  <si>
    <t>NOW OR NEVER BUNDLE ( anti aging bundling ) mencegah kerutan dan melembabkan</t>
  </si>
  <si>
    <t>Avoskin Miraculous Retinol Ampoule 30ml</t>
  </si>
  <si>
    <t>Somethinc 10% Niacinamide + Moisture Sabi Beet Max Brightening Serum - 20ml</t>
  </si>
  <si>
    <t>AVOSKIN YOUR SKIN BAE SERIES Azeclair 10% + Kombucha 3% + Niacinamide 2,5% Vaccine Serum</t>
  </si>
  <si>
    <t>SECA Clarifying Package</t>
  </si>
  <si>
    <t>NATURE REPUBLIC Snail Solution Skin Booster</t>
  </si>
  <si>
    <t>Natasha by dr Fredi Setyawan L22 Lightening Oil Serum</t>
  </si>
  <si>
    <t>DREAMY by Nikita Willy - Acne Serum</t>
  </si>
  <si>
    <t>Nikita</t>
  </si>
  <si>
    <t>Dreamy Official Shop</t>
  </si>
  <si>
    <t>Beautybarme - Lacoco Dark Spot Essence Bpom</t>
  </si>
  <si>
    <t>Radi Skin Hyaluronic Acid Moist Serum</t>
  </si>
  <si>
    <t>Trisia Soybean Whitening Serum</t>
  </si>
  <si>
    <t>Trisia</t>
  </si>
  <si>
    <t>Trisia Official Shop</t>
  </si>
  <si>
    <t>[innisfree] Forest for Men Trouble Care All In One Essence 100ML - Serum Wajah, Perawatan Wajah</t>
  </si>
  <si>
    <t>NPURE Face Essence Centella Asiatica (Cica series) 20ml</t>
  </si>
  <si>
    <t>SNP PREP Vitaronic SOS Ampoule</t>
  </si>
  <si>
    <t>Serum NR Serum Wajah Glowing Nature Reaction Crystal Bright</t>
  </si>
  <si>
    <t>21</t>
  </si>
  <si>
    <t>L'Occitane Reine Blanche Whitening Rich Cream [50 mL]</t>
  </si>
  <si>
    <t>Bio Essence Bio Bounce Collagen Skin Enhancer 100 ml</t>
  </si>
  <si>
    <t>LV-OVERCONCENTRATED LIFT SERUM 5ML TUBE</t>
  </si>
  <si>
    <t>Humphrey Vitamin C &amp; Collagen Plus Serum 20ml (Kulit Kering)</t>
  </si>
  <si>
    <t>L'OREAL L'Oreal Paris Revitalift Crystal Micro Essence 65ml</t>
  </si>
  <si>
    <t>KF Skin - Serum Darkspot</t>
  </si>
  <si>
    <t>Ozora Timeless Skin Vitamin C Serum</t>
  </si>
  <si>
    <t>Timeless</t>
  </si>
  <si>
    <t>Ozora Skincare Official Shop</t>
  </si>
  <si>
    <t>SCARLETT WHITENING - GLOWTENING Serum 15ml</t>
  </si>
  <si>
    <t>For Skin's Sake FSS - Vitamin C Serum</t>
  </si>
  <si>
    <t>[Yehwadam] Hwansaenggo Ultimate Rejuvenating Serum - 45ml - Original</t>
  </si>
  <si>
    <t>Iunik Beta Glucan Power Moisture Serum 50ml</t>
  </si>
  <si>
    <t>SOMEBYMI Galactomyces Pure Vitamin C Glow Serum 30ml</t>
  </si>
  <si>
    <t>Hada Labo Shirojyun ULT Whit Essence 30 gr</t>
  </si>
  <si>
    <t>Hada Labo</t>
  </si>
  <si>
    <t>Histoire Naturelle Lactobacillus Best Couple</t>
  </si>
  <si>
    <t>NEOGEN DERMALOGY REAL C SERUM</t>
  </si>
  <si>
    <t>Neogen Dermalogy</t>
  </si>
  <si>
    <t>Neogen Dermalogy Official Shop</t>
  </si>
  <si>
    <t>HAYEJIN Blessing of Sprout Enriched Serum Twinpack - 2pcs</t>
  </si>
  <si>
    <t>Lysca White Serum 20ml Whitening Booster</t>
  </si>
  <si>
    <t>Lysca</t>
  </si>
  <si>
    <t>Lysca Official Shop</t>
  </si>
  <si>
    <t>[BPOM] SOMETHINC Level 1% Retinol 20ml</t>
  </si>
  <si>
    <t>Yves Rocher Anti Age Global The Anti-Aging Illuminating Care 15 ML</t>
  </si>
  <si>
    <t>Rojukiss Orange C+ Bright Pore Care Serum-size : 8 ml-Edit by Sociolla</t>
  </si>
  <si>
    <t>ElsheSkin Radiant Supple Serum + Daily Protection for Acne</t>
  </si>
  <si>
    <t>20</t>
  </si>
  <si>
    <t>HUXLEY  Essence Grab Water 30ml</t>
  </si>
  <si>
    <t>Beauty Package - Retinoid Overnight Oil &amp; Niacinamide Serum</t>
  </si>
  <si>
    <t>TRUEVE BHA &amp; Cica Acne Serum 30ml</t>
  </si>
  <si>
    <t>NPURE Cica Face Essence</t>
  </si>
  <si>
    <t>Bioderma Atoderm Creme 200ml &amp; Hydrabio Serum 40ml - Skin Barrier Set</t>
  </si>
  <si>
    <t>Mamonde Vital Vitamin Essence 100ml</t>
  </si>
  <si>
    <t>Humprey Anti Acne Plus Serum 20ml  (Kulit Jerawat)</t>
  </si>
  <si>
    <t>BIYU Hyaluronic Acid Serum (Pelembab)</t>
  </si>
  <si>
    <t>Biyu</t>
  </si>
  <si>
    <t>BIYU Official Shop</t>
  </si>
  <si>
    <t>So Natural Red Peel Tingle Serum 35ml</t>
  </si>
  <si>
    <t>So Natural</t>
  </si>
  <si>
    <t>So Natural For Your Skin Official Shop</t>
  </si>
  <si>
    <t>Yoqueen Beauty Light Booster Serum 30ml</t>
  </si>
  <si>
    <t>Yoqueen</t>
  </si>
  <si>
    <t>Yoqueen Official Shop</t>
  </si>
  <si>
    <t>KAB. SUMEDANG</t>
  </si>
  <si>
    <t>Make Over Hydration Serum</t>
  </si>
  <si>
    <t>I-Face Vitamin C 10 Ml / Iface/ Serum Vitamin C/ Serum Pemutih</t>
  </si>
  <si>
    <t>RETELA Official Shop</t>
  </si>
  <si>
    <t>Calysta Serum Untuk Kulit Berjerawat</t>
  </si>
  <si>
    <t>ElsheSkin Special Bundle for You</t>
  </si>
  <si>
    <t>Saffbeautys Serum Brightening Saffron Niacinamide Serum Wajah Serum Muka Glowing Bpom</t>
  </si>
  <si>
    <t>Saffbeautys</t>
  </si>
  <si>
    <t>Saffbeautys Official Shop</t>
  </si>
  <si>
    <t>NATURE REPUBLIC Snail Solution Essence</t>
  </si>
  <si>
    <t>SECA Acne Fighter Bundle  (BHA + Bakuchiol)</t>
  </si>
  <si>
    <t>Energy Serum - MS GLOW FOR MEN</t>
  </si>
  <si>
    <t>MS GLOW FOR MEN Official Shop</t>
  </si>
  <si>
    <t>Sulwhasoo First Care Activating Serum 15ml</t>
  </si>
  <si>
    <t>Jarkeen Double Brightening Treatment</t>
  </si>
  <si>
    <t>SOMETHINC Bright Skin Pair 20 ml</t>
  </si>
  <si>
    <t>THE AUBREE Rose Bloom Petal Essence 120ml</t>
  </si>
  <si>
    <t>Rojukiss Eggplant Dark Spot Serum - Edit by Sociolla</t>
  </si>
  <si>
    <t>Humphrey Serum Plus Kemasan Lama 20ml</t>
  </si>
  <si>
    <t>19</t>
  </si>
  <si>
    <t>Votre Peau Skin Care Advanced 30-Days Brighter Treatment Package</t>
  </si>
  <si>
    <t>Glowlabs AM-PM Routine (Glo-C Serum &amp; Retinol Cica Night Serum)</t>
  </si>
  <si>
    <t>SOME BY MI Galactomyces Pure Vitamin C Glow Serum</t>
  </si>
  <si>
    <t>All In One Serum (Booster) (FREE THR)</t>
  </si>
  <si>
    <t>Yass Official Shop</t>
  </si>
  <si>
    <t>KOTA SAMARINDA</t>
  </si>
  <si>
    <t>L'Oreal Revitalift Pro-Youth Face Mask Skin Elasticity + Anti Aging x 3pcs</t>
  </si>
  <si>
    <t>FIRST LAB FIRST LAB Resveratrol Ampoule 10ml</t>
  </si>
  <si>
    <t>Beautybarme - Nacific Fresh Herb Origin Serum 50 Ml Original 100 % Bpom</t>
  </si>
  <si>
    <t>Somethinc Holygrail Multipeptide Youth Elixir 20 ml</t>
  </si>
  <si>
    <t>SNAIL WHITENING SERUM</t>
  </si>
  <si>
    <t>Keyglow</t>
  </si>
  <si>
    <t>Keyglow Official Shop</t>
  </si>
  <si>
    <t>COSRX Pure Fit Cica Serum - size : 30 ml - Edit by Sociolla</t>
  </si>
  <si>
    <t>Garnier Sakura White Booster Serum 15ml + Micellar Water Rose 400ml (Untuk Kulit Glowing &amp; Merona)</t>
  </si>
  <si>
    <t>GLAMGLOW SUPERSERUM 6-Acid Refining Treatment</t>
  </si>
  <si>
    <t>Glamglow</t>
  </si>
  <si>
    <t>BeautyBox Official Shop</t>
  </si>
  <si>
    <t>NATURE REPUBLIC Ginseng Royal Silk Ampoule Effector 4 Weeks Program</t>
  </si>
  <si>
    <t>JUMISO All Day Vitamin Brightening &amp; Balancing Facial Serum 30ml</t>
  </si>
  <si>
    <t>Rhein Serum Vit C</t>
  </si>
  <si>
    <t>Rhein</t>
  </si>
  <si>
    <t>Bio Essence - Bio White Starter Pack - Perawatan Wajah</t>
  </si>
  <si>
    <t>L'Oreal Paris Revitalift Crystal Micro Essence Serum Mask Skin Care (Kulit Tampak Sebening Kristal)</t>
  </si>
  <si>
    <t>DERMALUZ Facial Treatment Power Essence with Galactomyces</t>
  </si>
  <si>
    <t>Babor 3D Firming Fluid 2X7 ML</t>
  </si>
  <si>
    <t>Babor Collagen Booster Fluid 7x2 ML</t>
  </si>
  <si>
    <t>Safi Age Defy Gold Water Essence 30 ml + Naturals Micellar Water with Neem 100 ml</t>
  </si>
  <si>
    <t>Somethinc HYALuronic9+ Advanced + B5 Serum</t>
  </si>
  <si>
    <t>KANEBO Illuminating Serum Kit</t>
  </si>
  <si>
    <t>Aizen Carnosine Astaxanthin 4% Ultra Ampoule - Serum Antioxidant &amp; Anti-Aging Kulit Wajah</t>
  </si>
  <si>
    <t>18</t>
  </si>
  <si>
    <t>Beauty of Joseon Serum (Glow, Calming, Repair)</t>
  </si>
  <si>
    <t>Beauty Of Joseon</t>
  </si>
  <si>
    <t>Babor Beauty Rescue Fluid 7X2ML</t>
  </si>
  <si>
    <t>Beautybarme - Somethinc Niacinamide 40 Ml/20 Ml</t>
  </si>
  <si>
    <t>Bio Essence Bio Water Foamy Cleanser 100 gr - Perawatan Wajah Sensitif</t>
  </si>
  <si>
    <t>AHC Peony Bright Luminous Serum - Size: 10 ml - Edit by Sociolla</t>
  </si>
  <si>
    <t>Yoqueen Beauty Serum for Acne 30ml</t>
  </si>
  <si>
    <t>Bio Essence Bio Bounce Collagen Essence 30 ml - Perawatan Wajah</t>
  </si>
  <si>
    <t>PURITO Centella Green Level Buffet Serum</t>
  </si>
  <si>
    <t>Mila D'opiz Cavia Ampoule 5ml / Miladopiz</t>
  </si>
  <si>
    <t>Mila D'Opiz</t>
  </si>
  <si>
    <t>Mila D'Opiz Official Shop</t>
  </si>
  <si>
    <t>SOME BY MI Super Matcha Pore Tightening Serum</t>
  </si>
  <si>
    <t>Joylab Wonderskin Power Serum - 15ml</t>
  </si>
  <si>
    <t>Garnier Light Complete Booster Serum 15ml + Micellar Water Pink 400ml (Untuk Kulit Bersih &amp; Cerah)</t>
  </si>
  <si>
    <t>Nacific Fresh Cica Plus Clear Serum (50ml)</t>
  </si>
  <si>
    <t>Tuesbelle - BHUMI HPR Retinol Serum - 30 ml</t>
  </si>
  <si>
    <t>Keybysa Clearly Gold Serum</t>
  </si>
  <si>
    <t>Key Skin Matters By SA</t>
  </si>
  <si>
    <t>Key Skin Matters by SA Official Shop</t>
  </si>
  <si>
    <t>Kalonea Skincare Acne Spot Treatment Serum  BPOM</t>
  </si>
  <si>
    <t>SOMETHINC Holygrail Multipeptide Youth Elixir 20ml</t>
  </si>
  <si>
    <t>CLINELLE WhitenUp Brightening Serum 20 ml - Face Serum Wajah</t>
  </si>
  <si>
    <t>Mazaya Dermo Vitamin C Serum with Astaxanthin 10ml</t>
  </si>
  <si>
    <t>Mazaya</t>
  </si>
  <si>
    <t>Mazaya Cosmetics Official Shop</t>
  </si>
  <si>
    <t>17</t>
  </si>
  <si>
    <t>Nacific Fresh Herb Origin Serum</t>
  </si>
  <si>
    <t>Deep Green Tea Serum</t>
  </si>
  <si>
    <t>Aquila - Dazzling Glow Vitamin C Barrier Serum/Mencerahkan/Flek Hitam</t>
  </si>
  <si>
    <t>Dazzling</t>
  </si>
  <si>
    <t>Aquila Official Shop</t>
  </si>
  <si>
    <t>KAB. INDRAMAYU</t>
  </si>
  <si>
    <t>Junkisui Refreshing Spots Serum</t>
  </si>
  <si>
    <t>Probeauty Serum Acne / Serum Totol Jerawat Ampuh 1 Malam Kempes / Galactosyl Salicylate Serum</t>
  </si>
  <si>
    <t>Probeauty</t>
  </si>
  <si>
    <t>Probeauty Official Shop</t>
  </si>
  <si>
    <t>KAB. MOJOKERTO</t>
  </si>
  <si>
    <t>TABITHA SKIN WHITE Brightening + Serum ( BrightSe )</t>
  </si>
  <si>
    <t>Tabitha Skin White</t>
  </si>
  <si>
    <t>Tabitha Skin White Official Shop</t>
  </si>
  <si>
    <t>MD Glowing Brightening Plus Collagen Serum (Pencerah Wajah/Muka)</t>
  </si>
  <si>
    <t>SKEYNDOR Power Retinol Intensive Repairing Serum in Cream</t>
  </si>
  <si>
    <t>Skeyndor</t>
  </si>
  <si>
    <t>SKEYNDOR INDONESIA</t>
  </si>
  <si>
    <t>NOVEXPERT BOOSTER SERUM VITAMIN C Brightening Treatment 30ml</t>
  </si>
  <si>
    <t>Novexpert</t>
  </si>
  <si>
    <t>SOME BY MI AHABHAPHA 30 Days Miracle Serum</t>
  </si>
  <si>
    <t>BUHOTEI Hanasui Vit C + Collagen Facial Serum Anti Acne Serum Vitamin C New Look &amp; New Formula BPOM</t>
  </si>
  <si>
    <t>er-1 Gold Serum – Serum Anti Aging - by dr. Erna Purnamasari</t>
  </si>
  <si>
    <t>er-1</t>
  </si>
  <si>
    <t>dr. Erna's Beauty &amp; HealthCare Official Shop</t>
  </si>
  <si>
    <t>Bio Essence Bio Water Soothing Cleanser Gel 150 ml - Perawatan Wajah</t>
  </si>
  <si>
    <t>Mesoestetic Aox Ferulic 30ml</t>
  </si>
  <si>
    <t>Mesoestetic</t>
  </si>
  <si>
    <t>Mesoestetic Official Shop</t>
  </si>
  <si>
    <t>KF Skin - Serum White and Beauty</t>
  </si>
  <si>
    <t>FIRST LAB FIRST LAB Probiotic Pore Tightening Essence 30ml</t>
  </si>
  <si>
    <t>Xi XiU FACE SERUM WHITENING GOLD</t>
  </si>
  <si>
    <t>Xi Xiu</t>
  </si>
  <si>
    <t>Xi XiU Official Shop</t>
  </si>
  <si>
    <t>Envygreen Pore Minimizer Serum - 10gr</t>
  </si>
  <si>
    <t>Bio Essence Bio White Advanced Whitening Refiner 100 ml + Bio White Advanced Whitening Serum 30 ml</t>
  </si>
  <si>
    <t>SHAPELYNE V Shape Facial Lift ~ Serum Untuk Merampingkan Wajah</t>
  </si>
  <si>
    <t>V Shape</t>
  </si>
  <si>
    <t>Shapelyne Official Shop</t>
  </si>
  <si>
    <t>KAB. BOGOR</t>
  </si>
  <si>
    <t>Bio Essence Bio Water Moist In Water Gel/Cream 50gr - Perawatan Wajah</t>
  </si>
  <si>
    <t>Moist Diane</t>
  </si>
  <si>
    <t>SKEYNDOR Pure Vitamin C Intense Recovery Factor</t>
  </si>
  <si>
    <t>[The Face Shop] Yehwadam Plum Flower Revitalizing Serum - 45ml - Original</t>
  </si>
  <si>
    <t>MSBB - ElsheSkin Active Rejuvenating Night Serum</t>
  </si>
  <si>
    <t>THE POTIONS  - Azulene Ampoule 20ml</t>
  </si>
  <si>
    <t>the Potions</t>
  </si>
  <si>
    <t>The Potions Official Shop</t>
  </si>
  <si>
    <t>Moriganic Avocado Oil Serum 30ml BPOM</t>
  </si>
  <si>
    <t>Serum Glass Skin for Anti Aging, Calming, Whitening Marwah Skin Care</t>
  </si>
  <si>
    <t>Marwah</t>
  </si>
  <si>
    <t>Marwah Bandung Authorized Shop</t>
  </si>
  <si>
    <t>Beauty Package - Niacinamide &amp; Hyaluronic Acid Serum</t>
  </si>
  <si>
    <t>Sulwhasoo Bloomstay Vitalizing Serum 30ml</t>
  </si>
  <si>
    <t>16</t>
  </si>
  <si>
    <t>Bio Essence Bio-Vlift Face Lifting Cream 45 gr</t>
  </si>
  <si>
    <t>Gloskin Xpert Serum Package</t>
  </si>
  <si>
    <t>Xpert</t>
  </si>
  <si>
    <t>GLOSKIN By DNM Official Shop</t>
  </si>
  <si>
    <t>Bio Essence BioWater Moistin Water Lotion Toner 150ml - Wajah Sensitif</t>
  </si>
  <si>
    <t>Double Anti Aging &amp; Brightening Intensive Serum</t>
  </si>
  <si>
    <t>SA Naturel by Shandy Aulia</t>
  </si>
  <si>
    <t>SA Naturel Official Shop</t>
  </si>
  <si>
    <t>Nacific Fresh Cica Plus Clear Serum 50ml</t>
  </si>
  <si>
    <t>Joylab Bundling Wonderskin 1 (Serum &amp; Creme) Free Gotta Matcha Hydrating Cleanser Mini</t>
  </si>
  <si>
    <t>Holika Holika Prime Youth 24K Gold Repair Ampoule</t>
  </si>
  <si>
    <t>Holika Holika</t>
  </si>
  <si>
    <t>Holika Holika Indonesia Official Store</t>
  </si>
  <si>
    <t>OMNISKIN Watermelon Glow Waterfull Whitening Serum 20ml</t>
  </si>
  <si>
    <t>Omniskin</t>
  </si>
  <si>
    <t>Hiqween Bundling Face Essence dan Face Serum</t>
  </si>
  <si>
    <t>Hiqween</t>
  </si>
  <si>
    <t>Hiqween Skin Nutrition Official Shop</t>
  </si>
  <si>
    <t>Ponds White Beauty Perfect Potion Essence</t>
  </si>
  <si>
    <t>Illuminare Youth Serum 30ml / Anti Aging / Serum / Skin Care / Anti Kerutan</t>
  </si>
  <si>
    <t>Natur-E White Brightening Serum [DANAWSRM]</t>
  </si>
  <si>
    <t>THE POTIONS - Peptide Ampoule 20ml</t>
  </si>
  <si>
    <t>PROMO Seger Snow Serum Moisturizing &amp; Skin Lightening Cream Limited Edition GRATIS Totebag</t>
  </si>
  <si>
    <t>Sekkisei Clear Treatment Essence</t>
  </si>
  <si>
    <t>Dermacept RX VC 10% Serum 10ml</t>
  </si>
  <si>
    <t>Dermacept RX</t>
  </si>
  <si>
    <t>Raiku Brightening Serum 30ml</t>
  </si>
  <si>
    <t>Raiku</t>
  </si>
  <si>
    <t>Raiku Beauty Official Shop</t>
  </si>
  <si>
    <t>Berdua Lebih Hemat Glowing Night Cream + Glowing Serum</t>
  </si>
  <si>
    <t>PURITO Centella Unscented Serum 60 ml ( Memperkuat dan Memulihkan Kulit , Memperbaiki Kulit yang Rusak , Menenangkan Kulit Iritasi ) - Normal , Sensitif</t>
  </si>
  <si>
    <t>Femmue - Lumière Vital C</t>
  </si>
  <si>
    <t>Femmue</t>
  </si>
  <si>
    <t>FEMMUE Official Shop</t>
  </si>
  <si>
    <t>Olay Regenerist Micro Sculpting Serum 50gr</t>
  </si>
  <si>
    <t>Wardah Lightening Facial Serum 5x5ml</t>
  </si>
  <si>
    <t>Ultima II Procollagen Supreme Caviar Face Essence 30 ml</t>
  </si>
  <si>
    <t>Skin Aqua Tone Up UV Essence Sunscreen SPF 50 40 gr</t>
  </si>
  <si>
    <t>The Potions Azulene Ampoule 20Ml</t>
  </si>
  <si>
    <t>Guardian Official Shop</t>
  </si>
  <si>
    <t>J-GLOW - Serum Ever Glow (Memberikan Efek Lebih Cerah &amp; Glowing) - 15ml</t>
  </si>
  <si>
    <t>Probeauty Serum Acne Plus / Serum Whitening Acne Untuk Memutihkan Bekas Noda Jerawat</t>
  </si>
  <si>
    <t>Bio Essence Bio-Gold Rose Gold Water 30 ml Twinpack Special</t>
  </si>
  <si>
    <t>Probeauty Night Serum Glow / Whitening Glowing Pearl Serum With Conchiolin Protein &amp; hyarulonic acid</t>
  </si>
  <si>
    <t>Buy 1 Get 1 Bio Essence Bio-Renew Deep Cleanser 100 gr</t>
  </si>
  <si>
    <t>Safi  Age Defy Gold Water Essence 30ml</t>
  </si>
  <si>
    <t>Scarlett Whitening Brightly Ever After Serum 15ml</t>
  </si>
  <si>
    <t>15</t>
  </si>
  <si>
    <t>[FREE COTTON MASK] Haple (Bundle) La Luna Anti-Aging Serum &amp; Silvermoon Calming Serum</t>
  </si>
  <si>
    <t>5% Niacinamide + Greentea Skinbright Serum</t>
  </si>
  <si>
    <t>SCARLETT Whitening Acne Serum 15ml</t>
  </si>
  <si>
    <t>er-1 Pure Bright Serum - Serum Pencerah Wajah - by dr. Erna Purnamasari</t>
  </si>
  <si>
    <t>Ikigai Basic Bundling Set</t>
  </si>
  <si>
    <t>Nuface Nu Glow Liquid Brighten &amp; Supple Skin Serum (Niacinamide, Licorice Extract, Vit C)</t>
  </si>
  <si>
    <t>[BPOM] SOMETHINC Criously 24K Gold Essence 20ml / 40ml</t>
  </si>
  <si>
    <t>Ultima II Procollagen Extrema Day Lotion 30 ml</t>
  </si>
  <si>
    <t>Femmue - Ideal Intense</t>
  </si>
  <si>
    <t>Sbcskin - Bundling Sunscreen Oily + Serum Vit C (Hemat 28k)</t>
  </si>
  <si>
    <t>Osho - Phyto Natural Enrich Whitening Essence 45 ml</t>
  </si>
  <si>
    <t>Osho</t>
  </si>
  <si>
    <t>Daeng Gi Meo Ri Official Shop</t>
  </si>
  <si>
    <t>Somethinc 5% Niacinamide + Moisture Sabi Beet Serum - 20ml</t>
  </si>
  <si>
    <t>Aish Serum Paket 5pcs Bebas Pilih Varian Sertakan Varian di Catatan</t>
  </si>
  <si>
    <t>Aizen L-Glutathione 10% Ultra Ampoule - Serum Pemutih &amp; Antioxidant Kulit Wajah</t>
  </si>
  <si>
    <t>Frudia Green Grape Pore Serum FREE Frudia Pouch Garis Vertikal</t>
  </si>
  <si>
    <t>HISTOIRE NATURELLE Dream Skin Bundle</t>
  </si>
  <si>
    <t>Glamore Skincare Premium Serum Alpha Arbutin 15 ml</t>
  </si>
  <si>
    <t>Glamore Skincare Official Shop</t>
  </si>
  <si>
    <t>Hanasui Vitamin C + Collagen Serum New Look &amp; New Formula</t>
  </si>
  <si>
    <t>MSBB - (NOT FOR SALE) Jarte - Cica Care Ampoule 5Ml</t>
  </si>
  <si>
    <t>Natasha by dr Fredi Setyawan First Serum</t>
  </si>
  <si>
    <t>Airnderm Aesthetic Serum Snail Gold (by AIRIN BEAUTY)</t>
  </si>
  <si>
    <t>NATURE REACTION CRYSTAL BRIGHT SERUM |NATURE REACTION CRYSTAL SERUM NATURE REACTION SERUM 100% ORI</t>
  </si>
  <si>
    <t>NATURE REPUBLIC Real Squeeze Aloe Vera Essence</t>
  </si>
  <si>
    <t>Dear Me Beauty 10% vitamin C + Orange Extract Face Serum 12ml</t>
  </si>
  <si>
    <t>Osho - Phyto Natural Enrich Wrinkle &amp; Whitening Eye Serum 30 ml</t>
  </si>
  <si>
    <t>Bio Essence Bio-Renew Exfoliating Gel 60 gr Twinpack Special</t>
  </si>
  <si>
    <t>Lightening Essence (Serum Mutiara) Marwah Skin Care</t>
  </si>
  <si>
    <t>SNP Prep Cicaronic Toning Essence 220ml</t>
  </si>
  <si>
    <t>Daita Baby Face Serum + Vitamin C</t>
  </si>
  <si>
    <t>Daita</t>
  </si>
  <si>
    <t>Daita Cosmetic Official Shop</t>
  </si>
  <si>
    <t>Secret Key Starting Treatment Essence Rose Edition - size : 150 ml</t>
  </si>
  <si>
    <t>Sercret Wish by Angel Lelga Anti Aging Serum | Serum Anti Aging | 20ml</t>
  </si>
  <si>
    <t>The SAEM Gold Lifting Essence 40ml</t>
  </si>
  <si>
    <t>The Saem</t>
  </si>
  <si>
    <t>The SAEM Official Shop</t>
  </si>
  <si>
    <t>Beauty Package - Retinoid Overnight Oil &amp; Hyaluronic Acid Serum</t>
  </si>
  <si>
    <t>14</t>
  </si>
  <si>
    <t>Scarlett Whitening Brightly Ever After Serum 15 mL</t>
  </si>
  <si>
    <t>SECA Anti Aging Bundle</t>
  </si>
  <si>
    <t>SPECIAL BUNDLING - Placentor Regenerating Serum &amp; Anti Ageing Cream -  Serum &amp; Anti Penuaan Dini</t>
  </si>
  <si>
    <t>Placentor</t>
  </si>
  <si>
    <t>Placentor Vegetal Official Shop</t>
  </si>
  <si>
    <t>AVOSKIN Perfect Hydrating Treatment Essence | Hydrating Treatment | Refining Toner Serum Retinol</t>
  </si>
  <si>
    <t>Ariul Watermelon Hydro Glow Serum - Size: 55 ml - Edit by Sociolla</t>
  </si>
  <si>
    <t>Ariul</t>
  </si>
  <si>
    <t>HAUM BUNDLING ALPHA MF + C</t>
  </si>
  <si>
    <t>Npure Face Essence Centella Asiatica (Cica Series) 20ml</t>
  </si>
  <si>
    <t>NATURE REPUBLIC Around The Nature Treatment Essence</t>
  </si>
  <si>
    <t>Babor Rose Toning Essence 200 ML</t>
  </si>
  <si>
    <t>Babor Thermal Toning Essence 200 ML</t>
  </si>
  <si>
    <t>Mazaya Dermo Whitening Serum with Astaxanthin 15ml</t>
  </si>
  <si>
    <t>NACIFIC Pink AHABHA Serum</t>
  </si>
  <si>
    <t>[BPOM] AVOSKIN Miraculous Retinol Ampoule 30ml</t>
  </si>
  <si>
    <t>SOMETHINC Niacinamide + Moisture Beet Serum</t>
  </si>
  <si>
    <t>Sbcskin - Whitening Complex Serum</t>
  </si>
  <si>
    <t>Beautybarme - Whitelab Series Lengkap Bpom</t>
  </si>
  <si>
    <t>SNP mini Royal Honey Essence</t>
  </si>
  <si>
    <t>Somethinc 10% Niacinamide + Moisture Sabi White Max Brightening Serum 20 mL</t>
  </si>
  <si>
    <t>AVOSKIN Your Skin Bae Azeclair 10% + Kombucha 3% + Niacinamide 2,5% Vaccine Serum 30ml</t>
  </si>
  <si>
    <t>ERHA Truwhite Active Glow Booster 15ML - Brightening Booster</t>
  </si>
  <si>
    <t>AEON Official Shop</t>
  </si>
  <si>
    <t>[The Face Shop] Yehwadam First Serum - 140ml - Original</t>
  </si>
  <si>
    <t>L'OREAL Revitalift Hyaluronic Acid Serum Skin Care 15ml</t>
  </si>
  <si>
    <t>La Tulipe Hyaluronic Serum</t>
  </si>
  <si>
    <t>SOMETHINC Niacinamide + Moisture Beet Serum 20ml</t>
  </si>
  <si>
    <t>SECA Glowing Skin Package</t>
  </si>
  <si>
    <t>Trilogy Hyaluronic Acid+ Booster Treatment</t>
  </si>
  <si>
    <t>C&amp;F</t>
  </si>
  <si>
    <t>Nourish Beauty Care Wrinkle Remover Serum / Anti Aging / Penuaan Dini / Keriput / Awet Muda</t>
  </si>
  <si>
    <t>Fanbo Wonder Skin Sunscreen &amp; Serum #Flashsale</t>
  </si>
  <si>
    <t>Fanbo</t>
  </si>
  <si>
    <t>fanbocosmetics</t>
  </si>
  <si>
    <t>KF Skin - Serum Pearl</t>
  </si>
  <si>
    <t>KALEY SKINCARE Pineapple-c Brightening Essense Serum 30ml</t>
  </si>
  <si>
    <t>Kaley</t>
  </si>
  <si>
    <t>DNI Whitening Serum</t>
  </si>
  <si>
    <t>DNI Skin Center</t>
  </si>
  <si>
    <t>DNI Skin Centre Official Shop</t>
  </si>
  <si>
    <t>Runaskin Tone Perfection Vitamin C Serum</t>
  </si>
  <si>
    <t>Runaskin</t>
  </si>
  <si>
    <t>RUNASKIN Official Shop</t>
  </si>
  <si>
    <t>Collagen By Watsons Hydro Balance Day Moist SPF20 50 ML</t>
  </si>
  <si>
    <t>Watsons</t>
  </si>
  <si>
    <t>Qweena Pumpkin Whitening Serum 'with snail secretion filtrate' (20ML)</t>
  </si>
  <si>
    <t>Qweena</t>
  </si>
  <si>
    <t>Qweena Indonesia Official Shop</t>
  </si>
  <si>
    <t>KAB. WONOSOBO</t>
  </si>
  <si>
    <t>HERSALL Moon Fairy Serum Bakuchiol &amp; Hyaluronic Acid</t>
  </si>
  <si>
    <t>Bless Anti-Wrinkle &amp; Revitalizing Serum 20ml</t>
  </si>
  <si>
    <t>Raiku Hydrating Glow Serum (30 ml)</t>
  </si>
  <si>
    <t>13</t>
  </si>
  <si>
    <t>COSRX Galactomyces 95 Tone Balancing Essence 100ml</t>
  </si>
  <si>
    <t>Rivera Youth Expert Fortifying Serum 50ml Free Gotta Be Matte Lipstick</t>
  </si>
  <si>
    <t>Rivera</t>
  </si>
  <si>
    <t>riveracosmetics</t>
  </si>
  <si>
    <t>Saffbeautys Red Jelly Saffron Glowing Niacinamide 10gr</t>
  </si>
  <si>
    <t>Saffron Glowing</t>
  </si>
  <si>
    <t>Whitelab Acne Calming Serum 20ml</t>
  </si>
  <si>
    <t>WHITELAB ACNE CALMING SERUM 20 ML</t>
  </si>
  <si>
    <t>GARNIER Sakura White Hyaluron 30x Booster Serum Skin Care - 30ml</t>
  </si>
  <si>
    <t>[BPOM] SCARLETT Whitening Brightly Ever After Serum 15ml</t>
  </si>
  <si>
    <t>KLEVERU Glass Skin Overnight Serum 20ml</t>
  </si>
  <si>
    <t>Kleveru</t>
  </si>
  <si>
    <t>REAL WHITE Acne Fighter Face Serum</t>
  </si>
  <si>
    <t>THANA Spotless Glow Night Cream</t>
  </si>
  <si>
    <t>Bio Essence Bio-Gold Night Cream 40 gr Twinpack Special</t>
  </si>
  <si>
    <t>LT PRO Anti Age Face Serum</t>
  </si>
  <si>
    <t>Lt Pro</t>
  </si>
  <si>
    <t>LT Pro Official Shop</t>
  </si>
  <si>
    <t>AVOSKIN Your Skin Bae Lactid Acid 10% + Kiwi Fruit 5% Niacinamide 2,5% High Dose Serum 30ml</t>
  </si>
  <si>
    <t>AZARINE C SERUM 20 ML</t>
  </si>
  <si>
    <t>Shiseido Ultimune Power Infusing Concentrate  Limited Edition 75 ml</t>
  </si>
  <si>
    <t>Garnier Sakura White Booster Serum 15ml + Micellar Water Pink 400ml (Untuk Kulit Bersih &amp; Glowing)</t>
  </si>
  <si>
    <t>[BPOM] BREYLEE SERUM SET - Paket Hemat Serum Wajah (5pcs)</t>
  </si>
  <si>
    <t>Real White Niacinamide Package</t>
  </si>
  <si>
    <t>Tje Fuk Wrinkle Essence</t>
  </si>
  <si>
    <t>Tje Fuk</t>
  </si>
  <si>
    <t>Tje Fuk Official Shop</t>
  </si>
  <si>
    <t>MISSHA Misa Yei Hyun Essence (40ml)</t>
  </si>
  <si>
    <t>AVOSKIN PERFECT HYDRATING TREATMENT ESSENCE SPECIAL EDITION 100ML | menjaga kelembapan kulit</t>
  </si>
  <si>
    <t>Nusantics Biome Essence Spray Witch Hazel</t>
  </si>
  <si>
    <t>Nusantics</t>
  </si>
  <si>
    <t>Nusantics Official Shop</t>
  </si>
  <si>
    <t>Mireya  Retinol + Biostine Anti Aging Boost Serum</t>
  </si>
  <si>
    <t>Mireya</t>
  </si>
  <si>
    <t>Mireya Cosmetics Official Shop</t>
  </si>
  <si>
    <t>AVOSKIN YOUR SKIN BAE SERIES Lactic Acid 10% + Kiwi Fruit Exctract 5% + Niacinamide 2,5% High Dose S</t>
  </si>
  <si>
    <t>MSBB - ElsheSkin Radiant Skin Serum</t>
  </si>
  <si>
    <t>Hiqween 10:00pm Advanced Serum</t>
  </si>
  <si>
    <t>Azarine Aqua Essence Sun Shield Serum SPF 50 PA++++ 100ml</t>
  </si>
  <si>
    <t>SNP PREP Cicaronic SOS Ampoule</t>
  </si>
  <si>
    <t>Cosrx Hyaluronic Acid Hydra Power Essence 100ml</t>
  </si>
  <si>
    <t>SNP mini Shea Butter Moisture Serum</t>
  </si>
  <si>
    <t>Premiere Beaute Skincare Luminous White Glow Brightening Package 2Pcs Serum 30ml+Essence Toner 120ml</t>
  </si>
  <si>
    <t>Somethinc Hyaluronic9 + Advanced + B5 Serum - 20ml</t>
  </si>
  <si>
    <t>Astalift White Essence Infilt 30ml</t>
  </si>
  <si>
    <t>Airnderm Aesthetic Anti Aging Serum (by AIRIN BEAUTY)</t>
  </si>
  <si>
    <t>Glowlabs Healthy Skin Booster (Probiome Acne Serum &amp; Retinol Cica Night Serum)</t>
  </si>
  <si>
    <t>Solcare Ultra Glow Serum</t>
  </si>
  <si>
    <t>Roro Mendut Sea Cucumber (Gamat) Collagen Serum</t>
  </si>
  <si>
    <t>12</t>
  </si>
  <si>
    <t>AZARINE Anti Acne &amp; Brightening Serum 20 ml</t>
  </si>
  <si>
    <t>Olay Regenerist Micro Sculpting Serum 50 ml</t>
  </si>
  <si>
    <t>Farmaku Official Shop</t>
  </si>
  <si>
    <t>Estetiderma - Serum Wajah Skin Refining Serum</t>
  </si>
  <si>
    <t>Estetiderma</t>
  </si>
  <si>
    <t>Estetiderma Official Shop</t>
  </si>
  <si>
    <t>Humphrey Spot Serum 20ml (Flek Hitam)</t>
  </si>
  <si>
    <t>Osho - Phyto Natural Enrich Whitening Emultion 130 ml</t>
  </si>
  <si>
    <t>Dermies Hello Glow Radiance Serum 15 ml - Serum Pemutih Wajah</t>
  </si>
  <si>
    <t>Dermies</t>
  </si>
  <si>
    <t>Dermies Official Shop</t>
  </si>
  <si>
    <t>Benton Cacao Moist and Mild Serum 50gr</t>
  </si>
  <si>
    <t>All Perfect Bundling Package 1 (Serum 2pcs)</t>
  </si>
  <si>
    <t>Nusantics Gotukola Biome Treatment Essence</t>
  </si>
  <si>
    <t>Wardah Lightening Serum Ampoule 8ml</t>
  </si>
  <si>
    <t>PLACENTOR - Regenerating Serum 30ml – Serum Wajah Pertama Yang Mampu Menyamakan Jam Biologis Kulit</t>
  </si>
  <si>
    <t>MD Glowing Serum Glowing Platinum (Serum Pencerah Wajah/Muka)</t>
  </si>
  <si>
    <t>Serum Dark Spot Solution "Nadhifabeautycare"</t>
  </si>
  <si>
    <t>NadhifaBeautycare</t>
  </si>
  <si>
    <t>Paket Brightening (Niacinamide 10% + AHA BHA PHA Centella Peeling)</t>
  </si>
  <si>
    <t>Soothe Bamboo Serum 50ml Double Set</t>
  </si>
  <si>
    <t>[BPOM] SOMETHINC Salmon DNA + Marine Collagen Elixir</t>
  </si>
  <si>
    <t>MS Glow Whitening Gold Serum Original BPOM Serum Pemutih Wajah MS Glow Ampuh Memutihkan Wajah</t>
  </si>
  <si>
    <t>LANBENA Blackhead Mask &amp; Pore Minimizer Serum Varian - 17ml</t>
  </si>
  <si>
    <t>La Tulipe Collagen serum</t>
  </si>
  <si>
    <t>PROMO Seger Snow Serum Moisturizing &amp; 2pcs Seger Snow Anti anging GRATIS Totebag</t>
  </si>
  <si>
    <t>Whitelab Brightening / Acne Face Serum</t>
  </si>
  <si>
    <t>Keep Cool Soothe Bamboo Serum 50 ml</t>
  </si>
  <si>
    <t>Huxley Oil Essence; Essence-Like, Oil-Like</t>
  </si>
  <si>
    <t>Rojukiss Jeju Lotus Pinkish Bright Serum - size : 8 ml - Edit by Sociolla</t>
  </si>
  <si>
    <t>[BPOM] LANBENA Hyaluronic Acid Serum - Melembabkan (15 ml)</t>
  </si>
  <si>
    <t>Nacific Real Floral Rose Essence (50g)</t>
  </si>
  <si>
    <t>Lanore Whitening &amp; Anti Aging Serum 30 gr PROMO BUY 1 GET 1</t>
  </si>
  <si>
    <t>Lanore</t>
  </si>
  <si>
    <t>Sbcskin - Retinol Renewal Serum (Anti aging serum)</t>
  </si>
  <si>
    <t>MSBB - The Aubree Niacinamide Skin Booster 30 ml</t>
  </si>
  <si>
    <t>YU CHUN MEI Cordyceps Pure Gold 24k Serum - Perfect Bright 30ml</t>
  </si>
  <si>
    <t>MSBB - Somethinc AHA 7%, BHA 1%, PHA 3% Weekly Peeling solution - 20Ml</t>
  </si>
  <si>
    <t>KANEBO Illuminating Serum - 30ml</t>
  </si>
  <si>
    <t>SYB Forte Serum Vitamin C Plus Collagen</t>
  </si>
  <si>
    <t>[BPOM] SOMETHINC Holygrail Multipeptide Youth Elixir</t>
  </si>
  <si>
    <t>Nusantics Biome Essence Spray Tea Tree</t>
  </si>
  <si>
    <t>SKEYNDOR Hyaluronic Moisturising Booster</t>
  </si>
  <si>
    <t>Wardah White Secret Pure Treatment Essence</t>
  </si>
  <si>
    <t>Citrus Department Store  - Official Shop</t>
  </si>
  <si>
    <t>BHUMI C+ Brightening Booster 18ml</t>
  </si>
  <si>
    <t>SECA  Healthy Eye Bundle (Collagen + Caffeine Eyecream)</t>
  </si>
  <si>
    <t>MSBB - Avoskin Perfect Hydrating Treatment Essence Special Edition 100ml</t>
  </si>
  <si>
    <t>Serum Glowing - Seger Snow Moisturizing Serum Wajah | Pelembab  Hingga 8 Jam - 15ml</t>
  </si>
  <si>
    <t>Lacoco En Nature Darkspot Essence</t>
  </si>
  <si>
    <t>Kay Collection Official Shop</t>
  </si>
  <si>
    <t>V NATURAL Whitening Serum Temulawak 20ml</t>
  </si>
  <si>
    <t>VNatural</t>
  </si>
  <si>
    <t>V Natural Official Shop</t>
  </si>
  <si>
    <t>Dsavior Body Whitening Serum Pencerah Intan Glowing Tanpa Lengket Di Kulit Dengan Aroma Segar BPOM</t>
  </si>
  <si>
    <t>D'Savior</t>
  </si>
  <si>
    <t>Green Angelica Authorized Store Sidoarjo</t>
  </si>
  <si>
    <t>Mazaya Dermo Anti Aging Serum with Astaxanthin 15ml</t>
  </si>
  <si>
    <t>Somethinc Bakuchiol Skinpair Oil Serum - 20ml</t>
  </si>
  <si>
    <t>11</t>
  </si>
  <si>
    <t>Nutrishe Intensive Bright &amp; Glow Serum - 30ml</t>
  </si>
  <si>
    <t>Glowlabs Gentle Bright Serum &amp; Peptide Moist</t>
  </si>
  <si>
    <t>Safi Age Defy Gold Water Essence 30 ml + Naturals Micellar Water with Yuzu 100 ml</t>
  </si>
  <si>
    <t>Yuzu</t>
  </si>
  <si>
    <t>Facial Wash Acne Marwah Skin Care</t>
  </si>
  <si>
    <t>Glowlabs Glo-C Gang (Gentle Exfoliator Essence, Vit C Serum &amp; Acne Prone Moisturizer)</t>
  </si>
  <si>
    <t>Roro Mendut Red Algae Hyaluronic Acid B5 Serum</t>
  </si>
  <si>
    <t>Serum Nature Reaction Crystal Bright Serum Pencerah Wajah Glowing dan Bebas Jerawat &amp; Flek Hitam</t>
  </si>
  <si>
    <t>Gloskin White C Expert Serum</t>
  </si>
  <si>
    <t>White C</t>
  </si>
  <si>
    <t>[BPOM] AZARINE Anti Acne &amp; Brightening Serum</t>
  </si>
  <si>
    <t>KLAIRS Midnight Blue Youth Activating Drop Serum 20ml</t>
  </si>
  <si>
    <t>[BPOM] SOMETHINC 5% Niacinamide Barrier Serum</t>
  </si>
  <si>
    <t>Beauty Package - Hyaluronic Acid &amp; Ceramide Serum</t>
  </si>
  <si>
    <t>Dermies Clear Me Acne Control Serum 15 ml - Serum untuk kulit berminyak dan acne prone</t>
  </si>
  <si>
    <t>Frudia Blueberry Hydrating Serum SACHET - isi 10 pcs</t>
  </si>
  <si>
    <t>Whitelab Peeling Serum AHA BHA PHA 15ml</t>
  </si>
  <si>
    <t>Natasha by dr Fredi Setyawan Moist Skin Barrier AQP Serum</t>
  </si>
  <si>
    <t>Bio Essence Bio-Renew Deep Cleanser 100 gr - Foam Cleanser</t>
  </si>
  <si>
    <t>Dear Me Beauty 10% Niacinamide + Watermelon Extract Face Serum 12ml</t>
  </si>
  <si>
    <t>Bio Essence Bio-White Tanaka Camelia Advanced Whitening Cleanser 100gr</t>
  </si>
  <si>
    <t>Camelia</t>
  </si>
  <si>
    <t>MSBB - Jarte Cica Care Ampoule</t>
  </si>
  <si>
    <t>(Isi 2) Hanasui Anti Acne Serum 20ml (PINK) / Serum Wajah / Obat Jerawat</t>
  </si>
  <si>
    <t>Avecca Official Shop</t>
  </si>
  <si>
    <t>INGENIA Intense Radiance Gold Serum (Eventone Series)</t>
  </si>
  <si>
    <t>Ingenia</t>
  </si>
  <si>
    <t>Ingenia Official Shop</t>
  </si>
  <si>
    <t>Swissvita Dark Spot Correcting Serum VitaBtech - Trial Size</t>
  </si>
  <si>
    <t>Swissvita</t>
  </si>
  <si>
    <t>Swissvita Official Shop</t>
  </si>
  <si>
    <t>[BPOM] Whitelab Serum Brightening | ACNE | PEELING | RETINOID</t>
  </si>
  <si>
    <t>Somethinc 5% Niacinamide Barrier Serum</t>
  </si>
  <si>
    <t>Babor Dr. Babor Daily Bright Serum 50ml</t>
  </si>
  <si>
    <t>Glowlabs Probiome Acne Serum &amp; Peptide Moist</t>
  </si>
  <si>
    <t>Solcare Acne Serum with Tree Tea Oil</t>
  </si>
  <si>
    <t>SOME BY MI AHABHAPHA 30 Days Miracle Cream</t>
  </si>
  <si>
    <t>[BPOM] SOMETHINC 10% Niacinamide Barrier Serum</t>
  </si>
  <si>
    <t>AIZEN Bakuchiol 10% Ultra Ampoule</t>
  </si>
  <si>
    <t>LT PRO Intensive Care Serum</t>
  </si>
  <si>
    <t>AIZEN SymWhite 377 3% Ultra Ampoule</t>
  </si>
  <si>
    <t>Hanasui Serum Whitening Collagen Plus Vit C 20ml</t>
  </si>
  <si>
    <t>Gogobli Official Shop</t>
  </si>
  <si>
    <t>[BPOM] NPURE Face Essence Centella Asiatica 20ml</t>
  </si>
  <si>
    <t>Radi Skin Niacinamide Clear Serum</t>
  </si>
  <si>
    <t>Keyglow ACNE SERUM</t>
  </si>
  <si>
    <t>QL Cosmetic - Vitamin C Serum</t>
  </si>
  <si>
    <t>Ql Cosmetic</t>
  </si>
  <si>
    <t>QL Cosmetic Official Shop</t>
  </si>
  <si>
    <t>Iunik Tea Tree Relief Serum 15ml</t>
  </si>
  <si>
    <t>SOMETHINC Repair Your Skin Barrier 20 ml</t>
  </si>
  <si>
    <t>dr. Erna Serum Vit. C (Brightening with Anti Aging) - Serum Pencerah Wajah - dr Erna Skincare</t>
  </si>
  <si>
    <t>THE MOST ICONIC SERUM - ELIXIR ULTIME ORIGINAL</t>
  </si>
  <si>
    <t>Kerastase</t>
  </si>
  <si>
    <t>Lie Kuang Salon Official Shop</t>
  </si>
  <si>
    <t>L'Oreal Paris Package Exclusive KOL - Anti Kulit Kering</t>
  </si>
  <si>
    <t>MISSHA Super Aqua Snail Skin Treatment (130ml) CLEARANCE SALE_Expired Maret 2022</t>
  </si>
  <si>
    <t>LORE Advanced Lift Perfection Serum 30 ml</t>
  </si>
  <si>
    <t>Lore</t>
  </si>
  <si>
    <t>LORE Official Shop</t>
  </si>
  <si>
    <t>Illuminare Brightening Serum 30 gram  - Serum Wajah</t>
  </si>
  <si>
    <t>Pharos Official Shop</t>
  </si>
  <si>
    <t>10</t>
  </si>
  <si>
    <t>Mineral Botanica First Defense Serum 20ml</t>
  </si>
  <si>
    <t>Dear Me Beauty 10% Vitamin C + Orange Extract Face Serum 12ml</t>
  </si>
  <si>
    <t>MSBB - Somethinc Holygrail Multipeptide Youth Elixir - 20ml</t>
  </si>
  <si>
    <t>Buy 1 Get 1 Bio Essence Bio White Advanced Whitening Day Cream 50 gr</t>
  </si>
  <si>
    <t>Buy 1 Get 1 Bio Essence Bio White Advanced Whitening Night Cream 45 gr</t>
  </si>
  <si>
    <t>FIRST LAB Probiotic Skin Essence SIGNATURE 150ml</t>
  </si>
  <si>
    <t>Curation by Beauty Haul Official Shop</t>
  </si>
  <si>
    <t>AVOSKIN Travel Size Perfect Hydrating Treatment Essence 30ml</t>
  </si>
  <si>
    <t>FABIL Plumping &amp; Skin Bright Serum 20ml</t>
  </si>
  <si>
    <t>Fabil</t>
  </si>
  <si>
    <t>Fabil Official Shop</t>
  </si>
  <si>
    <t>Estetiderma - Serum Vitamin C Skin Brightening Vitamin C</t>
  </si>
  <si>
    <t>La Tulipe La Tulipe C Serum + La Tulipe La Tulipe C Night Cream</t>
  </si>
  <si>
    <t>AZARINE C white lightening serum</t>
  </si>
  <si>
    <t>[BPOM] LANBENA Pore Minimizer Serum - Mengecilkan Pori-Pori (17ml)</t>
  </si>
  <si>
    <t>Calendula Glow Serum Velrose Secret</t>
  </si>
  <si>
    <t>Velrose Secret</t>
  </si>
  <si>
    <t>Velrose Secret Official Shop</t>
  </si>
  <si>
    <t>Mireya Bright Boost Serum Niacinamide  10% + 3M3 Whiteris</t>
  </si>
  <si>
    <t>Scarlett Whitening Acne to Glow Mini Series 5mlx2</t>
  </si>
  <si>
    <t>Click House Acne Care Serum</t>
  </si>
  <si>
    <t>Hya Intensive Whitening Pre-serum</t>
  </si>
  <si>
    <t>Giffarine</t>
  </si>
  <si>
    <t>Giffarine Official Shop</t>
  </si>
  <si>
    <t>SOMETHINC Niacinamide + Moisture Beet Serum 40ml</t>
  </si>
  <si>
    <t>Tea Tree Serum</t>
  </si>
  <si>
    <t>Sekkisei Day Essence</t>
  </si>
  <si>
    <t>Bio Essence Bio-Gold Day Cream SPF 25 40 gr Twinpack Special</t>
  </si>
  <si>
    <t>GEUT BY DR. T - GEUT EVENING PM Set</t>
  </si>
  <si>
    <t>Geut by Dr.T</t>
  </si>
  <si>
    <t>Xi XiU FACE SERUM VITAMIN C</t>
  </si>
  <si>
    <t>[innisfree] Olive Real Serum 50ML - Serum Wajah, Perawatan Wajah</t>
  </si>
  <si>
    <t>Nameera Hydrating Glow Essence Water 110 ml</t>
  </si>
  <si>
    <t>Nameera</t>
  </si>
  <si>
    <t>Nameera Official Shop</t>
  </si>
  <si>
    <t>Calysta Serum Vitamin C</t>
  </si>
  <si>
    <t>Tuesbelle - SOMETHINC Hyaluronic9+ advance + B5 Serum | Hyaluronic B5 - 20ml/40ml</t>
  </si>
  <si>
    <t>SOMETHINC Criously 24K Gold Essence</t>
  </si>
  <si>
    <t>BENTON Snail Bee Ultimate Serum 35ml</t>
  </si>
  <si>
    <t>BHUMI Skin Barrier Clearing Package</t>
  </si>
  <si>
    <t>The Aubree Niacinamide Skin Booster 30ml</t>
  </si>
  <si>
    <t>Yoqueen Beuaty Light Booster Serum 10ml</t>
  </si>
  <si>
    <t>Holika Holika Aloe Soothing Essence Skin Care Special Set</t>
  </si>
  <si>
    <t>Safi Age Defy Youth Elixir 29G</t>
  </si>
  <si>
    <t>MSBB - True To Skin Bakuchiol Anti Aging Serum</t>
  </si>
  <si>
    <t>KLEVERU Sea Buckthorn Essence Toner and Vitamin C 10% Ferulic Serum</t>
  </si>
  <si>
    <t>Kleveru Official Shop</t>
  </si>
  <si>
    <t>Ponds Age Miracle Youthful Glow Double Action Serum 30ml</t>
  </si>
  <si>
    <t>Azarine Eyeluminate Firming Serum 15ml C White</t>
  </si>
  <si>
    <t>Vienka Skin care Skincare Saffron Safron Shafron Brightening Serum 20 ml Perawatan Kecantikan Wajah BPOM HALAL COD</t>
  </si>
  <si>
    <t>Vienka</t>
  </si>
  <si>
    <t>Vienka Official Shop</t>
  </si>
  <si>
    <t>Somethinc 10% Niacinamide + Moisture Sabi Beet Max Brightening Serum - 40ml</t>
  </si>
  <si>
    <t>Illuminare Pore Serum 30ml/ anti jerawat/ Acne / perawatan wajah / Skincare / Kulit Berminyak</t>
  </si>
  <si>
    <t>[innisfree] Jeju Pomegranate Revitalizing Emulsion 160ML</t>
  </si>
  <si>
    <t>Wardah Treatment Essence 50ml</t>
  </si>
  <si>
    <t>Dear Me Beauty 2% Salicylic Acid (BHA) + Lemon Extract Face Serum 12ml</t>
  </si>
  <si>
    <t>Buy 1 Get 1 Bio Essence Bio Water Foamy Cleanser 100 gr</t>
  </si>
  <si>
    <t>9</t>
  </si>
  <si>
    <t>Yoqueen Beauty Serum for Acne 10ml</t>
  </si>
  <si>
    <t>Dove Deodorant Dry Serum Regenerate Care Collagen + Vitamin B3 50 ml Anti Bakteri</t>
  </si>
  <si>
    <t>SKEYNDOR Antiox Glowing Serum</t>
  </si>
  <si>
    <t>Glowlabs The Bright-mate (Gentle Glow Essence, Gentle Bright Serum &amp; Peptide Moist)</t>
  </si>
  <si>
    <t>Beautybarme - Some By Mi Snail Truecica Miracle Repair Serum</t>
  </si>
  <si>
    <t>Yves Rocher Elixir Jeunesse Reparation + Anti Pollution Serum Essence 30 ml</t>
  </si>
  <si>
    <t>MSBB - Somethinc CRIOUSLY 24k GOLD ESSENCE - 40ml</t>
  </si>
  <si>
    <t>Somethinc CRIOUSLY 24k GOLD ESSENCE - 40ml</t>
  </si>
  <si>
    <t>WHITELAB Peeling Serum AHA BHA PHA 15ml</t>
  </si>
  <si>
    <t>Lacoco 5% Bakuchiol Essence</t>
  </si>
  <si>
    <t>Babor Skinovage Vitalizing Cream Rich 50 ML</t>
  </si>
  <si>
    <t>GLAMGLOW BEST SERUM Clearing And Anti Aging Treatment</t>
  </si>
  <si>
    <t>Aubree Niacinamide Skin Booster - 30ml</t>
  </si>
  <si>
    <t>Aubree</t>
  </si>
  <si>
    <t>Holika Holika Gold Kiwi Vita C+ Brightening Serum - Plastic Seal Packaging</t>
  </si>
  <si>
    <t>[BPOM] Dear Me Beauty Single Activator Face Serum 12ml &amp; 32ml</t>
  </si>
  <si>
    <t>GLOWINC POTION FOREVER+ Pro Youth Serum</t>
  </si>
  <si>
    <t>Calysta C-Light Essence</t>
  </si>
  <si>
    <t>Somethinc Bakuchiol Skinpair Oil Serum 20 mL</t>
  </si>
  <si>
    <t>Irine Beauty Care Platinum Serum - Lightening (with Niacinamide, Allantoin, Witch Hazel)</t>
  </si>
  <si>
    <t>Irine Beauty Care</t>
  </si>
  <si>
    <t>IRINE Beauty Care Official Shop</t>
  </si>
  <si>
    <t>Somethinc Criously 24K Gold Essence</t>
  </si>
  <si>
    <t>Raiku Anti Aging Serum 30ml</t>
  </si>
  <si>
    <t>Benton Fermentation Essence</t>
  </si>
  <si>
    <t>Westcare Bounce &amp; Glow Serum 30ml</t>
  </si>
  <si>
    <t>HAYEJIN Blessing of Sprout Enriched Serum 10ml</t>
  </si>
  <si>
    <t>VOTRE PEAU Maharis Clinic Vit.C Serum 30ml (Blue Bottle)</t>
  </si>
  <si>
    <t>HISTOIRE NATURELLE Lactobacillus Duo (Facial Foam and Serum)</t>
  </si>
  <si>
    <t>Hanasui Serum Vit C 20ml</t>
  </si>
  <si>
    <t>Probeauty Lightening Gold Serum / Serum Glowing Anti Aging</t>
  </si>
  <si>
    <t>Babor Skinovage Purifying Serum 30 ML</t>
  </si>
  <si>
    <t>Dear Me Beauty Paket Serum Anti Komedo (Anti Beruntusan): 32ml BHA + 12 ml Retinol</t>
  </si>
  <si>
    <t>LOVILA Glow Activation Booster Serum</t>
  </si>
  <si>
    <t>Dear Me Beauty Single Activator Face Serum 12ml | 32ml</t>
  </si>
  <si>
    <t>SYB Forte Serum Acne</t>
  </si>
  <si>
    <t>Bio Essence - Bio White Starter Pack Free Bio White Mask</t>
  </si>
  <si>
    <t>Natasha by dr Fredi Setyawan Almond Brightening Day Serum</t>
  </si>
  <si>
    <t>I-Face Vitamin C Serum 10 mL / Serum Kulit/ Serum Wajah/ Serum Kulit Wajah/ Pencerah Wajah</t>
  </si>
  <si>
    <t>KLEVERU Vitamin C 10% Ferulic Serum 15ml</t>
  </si>
  <si>
    <t>Avoskin Perfect Hydrating Treatment Essence 30ml &amp; 100ml</t>
  </si>
  <si>
    <t>Probio-C Vitamin C Spray 50ml</t>
  </si>
  <si>
    <t>Probio C</t>
  </si>
  <si>
    <t>Shiseido Benefiance Wrinkle Smoothing Contour Serum 30ml</t>
  </si>
  <si>
    <t>L'Oreal Paris Revitalift Pro-Youth Serum Sheet Mask Skin Care - Elasticity (Kulit Terasa Kencang)</t>
  </si>
  <si>
    <t>Daneen Brightening Serum 10ml</t>
  </si>
  <si>
    <t>Daneen Skincare</t>
  </si>
  <si>
    <t>Daneen Skincare Official Shop</t>
  </si>
  <si>
    <t>Huxley Essence Grab Water</t>
  </si>
  <si>
    <t>AZARINE ANTI ACNE &amp; BRIGHTENING SERUM 20 ML</t>
  </si>
  <si>
    <t>8</t>
  </si>
  <si>
    <t>Pore Minimizer Serum "Nadhifabeautycare"</t>
  </si>
  <si>
    <t>SK II RNA Essence 30 ml</t>
  </si>
  <si>
    <t>[BPOM] Scarlett Whitening Glowtening Serum</t>
  </si>
  <si>
    <t>Soleluna Brightening Serum</t>
  </si>
  <si>
    <t>Soleluna</t>
  </si>
  <si>
    <t>Soleluna Indonesia Official Shop</t>
  </si>
  <si>
    <t>Jelly Booster Marwah Skin Treatment</t>
  </si>
  <si>
    <t>Mugens The M Marula Water Pack</t>
  </si>
  <si>
    <t>Mugens</t>
  </si>
  <si>
    <t>Mugens Official Shop</t>
  </si>
  <si>
    <t>KOTA MEDAN</t>
  </si>
  <si>
    <t>Votre Peau Vitamin C Serum - 30ml</t>
  </si>
  <si>
    <t>Crushlicious Overnight Glow Serum + Niacinamide Glow Up Facial Serum</t>
  </si>
  <si>
    <t>Galactomyces Essence FREE Face Mist Pink Rose</t>
  </si>
  <si>
    <t>Tuesbelle - BIO BEAUTY LAB Phyto Power Essence - 50ml</t>
  </si>
  <si>
    <t>THE POTIONS - Centella Asiatica Water Essence 20ml</t>
  </si>
  <si>
    <t>Humphrey Gold Whitening Plus Serum 20ml (Anti Aging / Keriput)</t>
  </si>
  <si>
    <t>SERUM NATURE REACTION CRYSTAL BRIGHT SERUM ORI \/NATURE REACTION CRYSTAL SERUM NATURE REACTION SERUM</t>
  </si>
  <si>
    <t>Natasha by dr Fredi Setyawan Moist Bright Serum 17g</t>
  </si>
  <si>
    <t>FSS Renew Retinol 2.5 Serum Concentrate - 30ml</t>
  </si>
  <si>
    <t>FSS For Skin's Sake</t>
  </si>
  <si>
    <t>Aqua+ Series Radiance Intensive Essence 30ml</t>
  </si>
  <si>
    <t>Aqua+ Series</t>
  </si>
  <si>
    <t>Astalift Infocus Cellatve Serum 5 ml (Tube Mini Size)</t>
  </si>
  <si>
    <t>Lacoco Hydrating Divine Essence 50ml</t>
  </si>
  <si>
    <t>Loreal Paris Revitalift Crystal Micro-Essence 65ml</t>
  </si>
  <si>
    <t>Benton Deep Green Tea Serum 30 ml</t>
  </si>
  <si>
    <t>For Skin's Sake FSS - Hyaluronic Acid Serum</t>
  </si>
  <si>
    <t>VOTRE PEAU Vitamin C Serum 30ml</t>
  </si>
  <si>
    <t>THE AUBREE Brightening Serum Concentrate 30ml</t>
  </si>
  <si>
    <t>Optimal Serum Acne Marwah Skincare</t>
  </si>
  <si>
    <t>Mila D'opiz White Shade Vision serum 30ml / Miladopiz</t>
  </si>
  <si>
    <t>Dnars Flawless Serum With Vitamin C (Official Shop)</t>
  </si>
  <si>
    <t>Dnars</t>
  </si>
  <si>
    <t>Dnars Skincare Official Shop</t>
  </si>
  <si>
    <t>Fat Panda 10% Niacinamide+ Collagen Ampoule 20ml | Brightening Serum</t>
  </si>
  <si>
    <t>Fat Panda</t>
  </si>
  <si>
    <t>Fat Panda Official Shop</t>
  </si>
  <si>
    <t>POB LIFTING SERUM | OUR DARK SPOT SOLUTION Mengencangkan dan Menghaluskan Kulit Wajah Glowing Look  BPOM 20 ML</t>
  </si>
  <si>
    <t>Point of Beauty</t>
  </si>
  <si>
    <t>POB Point of Beauty Official Shop</t>
  </si>
  <si>
    <t>The Body Shop Oils Of Life Intensely Revitalising Facial Oil Serum 30ml</t>
  </si>
  <si>
    <t>Mellydia [Lengkap B] Cream Pemutih Wajah Penghilang Flek Serum &amp; Sabun Wajah Serta Beauty Water BPOM</t>
  </si>
  <si>
    <t>Mellydia</t>
  </si>
  <si>
    <t>Mellydia Official Shop</t>
  </si>
  <si>
    <t>Bhumi HPR Retinol Serum 30ml</t>
  </si>
  <si>
    <t>Renard Blanc Multilayer Essence</t>
  </si>
  <si>
    <t>Renard Blanc</t>
  </si>
  <si>
    <t>Erha21 Age Corrector Serum 20 Ml | Serum Anti Aging, Penyamar Kerutan &amp; Menjaga Elastisitas Kulit</t>
  </si>
  <si>
    <t>NPURE Face Serum Centella Asiatica 15ml</t>
  </si>
  <si>
    <t>Dr.Jart+ Vital Hydra Solution Capsule Ampoule</t>
  </si>
  <si>
    <t>Olay Regenerist Serum Retinol 30 Ml</t>
  </si>
  <si>
    <t>Whitelab Brightening Face Serum - 20ml</t>
  </si>
  <si>
    <t>Real White Clinical Serum</t>
  </si>
  <si>
    <t>Buy 1 Get 1 Bio Essence Bio Treatment Essence In Oil 60 ml</t>
  </si>
  <si>
    <t>Naruko Tea Tree Shine Control &amp; Blemish Clear Serum 30ML</t>
  </si>
  <si>
    <t>Naruko</t>
  </si>
  <si>
    <t>Naruko Official</t>
  </si>
  <si>
    <t>[The Face Shop] Yehwadam Hwansaenggo Rejuvenating Radiance Serum - 45ml</t>
  </si>
  <si>
    <t>Estetika dr. Affandi Eksotika Serum Vitamin C 10 ml</t>
  </si>
  <si>
    <t>Eksotika</t>
  </si>
  <si>
    <t>Estetika dr. Affandi Official Shop</t>
  </si>
  <si>
    <t>Azarine Refreshing Essence Mist X Rachel Goddard 85 ml</t>
  </si>
  <si>
    <t>Somethinc 5% Niacinamide Barrier Serum - 20ml</t>
  </si>
  <si>
    <t>Daffania Skincare Serum Oily &amp; Acne Skin 20 Ml</t>
  </si>
  <si>
    <t>daffania</t>
  </si>
  <si>
    <t>Daffania Official Shop</t>
  </si>
  <si>
    <t>Skin Game Acne Combat Serum - 30ml</t>
  </si>
  <si>
    <t>Saffbeautys Whitenning Basic Facemist Glowing Saffron + Serum Brightening Saffron</t>
  </si>
  <si>
    <t>Hanasui Serum Acne 20ml</t>
  </si>
  <si>
    <t>Beautybarme - The Ordinary Niacinamide 10% + Zinc 1% 30Ml Original</t>
  </si>
  <si>
    <t>Duvaderm Hyaluronic Calming Serum - 15ml</t>
  </si>
  <si>
    <t>Duvaderm</t>
  </si>
  <si>
    <t>MSBB - Votre Peau Vitamin C Serum Pour Maharis Clinic 30ml</t>
  </si>
  <si>
    <t>Avoskin YSB Azeclair 10% + Kombucha 3% Niacinamide 2.5% Vaccine Serum</t>
  </si>
  <si>
    <t>VT COSMETICS CICA X CARE Spot Patch</t>
  </si>
  <si>
    <t>Vt Cosmetics</t>
  </si>
  <si>
    <t>VT Cosmetics ID Official Shop</t>
  </si>
  <si>
    <t>[Official Distributor] By Wishtrend: Polyphenols in Propolis 15% Ampoule 30ml</t>
  </si>
  <si>
    <t>By Wishtrend</t>
  </si>
  <si>
    <t>By Wishtrend Official Shop</t>
  </si>
  <si>
    <t>KEZIA Skincare Whitening Serum 15ml</t>
  </si>
  <si>
    <t>Kezia Skincare</t>
  </si>
  <si>
    <t>Kezia Skincare Official Store</t>
  </si>
  <si>
    <t>Frudia Citrus Brightening Serum FREE  Frudia Pouch Garis Vertikal</t>
  </si>
  <si>
    <t>SECA Bye Oil and Sebum Bundle  (BHA + Niacinamide)</t>
  </si>
  <si>
    <t>Hiqween Face Essence Preparing Serum</t>
  </si>
  <si>
    <t>Nourish Beauty Care Wrinkle Remover Serum 30 mL - Serum Wajah</t>
  </si>
  <si>
    <t>Bio Essence Bio-Gold Gold Water 150 mll + Radiant Cleanser 100 gr</t>
  </si>
  <si>
    <t>Kulit Cerah Merona</t>
  </si>
  <si>
    <t>GLOWINC POTION  HYDRALIVE+ Moisture Lock Skin Drink Essence</t>
  </si>
  <si>
    <t>Sarae Clarifying Whip Cleanser + Glowing Serum with CICA</t>
  </si>
  <si>
    <t>PAKET KULIT MOIST: AVOCADO OIL + BRIGHTENING ESSENCE SERUM.</t>
  </si>
  <si>
    <t>Everpure</t>
  </si>
  <si>
    <t>Everpure Official Shop</t>
  </si>
  <si>
    <t>Kalonea Skincare SALE Triple Brightening Serum | BPOM | Packaging Lama</t>
  </si>
  <si>
    <t>7</t>
  </si>
  <si>
    <t>Kerastase Serum Fortifiant 90ml Serum Harian Anti Rontok &amp; Patah</t>
  </si>
  <si>
    <t>Smooto Egg Collagen White Serum - 1 Box isi 6pcs</t>
  </si>
  <si>
    <t>Smooto</t>
  </si>
  <si>
    <t>Smooto Indonesia Official Shop</t>
  </si>
  <si>
    <t>[BPOM] Avoskin Your Skin Bae Serum Salicylic Acid 2% + Zinc</t>
  </si>
  <si>
    <t>La Tulipe Exfoliating Serum</t>
  </si>
  <si>
    <t>Bio Essence Bio-Vlift Face Lifting Cream 45 gr Twinpack Special</t>
  </si>
  <si>
    <t>MSBB - Indoganic Beauty Rose Essence C</t>
  </si>
  <si>
    <t>DREAMY by Nikita Willy - Brightening Serum</t>
  </si>
  <si>
    <t>Wardah White Secret Intense Brightening Essence 17 ml</t>
  </si>
  <si>
    <t>SALSA Crystal Whitening Serum</t>
  </si>
  <si>
    <t>Salsa</t>
  </si>
  <si>
    <t>Salsa Cosmetic Official Shop</t>
  </si>
  <si>
    <t>Ovale Essential Vitamin Lightening Jar 0.35 ml (30 capsules)</t>
  </si>
  <si>
    <t>Ovale</t>
  </si>
  <si>
    <t>KINO Official Shop</t>
  </si>
  <si>
    <t>MSBB - Noola Breezy Willow Moist Serum</t>
  </si>
  <si>
    <t>Noola</t>
  </si>
  <si>
    <t>Votre Peau Brightening Essence - 50ml</t>
  </si>
  <si>
    <t>MSBB - KLEVERU Glass Skin Overnight Serum</t>
  </si>
  <si>
    <t>NACIFIC Pink AHABHA Serum 50ml</t>
  </si>
  <si>
    <t>Natasha by dr Fredi Setyawan L22 Lifting Oil Serum</t>
  </si>
  <si>
    <t>HAUM BUNDLING ALPHA MF + LCID</t>
  </si>
  <si>
    <t>Benton Cacao Moist And Mild Serum</t>
  </si>
  <si>
    <t>Essenherb Tea Tree Ampoule - 50 ml - Ampul Wajah untuk kulit berminyak dan Jerawat - Skincare</t>
  </si>
  <si>
    <t>Essenherb</t>
  </si>
  <si>
    <t>Paket EVERPURE Sweet Almond + Everwhite Cica Soothing serum free Eyeliner Everwhite</t>
  </si>
  <si>
    <t>Best of Safi's 1</t>
  </si>
  <si>
    <t>Ponds Bright Beauty Power Serum 30 gr</t>
  </si>
  <si>
    <t>MD Glowing Serum Vitamin C</t>
  </si>
  <si>
    <t>Nusantics Rosehip Biome Oil Serum</t>
  </si>
  <si>
    <t>Whitelab Granactive Retinoid Intensive Care Serum 15ml</t>
  </si>
  <si>
    <t>NACIFIC Fresh Cica Plus Clear Serum 50ml</t>
  </si>
  <si>
    <t>MSBB - Skin Game Acne Combat Serum 30 gr</t>
  </si>
  <si>
    <t>Mila D'opiz White Shade Ampoule / Miladopiz</t>
  </si>
  <si>
    <t>Aubree Centella Herb Serum - 30ml</t>
  </si>
  <si>
    <t>Somethinc 10% Niacinamide Barrier Serum</t>
  </si>
  <si>
    <t>Nacific Glow Intensive Essence</t>
  </si>
  <si>
    <t>FIRST LAB FIRST LAB Probiotic Serum 30ml</t>
  </si>
  <si>
    <t>Haum Alpha MF 2% Alpha Arbutin - 30ml</t>
  </si>
  <si>
    <t>COSRX Pure Fit Cica Serum 30ml</t>
  </si>
  <si>
    <t>BREYLEE VC/HA/Retinol Series (3 pcs)</t>
  </si>
  <si>
    <t>Kleveru Vitamin C 10% Ferulic Serum 15ml</t>
  </si>
  <si>
    <t>Nourish Beauty Care Bio White Serum-Whitening Series 15 mL</t>
  </si>
  <si>
    <t>Mireya Ultra Boost Serum Hyalu +6 Peptide</t>
  </si>
  <si>
    <t>Xi XiU FACE SERUM ANTI ACNE</t>
  </si>
  <si>
    <t>POB SERUM BLEMISH | SERUM JERAWAT TERLARIS Menyembuhkan Jerawat Dan Beruntusan BPOM 20 ml</t>
  </si>
  <si>
    <t>SYB Forte Serum Vitamin C</t>
  </si>
  <si>
    <t>Rated Green Real Shea Moisturizing Recharging Serum - size: 150 ml - Edit by Sociolla</t>
  </si>
  <si>
    <t>Rated Green</t>
  </si>
  <si>
    <t>KKV - Whitelab Brightening Acne Face Serum 20ml</t>
  </si>
  <si>
    <t>It's Glow Time</t>
  </si>
  <si>
    <t>COSRX Advanced Snail 96 Mucin Power Essence - 100ml</t>
  </si>
  <si>
    <t>Holika Holika Good Cera Super Ceramide Cream In Serum (NEW)</t>
  </si>
  <si>
    <t>(2 PACK SET) SHAPELYNE V Shape Facial Lift ~ Serum Untuk Merampingkan Wajah</t>
  </si>
  <si>
    <t>essenHERB Tea Tree Ampoule 50ml</t>
  </si>
  <si>
    <t>Serum Caviar Gold Marwah</t>
  </si>
  <si>
    <t>THE LAB BY BLANC DOUX Oligo Hyaluronic Acid Boosting Ampoule 30ml</t>
  </si>
  <si>
    <t>The Lab</t>
  </si>
  <si>
    <t>The Lab By Blanc Doux Official Shop</t>
  </si>
  <si>
    <t>Avione White Expert Serum 20ml FREE Facial Foam</t>
  </si>
  <si>
    <t>Avione</t>
  </si>
  <si>
    <t>Avione Beauty Official Shop</t>
  </si>
  <si>
    <t>SPESIAL RAMADHAN! Kerastase Cure Apaisante 12*6ml Serum Intensif Kulit Kepala Sensitif</t>
  </si>
  <si>
    <t>Benton Snail Bee High Content Essence - 60ml</t>
  </si>
  <si>
    <t>FABIL Post Acne Lightening Serum with Bidara 12,5ml (EXP 12/21)</t>
  </si>
  <si>
    <t>MEDGLOW CLINIC Salicylic Acid Serum | Aesthetic Skincare Serum Penghilang Pori Komedo Acne Jerawat</t>
  </si>
  <si>
    <t>Vit C Whitening Serum Marwah Skin Care</t>
  </si>
  <si>
    <t>Natasha by dr Fredi Setyawan Brightening Antioxidant Serum</t>
  </si>
  <si>
    <t>Npure Face Essence Centella Asiatica | Acne Care 20ml - N'Pure</t>
  </si>
  <si>
    <t>Hanasui Serum Whitening Gold 20ml</t>
  </si>
  <si>
    <t>Holika Holika Prime Youth Black Snail Repair Essence</t>
  </si>
  <si>
    <t>Garnier Light Complete Booster Serum 15ml + Micellar Water Rose 400ml (Untuk Kulit Cerah &amp; Glowing)</t>
  </si>
  <si>
    <t>MSBB - The Aubree Rose Bloom Petal Essence 120ml</t>
  </si>
  <si>
    <t>Bio Renew Deep Cleanser 100 ml + Bio Renew Exfoliating Gel 60 gr - Deep Clean Skin Bundle</t>
  </si>
  <si>
    <t>Ohmyskin! Essence 60ml</t>
  </si>
  <si>
    <t>ACNOC All Hybrid Essence 30ml [FREE Mini Acneser Spot Gel 5G]</t>
  </si>
  <si>
    <t>Acnoc</t>
  </si>
  <si>
    <t>ACNOC Indonesia Official Shop</t>
  </si>
  <si>
    <t>Daeng Gi Meo Ri - Paket Vitalizing Shampoo, Serum dan Essence</t>
  </si>
  <si>
    <t>Daeng Gi Meo Ri</t>
  </si>
  <si>
    <t>[BPOM] Avoskin Your Skin Bae Mugwort Series</t>
  </si>
  <si>
    <t>MSBB - Purivera Sea Ceramide Serum Bakuchiol 2% Ceramide 3% Buckthorn Anti Aging Skin</t>
  </si>
  <si>
    <t>Iunik Noni Light oil Serum 50ml NEW</t>
  </si>
  <si>
    <t>KF Skin - Serum Acne</t>
  </si>
  <si>
    <t>Nu Aroma Sweet Almond Oil (Natural Serum Wajah Serum Rambut)</t>
  </si>
  <si>
    <t>Nu Aroma</t>
  </si>
  <si>
    <t>Nu Aroma Official Shop</t>
  </si>
  <si>
    <t>6</t>
  </si>
  <si>
    <t>COSRX Hyaluronic Acid Hydra Power Essence 100ml</t>
  </si>
  <si>
    <t>Babor HY-ÖL &amp; Reactivating 2021</t>
  </si>
  <si>
    <t>WHITELAB PEELING SERUM AHA BHA PHA 15 ML</t>
  </si>
  <si>
    <t>Solcare Extra White Serum</t>
  </si>
  <si>
    <t>Azalea Amazing Glass Skin Face Serum</t>
  </si>
  <si>
    <t>Bioderma Hydrabio Serum 40 ml</t>
  </si>
  <si>
    <t>Nusantics Galactomyces Treatment Essence</t>
  </si>
  <si>
    <t>Holika Holika One Solution Super Energy Ampoule</t>
  </si>
  <si>
    <t>Wardah Crystallure Booster Essence 30Ml</t>
  </si>
  <si>
    <t>Olay White Radiance Cellucent White Essence Serum 30 ml</t>
  </si>
  <si>
    <t>Hiqween 10:000pm Advanced Serum dan Hydraglow Shimmering Booster</t>
  </si>
  <si>
    <t>MIRACULOUS DNA SALMON+</t>
  </si>
  <si>
    <t>Lumier</t>
  </si>
  <si>
    <t>Lumier Official Shop</t>
  </si>
  <si>
    <t>Somethinc Salmon DNA + Marine Collagen Elixir 20ml</t>
  </si>
  <si>
    <t>Azarine Miraclear Herbal Peeling Serum 20ml</t>
  </si>
  <si>
    <t>Lacoco 5% Bakuchiol Essence 30ml</t>
  </si>
  <si>
    <t>I'm From Honey Serum - Edit by Sociolla</t>
  </si>
  <si>
    <t>I-Face Vitamin Serum C / Vitamin wajah  / Skin Care / Pemutih wajah</t>
  </si>
  <si>
    <t>Fresh Herb Origin Serum + Mask Pack 3pcs</t>
  </si>
  <si>
    <t>Best Serum Anti Aging | Mireya Retinol Biostine Anti Aging Boost Serum + Mireya Glow C Youth Boost</t>
  </si>
  <si>
    <t>Beautybarme - Somethinc BAKUCHIOL Skinpair Oil Serum &amp; SOMETHINC GLOW MAKER r</t>
  </si>
  <si>
    <t>Humphrey Mugwort Anti Acne Serum</t>
  </si>
  <si>
    <t>Scarlett Whitening Brightly to Glow Mini Series 5mlx2</t>
  </si>
  <si>
    <t>MSBB - Dear Me Beauty Hyaluronic Acid + Pomegranate Extract Face Serum - 12ml</t>
  </si>
  <si>
    <t>NURISH ORGANIQ 24K Face Essence 20 mL - Perawatan Kecantikan Essense Wajah</t>
  </si>
  <si>
    <t>Nurish Organiq</t>
  </si>
  <si>
    <t>Nurish Organiq Official Shop</t>
  </si>
  <si>
    <t>EVERWHITE CICA SOOTHING SERUM 30 ML</t>
  </si>
  <si>
    <t>Smooto Tomato Aloe Snail White &amp; Acne Sleeping Serum</t>
  </si>
  <si>
    <t>[The Face Shop] Dr Belmeur Vita Serine Serum - 45ml - Original</t>
  </si>
  <si>
    <t>Somethinc 10% Niacinamide + Moisture Sabi White Max Brightening Serum &amp; Somethinc HYALuronic B5-40ml</t>
  </si>
  <si>
    <t>NATURE REPUBLIC Good Skin Ampoule - MINERAL</t>
  </si>
  <si>
    <t>MS GLow Luminous Glowing Serum Original BPOM Serum Wajah Untuk Bekas Jerawat Dan Noda Pada Wajah</t>
  </si>
  <si>
    <t>Glowlabs Ultimate Team (Gentle Glow Essence, Probiome Acne Serum &amp; Peptide Moist)</t>
  </si>
  <si>
    <t>Dear Me Beauty 10% Niacinamide + Watermelon Extract Face Serum</t>
  </si>
  <si>
    <t>Garnier Sakura White Booster Serum 15ml + Micellar Oil 400ml (Untuk Kulit Glowing Bebas Makeup)</t>
  </si>
  <si>
    <t>Lysca Flek Solution &amp; Intense Whitening Complete Package</t>
  </si>
  <si>
    <t>HAUM ALOECID Niacinamide 10%</t>
  </si>
  <si>
    <t>Chupa Chups Beauty Official Shop</t>
  </si>
  <si>
    <t>SOME BY MI Snail Truecica Miracle Cream</t>
  </si>
  <si>
    <t>THE LAB BY BLANC DOUX Oligo Hyaluronic Acid Midnight Capsule 2ml</t>
  </si>
  <si>
    <t>ARIUL Watermelon Hydro Glow Serum 55ml</t>
  </si>
  <si>
    <t>WMU Beauty Radiant Skin Serum Intensive Brightening and Reduce Spot Moisturizing</t>
  </si>
  <si>
    <t>WMU Beauty</t>
  </si>
  <si>
    <t>WMU Beauty Official Shop</t>
  </si>
  <si>
    <t>Novexpert Booster Serum Vitamin C - 30ml</t>
  </si>
  <si>
    <t>DERMALOGICA UltraCalming Essence  (150ml) - Face Essence Serum</t>
  </si>
  <si>
    <t>Mireya Mochi-Mochi Gold Serum</t>
  </si>
  <si>
    <t>NATURE REPUBLIC Bundle Hyalon Active 10</t>
  </si>
  <si>
    <t>Skin Dewi Tamanu Green Serum 5ml (Skincare Organic)</t>
  </si>
  <si>
    <t>KKV - Everwhite Cica Soothing Serum 30ml Beauty</t>
  </si>
  <si>
    <t>Nameera Intense Illuminatinon Perfecting Serum 25 ml</t>
  </si>
  <si>
    <t>MS Glow Ultimate Series Original MSglow Official Beauty Pencerah Wajah Penghilang Bekas Jerawat BPOM</t>
  </si>
  <si>
    <t>(LIMITED BUNDLE)  Aesthetic Bluepin Excellen-C Face Serum &amp; Skind Rose Drip Crytal Serum</t>
  </si>
  <si>
    <t>Skind+</t>
  </si>
  <si>
    <t>Neutrogena Hydroboost Series</t>
  </si>
  <si>
    <t>Votre Peau Sensisoft and Tranexamic Acid Vitamin C Serum</t>
  </si>
  <si>
    <t>Phyto Niacin Whitening Essence + Mask Pack 3pcs</t>
  </si>
  <si>
    <t>Utama Spice Acne Night Serum 30 ml</t>
  </si>
  <si>
    <t>Utama Spice</t>
  </si>
  <si>
    <t>Utama Spice Official Shop</t>
  </si>
  <si>
    <t>KAB. GIANYAR</t>
  </si>
  <si>
    <t>VOTRE PEAU Brightening Essence 50ml</t>
  </si>
  <si>
    <t>Calmedi Serum Luminous 3 in 1 20ml | Serum Pencerah Wajah</t>
  </si>
  <si>
    <t>Calmedi</t>
  </si>
  <si>
    <t>Calmedi Skincare Official Shop</t>
  </si>
  <si>
    <t>WHITELAB RETINOID INTENSIVE CARE SERUM 15ML</t>
  </si>
  <si>
    <t>Sarae Glowing Essence with CICA - Hyaluronic Acid Face Mist, Centella Asiatica</t>
  </si>
  <si>
    <t>LACOCO Hydrating Divine Essence 50ml</t>
  </si>
  <si>
    <t>CLINELLE [Special Hampers] Caviar Gold - Firming Dream Team</t>
  </si>
  <si>
    <t>FABIL Plumping &amp; Mandelic Acid Serum with Hyaluronic Acid, Niacinamide, and Bidara 20ml</t>
  </si>
  <si>
    <t>Illuminare Youth Serum 30 mL - Serum Anti Aging</t>
  </si>
  <si>
    <t>Hanasui ✔️BPOM Serum | pemutih kulit | Whitening Gold Vit C Collagen</t>
  </si>
  <si>
    <t>Safi Age Defy Gold Water Essence 100 ml</t>
  </si>
  <si>
    <t>Naruko Tea Tree Post Blemish Corrector 10ml</t>
  </si>
  <si>
    <t>BREYLEE SETS of SERUM G - Menenangkan &amp; Menyegarkan Wajah (2pcs)</t>
  </si>
  <si>
    <t>Aizen SepiWhite MSH 3% Ultra Ampoule - Serum Pemutih &amp; Pencerah Kulit Wajah</t>
  </si>
  <si>
    <t>Tuesbelle - SKIN GAME Theory Of Everything Essence - 100ml</t>
  </si>
  <si>
    <t>Nacific Phyto Niacin Whitening Essence - 50ml</t>
  </si>
  <si>
    <t>BLOOMKA Bakuchiol + Vitamin B3 Facial Treatment Serum 20ml</t>
  </si>
  <si>
    <t>Somethinc HYALuronic B5 - 40ml + Somethinc Bakuchiol Skinpair Serum- 20ml</t>
  </si>
  <si>
    <t>[1 pcs] Acne Care Serum With Centella Asiatica &amp; Green Tea Extract - Beauty In The Pot Skincare Alami BPOM Menyembuhkan Jerawat, Mengurangi Peradangan Kulit, &amp; Melembabkan Wajah</t>
  </si>
  <si>
    <t>INDOGANIC Brightening Vit C Serum With Glutathione 15ml</t>
  </si>
  <si>
    <t>GLOSKIN Clear Xpert Serum</t>
  </si>
  <si>
    <t>GLOSKIN Hydra Xpert Serum</t>
  </si>
  <si>
    <t>5</t>
  </si>
  <si>
    <t>MS GLOW Deep Treatment Essence Meredakan Iritasi Mengatasi Masalah Jerawat Menjaga Kelembapan Kulit</t>
  </si>
  <si>
    <t xml:space="preserve">Green Angelica Authorized Store Kediri </t>
  </si>
  <si>
    <t>Nusantics Lavender Biome Spray Essence</t>
  </si>
  <si>
    <t>Promo Dr.Ekles Skincare - Face Tonic Whitening Premium 120ml</t>
  </si>
  <si>
    <t>PURITO Hyaluronic Acid 90 Serum</t>
  </si>
  <si>
    <t>INNERTRUE Essence Of Life Serum 15ml</t>
  </si>
  <si>
    <t>[BPOM] Avoskin Your Skin Bae Serum Ultimate Hyaluron HYACROSS 3% + Green Tea</t>
  </si>
  <si>
    <t>THANK YOU FARMER MIRACLE AGE REPAIR SERUM 60 ml</t>
  </si>
  <si>
    <t>Thank You Farmer</t>
  </si>
  <si>
    <t>[BPOM] Azarine Lightening Serum 20 ml C White</t>
  </si>
  <si>
    <t>Kiehl's Midnight Recovery Concentrate - 15ml</t>
  </si>
  <si>
    <t>Kiehl's</t>
  </si>
  <si>
    <t>Safi Age Defy  Gold Water Essence 30 ml + Naturals Micellar Water with Cucumber 100 ml</t>
  </si>
  <si>
    <t>Natasha by dr Fredi Setyawan Teen Glowing Essence</t>
  </si>
  <si>
    <t>Natosh Rice Bran Oil</t>
  </si>
  <si>
    <t>Natosh</t>
  </si>
  <si>
    <t>Natosh Indonesia Official Shop</t>
  </si>
  <si>
    <t>Crushlicious Niacinamide Glow Up Serum + Oatmask</t>
  </si>
  <si>
    <t>Mediheal Masking Layering Ampoule Poreminor Shot - size: 4 ml * 3 - Edit by Sociolla</t>
  </si>
  <si>
    <t>Mediheal</t>
  </si>
  <si>
    <t>Hado Labo Ultimate Anti Aging Essence 30 Gr</t>
  </si>
  <si>
    <t>BLITHE PRESSED SERUM - TUNDRA CHAGA 50 GR</t>
  </si>
  <si>
    <t>CLINELLE Age Revive Lifting Youth Essence 20 mL - Essense Wajah Kulit Normal Kering</t>
  </si>
  <si>
    <t>KEZIA Skincare Dark Spot Serum 15ml</t>
  </si>
  <si>
    <t>Dear Me Beauty Retinol + Blueberry Extract Face Serum</t>
  </si>
  <si>
    <t>Fameux Peptide-C Serum With Peptide and Hyaluronic Acid</t>
  </si>
  <si>
    <t>Fameux</t>
  </si>
  <si>
    <t>Fameux Official Shop</t>
  </si>
  <si>
    <t>AZARINE HERBAL MOISTURIZER SERUM 20 ML</t>
  </si>
  <si>
    <t>CLINELLE WhitenUp Brightening Spot Essence 15 ML - Dark Spot Treatment Noda dan Flek Hitam Wajah</t>
  </si>
  <si>
    <t>EssenHerb Bulgarian Rose Ampoule 50ml - Edit by Sociolla</t>
  </si>
  <si>
    <t>Somethinc Salmon DNA + Marine Collagen Elixir - 20ml</t>
  </si>
  <si>
    <t>Somethinc Holygrail Multipeptide Youth Elixir - 20ml</t>
  </si>
  <si>
    <t>Probeauty Serum Whitening / serum flek AHA 9% kaya vitamin</t>
  </si>
  <si>
    <t>GEN Anti Aging Complete Serum (For All Skin Types) 20ml BPOM : NA18192005115</t>
  </si>
  <si>
    <t>Gen360</t>
  </si>
  <si>
    <t>GEN Official Shop</t>
  </si>
  <si>
    <t>Hanasui Men Bright Active Serum 20ml</t>
  </si>
  <si>
    <t>NATURE REPUBLIC Argan Essential Curling Essence</t>
  </si>
  <si>
    <t>Utama Spice Face Serum 30 ml</t>
  </si>
  <si>
    <t>Votre Peau Skin Care Advanced Dark Spot Treatment Package</t>
  </si>
  <si>
    <t>Sbcskin Mild Exfoliating Serum (Acne Serum)</t>
  </si>
  <si>
    <t>MSBB - True To Skin Niacinamide Brightening Serum</t>
  </si>
  <si>
    <t>[BPOM] Scarlett Whitening Brightly to Glow Mini Series</t>
  </si>
  <si>
    <t>NOOLA Breezy Willow Moist Serum</t>
  </si>
  <si>
    <t>PLACENTOR - Travel Kit / Travel Size (Serum, Moisturizing Cream, Suncream, Cleansing Gel)</t>
  </si>
  <si>
    <t>[BPOM] Avoskin Your Skin Bae Serum Vitamin C 3% + Niacinamide 2% + Mandarin Orange Fruit Extract</t>
  </si>
  <si>
    <t>Benton Snail Bee High Content Essence | Lotion | Toner</t>
  </si>
  <si>
    <t>Sbcskin - Bundling Sunscreen Normal + Serum Vit C</t>
  </si>
  <si>
    <t>SOMETHINC Hyaluronic B5 40ml</t>
  </si>
  <si>
    <t>Olay Total Effects 7 In One Serum 50 Ml</t>
  </si>
  <si>
    <t>Wardah C - Defense Serum, 17 ml</t>
  </si>
  <si>
    <t>Aura Dermatology - Serum Vitamin C</t>
  </si>
  <si>
    <t>Aura Dermatology</t>
  </si>
  <si>
    <t>Aura Dermatology Official Shop</t>
  </si>
  <si>
    <t>Calysta Serum Pearl Luminous</t>
  </si>
  <si>
    <t>MSBB - Skin Game Spot Guard Serum 30 gr</t>
  </si>
  <si>
    <t>Dr. Ceuracle Ac Care Solution Blue One Size, - 50 ml - Edit by Sociolla</t>
  </si>
  <si>
    <t>Dr. Ceuracle</t>
  </si>
  <si>
    <t>FIRST LAB Probiotic REVERSE Skin Emulsion 100ml</t>
  </si>
  <si>
    <t>NPURE Face Serum Marigold/Calendula Series</t>
  </si>
  <si>
    <t>WARDAH White Secret Intense Brightening Essence</t>
  </si>
  <si>
    <t>[BPOM] LANBENA Serum Treatment C (2pcs)</t>
  </si>
  <si>
    <t>MEDGLOW CLINIC Whitening Dark Spot Serum | Aesthetic Skincare Serum Penghilang Noda Flek Hitam BPOM</t>
  </si>
  <si>
    <t>AZARINE EYELUMINATE FIRMING SERUM 15 GR</t>
  </si>
  <si>
    <t>Garnier Sakura White Booster Serum 15 ml + Sakura Mask - 5 pcs (Untuk Kulit Cerah Merona)</t>
  </si>
  <si>
    <t>Somethinc Criously 24 Gold Essence - 20ml</t>
  </si>
  <si>
    <t>SYB Forte Lightening Gold Serum</t>
  </si>
  <si>
    <t>er-1 Natural Glow Apple Phytocell Serum – Serum Pencerah Wajah Natural Sensitif - by dr. Erna</t>
  </si>
  <si>
    <t>Garnier Light Complete Booster Serum 15 ml + Light Complete Mask - 5 pcs (Untuk Kulit Cerah Cepat)</t>
  </si>
  <si>
    <t>Omniskin Watermelon Glow Waterfull Whitening Serum 20ml</t>
  </si>
  <si>
    <t>TISHA AC7 Spot Serum Phytosilica 15ml + SACHET 1g x 3ea</t>
  </si>
  <si>
    <t>Tisha AC7</t>
  </si>
  <si>
    <t>Tisha AC7 Official Shop</t>
  </si>
  <si>
    <t>KOTA CILEGON</t>
  </si>
  <si>
    <t>Holika Holika Honey Royalactin Serum Mist</t>
  </si>
  <si>
    <t>Bio Essence Bio-Gold Night Cream 40 gr + Radiant Cleanser 100 gr</t>
  </si>
  <si>
    <t>(Isi 2) Hanasui Vitamin C+CollagenSerum 20ml (BIRU) / Serum Wajah / Pelembab Wajah</t>
  </si>
  <si>
    <t>MSBB - Kaley Pineapple-c Lightening essence serum</t>
  </si>
  <si>
    <t>Tuesbelle - SKIN GAME Focus Acne Combat</t>
  </si>
  <si>
    <t>Whitelab Hydrating Face Essence 60 mL</t>
  </si>
  <si>
    <t>Some By Mi AHA-BHA-PHA 30 Days Miracle Serum - 50ml</t>
  </si>
  <si>
    <t>SKEYNDOR Uniqcure Intensive Hydrating Concentrate</t>
  </si>
  <si>
    <t>SKEYNDOR Uniqcure Redensifying Filling Concentrate</t>
  </si>
  <si>
    <t>NACIFIC Fresh Herb Origin Simple Set</t>
  </si>
  <si>
    <t>[BPOM] True to Skin Hyaluronic Acid Hydrating Serum (Pure Mini HA, Vit B5, Allantoin)</t>
  </si>
  <si>
    <t>Azarine C White Eyeluminate Firming Serum 15ml</t>
  </si>
  <si>
    <t>Wardah Renew You Anti Aging Intensive Serum, 17 ml</t>
  </si>
  <si>
    <t>Probeauty Serum New Skin / Repair Serum / Serum Bopeng</t>
  </si>
  <si>
    <t>RORO MENDUT Cica Niacinamide Zinc Serum</t>
  </si>
  <si>
    <t>AZARINE EASY WHITE HERBAL MOISTURIZER SERUM 20 ml</t>
  </si>
  <si>
    <t>Nusantics Chamomile Biome Spray Essence</t>
  </si>
  <si>
    <t>[BPOM] VAVL Pure White Glowing Serum</t>
  </si>
  <si>
    <t>Garnier Serum Light Complete Vitamin C 30x Booster Skin Care 15 mL</t>
  </si>
  <si>
    <t>KLEVERU Vitamin C 10% Ferulic 15ml</t>
  </si>
  <si>
    <t>[Official Distributor] By Wishtrend: Quad Active Boosting Essence 100ml</t>
  </si>
  <si>
    <t>BIODERMA Bioderma Atoderm Huille de Douche 24hr Moist 200ml</t>
  </si>
  <si>
    <t>KEZIA Skincare Serum Acne 15ml</t>
  </si>
  <si>
    <t>d'Alba White Truffle First Spray Serum 100ml</t>
  </si>
  <si>
    <t>d'Alba Indonesia Official Shop</t>
  </si>
  <si>
    <t>DNI Glowing Snail Serum</t>
  </si>
  <si>
    <t>FSS Hydrate Hyaluronic Acid Serum Concentrate - 30ml</t>
  </si>
  <si>
    <t>Glowlabs New Game Squad (HPR Night Serum, Gentle Exfoliator Essence, Acne Prone Moisturizer)</t>
  </si>
  <si>
    <t>TABITHA SKIN WHITE Dark Spot Serum</t>
  </si>
  <si>
    <t>Duvaderm Acne Shot - 5ml</t>
  </si>
  <si>
    <t>Iunik Black Snail Restore Serum 50ml</t>
  </si>
  <si>
    <t>Dear Me Beauty 5% Inoceramide (Ceramide) + Pomegranate Extract Face Serum 32ml</t>
  </si>
  <si>
    <t>Whitelab Hydrating Face Essence 60ml</t>
  </si>
  <si>
    <t>Hiqween Bundling Basic Skincare</t>
  </si>
  <si>
    <t>Rovectin Skin Essentials Aqua Activating Serum</t>
  </si>
  <si>
    <t>Rovectin</t>
  </si>
  <si>
    <t>4</t>
  </si>
  <si>
    <t>Power Ampoule Anti Wrinkle - 35ml</t>
  </si>
  <si>
    <t>Irine Beauty Care PLATINUM ACNE SERUM (mengandung aloe vera, vit. B3, A, C)</t>
  </si>
  <si>
    <t>KANEBO Skin Gloss Oil Water - 50ML</t>
  </si>
  <si>
    <t>AIZEN Carnosine Astaxanthin 4% Ultra Ampoule</t>
  </si>
  <si>
    <t>Jarkeen Glow Serum Peach</t>
  </si>
  <si>
    <t>Zalfa Natural Lightening Concentrate Intensive Serum 20 ml</t>
  </si>
  <si>
    <t>Zalfa</t>
  </si>
  <si>
    <t>Zalfa Natural Official Shop</t>
  </si>
  <si>
    <t>[BPOM] AVOSKIN Miraculous Refining Serum 30ml</t>
  </si>
  <si>
    <t>[BPOM] Azarine AHA BHA Miraclear Herbal Peeling Serum 20ml</t>
  </si>
  <si>
    <t>NOX X Natasha by dr Fredi Setyawan Coffee Serum</t>
  </si>
  <si>
    <t>Wardah Renew You Anti Aging Intensive Serum 17 Ml (Guardian)</t>
  </si>
  <si>
    <t>TISHA AC7 Spot Serum Phytosilica 15ml</t>
  </si>
  <si>
    <t>SOME BY MI Yuja Niacin Blemish Care Serum Mask</t>
  </si>
  <si>
    <t>SCARLETT WHITENING Glowtening Serum 15ml</t>
  </si>
  <si>
    <t>( 2 Pcs ) Hanasui Anti Acne Serum 20ml</t>
  </si>
  <si>
    <t>ELSHE SKIN Radiant Supple Serum 20ml</t>
  </si>
  <si>
    <t>POB Serum Vitamin C Plus Lifting Dan Blemish Wajah Lebih Glowing</t>
  </si>
  <si>
    <t>The Ordinary Hyaluronic Acid 2% + B5 30ml</t>
  </si>
  <si>
    <t>Smooto Premium Sunscreen Extra Whitening Essence</t>
  </si>
  <si>
    <t>MSBB - True To Skin Hyaluronic Acid Hydrating Serum</t>
  </si>
  <si>
    <t>Dear Me Beauty 1% Bakuchiol + Blueberry Extract Face Serum</t>
  </si>
  <si>
    <t>COMMONLABS Vitamin B5 Moisture Ampoule (18ml)</t>
  </si>
  <si>
    <t>Common Labs</t>
  </si>
  <si>
    <t>Lacoco Hydrating Divine Essence - 50ml</t>
  </si>
  <si>
    <t>Nu Aroma Argan Oil (Natural Serum Wajah Serum Kulit Serum Rambut)</t>
  </si>
  <si>
    <t>(LIMITED BUNDLE) Aesthetic Bluepin AHA BHA Peeling Solution &amp; Skind Rose Drip Clear Serum</t>
  </si>
  <si>
    <t>Mediheal Masking Layering Ampoule Exceltoning Shot - size: 4 ml * 3 - Edit by Sociolla</t>
  </si>
  <si>
    <t>Natasha by dr Fredi Setyawan Bakuchiol Glow Serum</t>
  </si>
  <si>
    <t>Holika Holika Bundling Aloe Soothing Essence</t>
  </si>
  <si>
    <t>Votre Peau Vitamin C Maharis Clinic - 30ml</t>
  </si>
  <si>
    <t>Laneige PR Youth Emulsion 100ml (OL21)</t>
  </si>
  <si>
    <t>FIRST LAB (Travel Size) FIRST LAB Probiotic Serum 10ml</t>
  </si>
  <si>
    <t>Nacific Fresh Herb Origin Serum - 50ml</t>
  </si>
  <si>
    <t>Bio Essence Bio-Gold Golden Ratio Double Serum 36 gr Twinpack Special</t>
  </si>
  <si>
    <t>Neutrogena Hydro Boost Capsule in Serum 30 Ml | Serum Pelembab Kulit Wajah, Antioksidan</t>
  </si>
  <si>
    <t>GLOWINC POTION GENTLE+ Soothing Serum</t>
  </si>
  <si>
    <t>Yoqueen Beauty Light Booster Serum 30ml [Buy 1 Get 1]</t>
  </si>
  <si>
    <t>Yoqueen Beauty</t>
  </si>
  <si>
    <t>The Lab by Blanc Doux Oligo Hyaluronic Acid 7 Multi-Formula Pad 5ml (1pcs)</t>
  </si>
  <si>
    <t>HAUM BUNDLING C + LCID</t>
  </si>
  <si>
    <t>POND'S Bright Beauty Perfect Potion Essence 50 mL</t>
  </si>
  <si>
    <t>[BPOM] Scarlett Whitening Acne to Glow Mini Series</t>
  </si>
  <si>
    <t>Ahc The Aesthe Youth Emulsion 120ml</t>
  </si>
  <si>
    <t>Safi White Expert Ultima Essence 20ml</t>
  </si>
  <si>
    <t>TISHA AC7 Spot Serum Phytosilica 15ml + 15ml</t>
  </si>
  <si>
    <t>Troiareuke Healing Cocktail</t>
  </si>
  <si>
    <t>Troiareuke</t>
  </si>
  <si>
    <t>Troiareuke Official Shop</t>
  </si>
  <si>
    <t>MSBB - Dear Me Beauty 1% Bakuchiol + Blueberry Extract Face Serum - 12Ml</t>
  </si>
  <si>
    <t>AZARINE Miraclear Herbal Peeling Serum 20ml</t>
  </si>
  <si>
    <t>( 2 Pcs ) Hanasui Vitamin C + Collagen Serum 20ml</t>
  </si>
  <si>
    <t>DR.Tisha [Sachet] TISHA AC7 SPOT SERUM (Sachet 3pc*1g )</t>
  </si>
  <si>
    <t>MS Glow Acne Serum Original Serum Wajah Berjerawat Isi 15ml Ampuh Menghilangkan Jerawat Bopeng BPOM</t>
  </si>
  <si>
    <t>THE POTIONS - Hyaluronic Acid Ampoule 20ml</t>
  </si>
  <si>
    <t>Garnier Light Complete White Speed Serum Cream Extra SPF19/PA+++ 50 ml</t>
  </si>
  <si>
    <t>Garnier Bundle - Sakura White Serum + Day Cream + Night Cream</t>
  </si>
  <si>
    <t>MSBB - Somethinc Criously 24K Gold Essence - 20 Ml</t>
  </si>
  <si>
    <t>Somethinc Criously 24K Gold Essence 20ml | 40ml</t>
  </si>
  <si>
    <t>MSBB - Somethinc 10% Niacinamide Barrier Serum - 40Ml</t>
  </si>
  <si>
    <t>Somethinc Hyaluronic9 + Advanced + B5 Serum - 40ml</t>
  </si>
  <si>
    <t>Avoskin Your Skin Bae Azeclair 10%+Kombucha 3%+Nia 2.5% Serum - 30ml</t>
  </si>
  <si>
    <t>Somethinc 5% Niacinamide + Moisture Sabi Beet Serum - 40ml</t>
  </si>
  <si>
    <t>FABIL Intensive Acne Care Serum with Bidara 12,5ml (EXP 11/21)</t>
  </si>
  <si>
    <t>L'Oreal Paris Revitalift Crystal Micro Essence Water Serum Skin Care - 22 ml x 6 pcs - LEBIH HEMAT!</t>
  </si>
  <si>
    <t>MEDGLOW CLINIC Collagen Serum | Aesthetic Skincare Anti Aging Firming Lifting Pengencangan BPOM</t>
  </si>
  <si>
    <t>HAUM LCID Salicylic Acid 2% [Serum wajah sensitif]</t>
  </si>
  <si>
    <t>Raiku Water Essence 30ml (2Pcs)</t>
  </si>
  <si>
    <t>Bhumi HPR Retinol Serum - 30ml</t>
  </si>
  <si>
    <t>THE AUBREE Ginseng Renewing First Serum 30ml</t>
  </si>
  <si>
    <t>NACIFIC Glow Intensive Essence 45ml</t>
  </si>
  <si>
    <t>POB SERUM VITAMIN C BPOM MENCERAHKAN WAJAH KARENA POLUSI</t>
  </si>
  <si>
    <t>MEDGLOW CLINIC Gold Gamat Serum | Aesthetic Skincare Serum Anti Aging Penuaan Kerutan Wrinkle BPOM</t>
  </si>
  <si>
    <t>Everwhite Cica Soothing Serum 30ml (Centella Asiatica) - Acne Care | Acne Series</t>
  </si>
  <si>
    <t>Raiku Bright Radiance Serum 30ml</t>
  </si>
  <si>
    <t>[BPOM] True to Skin Niacinamide Brigthening Serum (Niacinamide, Zinc, Allantoin)</t>
  </si>
  <si>
    <t>Benton Snail Bee Ultimate Serum - 35ml</t>
  </si>
  <si>
    <t>CLINELLE Special Bundling Caviar Gold Firming Eye Serum + Caviar Gold Firming Serum</t>
  </si>
  <si>
    <t>Daneen Whip Acne Serum 10ml</t>
  </si>
  <si>
    <t>Mireya Anti Blemish Boost Serum Very Berry Acne</t>
  </si>
  <si>
    <t>RORO MENDUT Spirulina Salicylic Acid B5 Serum</t>
  </si>
  <si>
    <t>Cosrx Advanced Snail 96 Mucin Power Essence 100ml</t>
  </si>
  <si>
    <t>Probeauty Serum Vit C / Serum whitening with vitamin C &amp; alpha arbutin</t>
  </si>
  <si>
    <t>Probeauty Neck Serum / Serum Leher / Serum Whitening &amp; Anti Aging Untuk Leher</t>
  </si>
  <si>
    <t>EVERWHITE NIACINAMIDE BRIGHTENING SERUM 20 ML</t>
  </si>
  <si>
    <t>Calmedi Acne Bio Serum 10 ml | Totol Jerawat Ampuh</t>
  </si>
  <si>
    <t>Revlon Night Routine Evivesse Package</t>
  </si>
  <si>
    <t>Bhumi Acid Complex Clearing Serum 30ml</t>
  </si>
  <si>
    <t>Cosrx Galactomyces 95 Tone Balancing Essence</t>
  </si>
  <si>
    <t>Innertrue Acneficent Treatment Gel 10g</t>
  </si>
  <si>
    <t>Serum Kinclong Marwah Skincare</t>
  </si>
  <si>
    <t>Bio Beauty Lab Phyto Power Essence - 50ml</t>
  </si>
  <si>
    <t>LOREAL DEX WP ESSENCE LOT 175M</t>
  </si>
  <si>
    <t>Garnier Light Complete Vitamin C Serum 30 ml</t>
  </si>
  <si>
    <t>Lysca Pure Essence Skin Care With Korean Golden Bell Extract - 100ml</t>
  </si>
  <si>
    <t>Aizen Polyglutamic Acid 5% Ultra Ampoule - Serum Pelembab &amp; Hidrasi Kulit Wajah</t>
  </si>
  <si>
    <t>Avoskin Your Skin Bae Hyacross 3% + Green Tea - 30ml</t>
  </si>
  <si>
    <t>Avoskin YOUR SKIN BAE HYACROSS 3% + Green Tea (Blue Sky) 30ml 30ml</t>
  </si>
  <si>
    <t>Hampers Unik Kado Ulang Tahun Paket Skincare Segersnow</t>
  </si>
  <si>
    <t>BeautieSS Pore Treatment Serum</t>
  </si>
  <si>
    <t>Beautiess</t>
  </si>
  <si>
    <t>BeautieSS Official Shop</t>
  </si>
  <si>
    <t>GLOWINC POTION MAINTAIN+ Nutrient Skin Serum</t>
  </si>
  <si>
    <t>MEDGLOW CLINIC AHA BHA PHA Peeling Serum|Aesthetic Skincare Serum Regenerasi Eksfoliasi Peeling BPOM</t>
  </si>
  <si>
    <t>[BPOM] BREYLEE Serum Hyaluronic Acid - Melembabkan Wajah (17ml)</t>
  </si>
  <si>
    <t>[BPOM] BREYLEE Soothing Serum - Menenangkan Kulit Wajah (17ml)</t>
  </si>
  <si>
    <t>Nature Reaction Crystal Bright Serum Pencerah Wajah Penghilang Bekas Jerawat Original BPOM &amp; Halal</t>
  </si>
  <si>
    <t>Natur-E Serum White Secret Pure Treatment Essence 100ml Advance Anti-Aging 15ml</t>
  </si>
  <si>
    <t>Fanbo Skin Goals Acne Rescue Serum</t>
  </si>
  <si>
    <t>Cosrx BHA Blackhead Power Liquid Skin Care 100ml</t>
  </si>
  <si>
    <t>AHC Hyaluronic Emulsion - Size: 100 ml - Edit by Sociolla</t>
  </si>
  <si>
    <t>THESAEM Jeju Fresh Aloe Essence 35ml</t>
  </si>
  <si>
    <t>L'Oreal Paris Pro-Youth Face Mask Skin Care Untuk Kulit Kencang &amp; Sebening Kristal - Bundle Set 3</t>
  </si>
  <si>
    <t>Dermacept RX VC 15% Serum 10ml</t>
  </si>
  <si>
    <t>dr. Ekle's Skincare - Vitamin C Serum</t>
  </si>
  <si>
    <t>[The Face Shop] Yehwadam Plum Flower Revitalizing Serum-  25ml Original</t>
  </si>
  <si>
    <t>[BPOM] Skin Game Acne Combat Serum 30 gr</t>
  </si>
  <si>
    <t>NATURE REPUBLIC Collagen Dream 70 Essence</t>
  </si>
  <si>
    <t>The Aubree Centella Herb Serum 30ml</t>
  </si>
  <si>
    <t>Tuesbelle - SOMETHINC Bakuchiol Skinpair Oil Serum - 20ml</t>
  </si>
  <si>
    <t>Bhumi Acid Complex Clearing Serum - 30ml</t>
  </si>
  <si>
    <t>Aknema BHA + HA Serum - (20ml)</t>
  </si>
  <si>
    <t>Bio Beauty Lab Phyto Power Essence 50ml</t>
  </si>
  <si>
    <t>Lolane Intense Care Leave in Hyaluronic Serum</t>
  </si>
  <si>
    <t>Lolane</t>
  </si>
  <si>
    <t>Lolane Indonesia Official Shop</t>
  </si>
  <si>
    <t>Elshe Skin Smoothing Serum For Acne Skin 20ml</t>
  </si>
  <si>
    <t>Wardah C-Defense Serum 17 ml</t>
  </si>
  <si>
    <t>SKEYNDOR Pore Refining Serum</t>
  </si>
  <si>
    <t>MSBB - N'Pure Cica Face Essence</t>
  </si>
  <si>
    <t>MSBB - Votre Peau Skin Care Vitamin C Serum 30ml</t>
  </si>
  <si>
    <t>[BPOM] LANBENA Serum Treatment A (2pcs)</t>
  </si>
  <si>
    <t>THE POTIONS - Vitamin B12 Ampoule 20ml</t>
  </si>
  <si>
    <t>Mila D'opiz Ampoule Vitamin C 5ml / Miladopiz</t>
  </si>
  <si>
    <t>AGE20'S Jericho Rose Essence Cover Pact Triple Rose</t>
  </si>
  <si>
    <t>Age 20'S</t>
  </si>
  <si>
    <t xml:space="preserve">Age 20's Official Shop </t>
  </si>
  <si>
    <t>BLITHE PRESSED SERUM - CRYSTAL ICEPLANT 50 GR</t>
  </si>
  <si>
    <t>Aubree Brightening Serum Concentrate - 30ml</t>
  </si>
  <si>
    <t>Tuesbelle - SOMETHINC Age Don't Care | Salmon DNA+Marine Collagen | Holygrail Multipeptide Youth Eli</t>
  </si>
  <si>
    <t>Probeauty Night Serum Plus / Serum Anti Aging With Soybean Oil</t>
  </si>
  <si>
    <t>Kleveru Glass Skin Overnight Serum 20ml</t>
  </si>
  <si>
    <t>Botanity Flavon Serum BUNDLE</t>
  </si>
  <si>
    <t>True to Skin Serum Bakuchiol | Niacinamide | Hyaluronic | Antioxidant Facial Oil 20ml</t>
  </si>
  <si>
    <t>[BPOM] True to Skin Bakuchiol Anti-aging Serum(Natural Retinol - Water Based serum)</t>
  </si>
  <si>
    <t>Bhumi G-Alpine Brightening Serum</t>
  </si>
  <si>
    <t>DEAR ME BEAUTY Single Active Face Serum Retinol + Blueberry Extract</t>
  </si>
  <si>
    <t>AZARINE MIRACLEAR HERBAL PEELING SERUM 20 ML</t>
  </si>
  <si>
    <t>3</t>
  </si>
  <si>
    <t>Babor Hydra Plus Fluid 7x2 ML</t>
  </si>
  <si>
    <t>Babor Multiactive Vitamin Fluid 7x2 ML</t>
  </si>
  <si>
    <t>BLOOMKA Edelweiss + Hyaluronate Essence 100ml</t>
  </si>
  <si>
    <t>Zalfa Natural Dewy Glow Essence Treatment Collagen Infusion 120 ml</t>
  </si>
  <si>
    <t>Jarte Beauty Cica Care Ampoule 20ml</t>
  </si>
  <si>
    <t>Jarte Beauty</t>
  </si>
  <si>
    <t>DEAR ME BEAUTY Single Active Face Serum Hyaluronic Acid + Pomegranate Extract 12ml</t>
  </si>
  <si>
    <t>Hiqween Face Essence Preparing Serum Formula Lama</t>
  </si>
  <si>
    <t>Nurish Organiq Brightening Face Essence</t>
  </si>
  <si>
    <t>Gloskin By DNM - Brightening Serum</t>
  </si>
  <si>
    <t>Gloskin</t>
  </si>
  <si>
    <t>Omniskin Cica Glow Blemish Skin Whitening Serum 20ml</t>
  </si>
  <si>
    <t>OMNISKIN Cica Glow Blemish Skin Whitening Serum 20ml</t>
  </si>
  <si>
    <t>Qweena Pumpkin Whitening Serum 'with snail secretion filtrate' (20ML) 2022</t>
  </si>
  <si>
    <t>Z Skincare - Acne Serum</t>
  </si>
  <si>
    <t>Z Skincare</t>
  </si>
  <si>
    <t>Z Glow Official Shop</t>
  </si>
  <si>
    <t>SKINOIA Green Tea Fresh &amp; Calming Serum</t>
  </si>
  <si>
    <t>Skinoia</t>
  </si>
  <si>
    <t>SKINOIA Official Shop</t>
  </si>
  <si>
    <t>Saffbeautys Bundle Glowing Serum Saffron Facemist Saffron, Saffron Collagen Shoap</t>
  </si>
  <si>
    <t>Cremorlab T.E.N Miracle The Essence 120 ml</t>
  </si>
  <si>
    <t>Miracle</t>
  </si>
  <si>
    <t>The Saem Snail Essential EX Wrinkle Solution Essence 50ml</t>
  </si>
  <si>
    <t>MS GLOW Deep Treatment Essence Original -  DTE MS Glow Ori  - Essence Pemutih Wajah MS Glow BPOM</t>
  </si>
  <si>
    <t>Neutrogena Hydro Boost Capsule in Serum Perawatan Wajah 30 mL</t>
  </si>
  <si>
    <t>Everwhite Brightening Essence Serum with Chromabright - 15ml</t>
  </si>
  <si>
    <t>Serum for Oily Skin (Serum Komedo) Marwah Skincare</t>
  </si>
  <si>
    <t>IUNIK Propolis Vitamin Synergy Serum</t>
  </si>
  <si>
    <t>Nu Aroma Grapeseed Oil (Natural Serum Wajah Serum Rambut)</t>
  </si>
  <si>
    <t>KF Skin - Serum Anti Aging</t>
  </si>
  <si>
    <t>Garnier Sakura White Essence 120ml</t>
  </si>
  <si>
    <t>Bio Essence 24K Gold Radiance Clnsr 100 g</t>
  </si>
  <si>
    <t>Azarine Lightening Serum C White 20 mL</t>
  </si>
  <si>
    <t>Smooto Premium Sunscreen Extra Whitening Essence - 1 Box isi 6pcs</t>
  </si>
  <si>
    <t>MSBB - Elsheskin Vitamin C Serum</t>
  </si>
  <si>
    <t>ERHA Bundle Agemazing Bright</t>
  </si>
  <si>
    <t>ERHA Official Store</t>
  </si>
  <si>
    <t>Hanasui Serum Bright Up 25ml</t>
  </si>
  <si>
    <t>Aquila - Hydra Glow Plumping Supple Essence 20ml/Hydrating/Kulit Kering</t>
  </si>
  <si>
    <t>Safi Age Defy Youth Elixir 29 g</t>
  </si>
  <si>
    <t>Scarlett Whitening Acne Serum 15ml</t>
  </si>
  <si>
    <t>Raecca Lippie Serum</t>
  </si>
  <si>
    <t>Nourish Beauty Care Wrinkle Remover Serum / Anti Aging Series / Anti Penuaan</t>
  </si>
  <si>
    <t>Hada Labo Shirojyun Essence 30g</t>
  </si>
  <si>
    <t>Hiqween 10:00pm Advanced serum dan Nourishing Smoothie Cream</t>
  </si>
  <si>
    <t>Iunik Black Snail Restore Serum - 15ml</t>
  </si>
  <si>
    <t>L'Oreal Paris Revitalift Crystal Essence Limited Ed - 130 ml x 2 Pcs</t>
  </si>
  <si>
    <t>MEDGLOW CLINIC Elasticity Serum | Aesthetic Skincare Anti Aging Firming Lifting Rejuvenasi BPOM</t>
  </si>
  <si>
    <t>SECA Intense Glowing Bundle (Alpha Arbutin + Vitamin C)</t>
  </si>
  <si>
    <t>Garnier Light Complete Vitamin C 30x Booster Serum Skin Care 2 x 30 mL</t>
  </si>
  <si>
    <t>AZARINE C White Eyeluminate Firming Serum</t>
  </si>
  <si>
    <t>Somethinc 10% Niacinamide Barrier Serum - 20ml</t>
  </si>
  <si>
    <t>Acnes Derma Care Anti Blemish Essence 20ml</t>
  </si>
  <si>
    <t>HISTOIRE NATURELLE Double Lactobacillus Refine Serum</t>
  </si>
  <si>
    <t>TRILOGY CERTIFIED ORGANIC RHO ROLLER 10 ml</t>
  </si>
  <si>
    <t>Real White AHA Glycolic Acid Collagen Night Body Serum</t>
  </si>
  <si>
    <t>Anzora Skincare Serum Whitening</t>
  </si>
  <si>
    <t>Anzora Glow Skincare</t>
  </si>
  <si>
    <t>Anzora Cengkareng Authorized</t>
  </si>
  <si>
    <t xml:space="preserve">Garnier Sakura White Booster Serum - 30 ml x 2 Pcs </t>
  </si>
  <si>
    <t>The Potions Mugwort Water Essence 20Ml</t>
  </si>
  <si>
    <t>Somethinc Criously 24K Gold Essence - 40ml</t>
  </si>
  <si>
    <t>BRASOV Serum Wajah Anti Jerawat 30 ML Le Docteur Anti-Acne Vitamin C Face Serum BPOM Halal XX-CT</t>
  </si>
  <si>
    <t>Brasov</t>
  </si>
  <si>
    <t>Brasov Official Shop</t>
  </si>
  <si>
    <t>Botanity Flavon Booster</t>
  </si>
  <si>
    <t>Skind Aesthetic Rose Drip Crystal Clear Serum &amp;  Skind Aesthetic Age Refresh Facial Cleanser</t>
  </si>
  <si>
    <t>SKIND+ Aesthetic Official Shop</t>
  </si>
  <si>
    <t>Safi Age Defy Gold Water Essence 100ml</t>
  </si>
  <si>
    <t>SECA Treat Redness Bundle (Ceramide + Niacinamide)</t>
  </si>
  <si>
    <t>Tuesbelle - NOOLA Breezy Willow Moist Serum - 30ml</t>
  </si>
  <si>
    <t>Somethinc 5% Niacinamide + Moisture Sabi Beet Serum 40 mL</t>
  </si>
  <si>
    <t>PONDS Serum Burst Day &amp; Night  20g</t>
  </si>
  <si>
    <t>Bio Essence Bio-Renew Deep Cleanser 100 gr</t>
  </si>
  <si>
    <t>Utama Spice Acne Day Serum 30 ml</t>
  </si>
  <si>
    <t>Hydra Glow Plumping Supple Essence 50ml/Menghidrasi Kulit/Meredakan Kemerahan Akibat Iritasi Ringan</t>
  </si>
  <si>
    <t>HYDRA BRIGHT ADVANCED TREATMENT SERUM</t>
  </si>
  <si>
    <t>BeautieSS 24K Gold Yourth Glow Booster</t>
  </si>
  <si>
    <t>The Saem Urban Eco Harakeke Essence 55ml</t>
  </si>
  <si>
    <t>Humphrey Mugwort Anti Acne Package</t>
  </si>
  <si>
    <t>Lokos.me Pearl Serum With Beads</t>
  </si>
  <si>
    <t>Lokos.Me</t>
  </si>
  <si>
    <t>Lokos.me Official Shop</t>
  </si>
  <si>
    <t>Skin Game Acne Combat Serum 30ml</t>
  </si>
  <si>
    <t>Rivera Endless Bright Advanced Brightening Serum</t>
  </si>
  <si>
    <t>Skin Game Acne Combat Serum</t>
  </si>
  <si>
    <t>Click House Pore Refining Serum - Oily Free</t>
  </si>
  <si>
    <t>ElsheSkin Radiant Skin Serum - 20ml</t>
  </si>
  <si>
    <t>Azalea Amazing Brightening Face Serum Special Package</t>
  </si>
  <si>
    <t>Quesella Galactomyces Treatment Essence 30ml</t>
  </si>
  <si>
    <t>Quesella</t>
  </si>
  <si>
    <t>Quesella Official Shop</t>
  </si>
  <si>
    <t>NATURE REPUBLIC Hyalon Active 10 Blue Capsule Serum Special Set</t>
  </si>
  <si>
    <t>Clinelle Whitenup Brightening Spot Corector Essence 15ml</t>
  </si>
  <si>
    <t>RORO MENDUT Orange Peel Kojic Acid Serum</t>
  </si>
  <si>
    <t>SAFI Age Defy Gold Water Essence 100ml</t>
  </si>
  <si>
    <t>Dear Me Beauty Hyaluronic Acid + Pomegranate Extract Face Serum 12ml</t>
  </si>
  <si>
    <t>Heimish Bulgarian Rose Mist Serum</t>
  </si>
  <si>
    <t>Heimish</t>
  </si>
  <si>
    <t>Advanced Serum Marwah Skin Care</t>
  </si>
  <si>
    <t>Mireya Glow C Youth Boost Serum</t>
  </si>
  <si>
    <t>the Aubree Centella Herb Serum Unscented 30ml</t>
  </si>
  <si>
    <t>Azarine Lightening ToneUp Body Serum C White 100 mL</t>
  </si>
  <si>
    <t>Fanbo Skin Goals Bright &amp; Glow Serum</t>
  </si>
  <si>
    <t>Pyunkang Yul Moisture Serum 100ml</t>
  </si>
  <si>
    <t>(Buy 1 Get 1) Lysca White Serum 20ml Whitening Booster</t>
  </si>
  <si>
    <t>Yoqueen Beauty Essence 60ml Free Yogurt Mask 100ml</t>
  </si>
  <si>
    <t>TRUEVE Galactomyces &amp; Peptide Anti Aging Serum 30ml</t>
  </si>
  <si>
    <t>I Trust Nature Licorice Serum 30ml</t>
  </si>
  <si>
    <t>Glowlabs Special Bundling Retinol Cica Night Serum</t>
  </si>
  <si>
    <t>Mini Size (Face Oil &amp; Clearly Gold Serum)</t>
  </si>
  <si>
    <t>Azarine Lightening ToneUp Body Serum 100 ml C White</t>
  </si>
  <si>
    <t>Tuesbelle - SKIN GAME Focus Spot Guard Serum - 30ml</t>
  </si>
  <si>
    <t>WHITELAB Hydrating Face Essence 60ml</t>
  </si>
  <si>
    <t>(BUY 1 GET 1 FREE)  Biokos Derma Bright Int. Brightening Serum- 30 ml -  FREE DERMA TONER</t>
  </si>
  <si>
    <t>Mamonde First Energy Serum 100ml (Global)</t>
  </si>
  <si>
    <t>ElsheSkin 5 in 1 Eyessential Night Serum - 18ml</t>
  </si>
  <si>
    <t>Loreal Dex Revitalift H.A Serum 30Ml</t>
  </si>
  <si>
    <t>PLACENTOR - Regenerating Serum 10ml – Serum Wajah Pertama Yang Mampu Menyamakan Jam Biologis Kulit</t>
  </si>
  <si>
    <t>Somethinc 10% Niacinamide Barrier Serum - 40ml</t>
  </si>
  <si>
    <t>Indoganic Beauty Brightening Vitamin C Serum 15ml</t>
  </si>
  <si>
    <t>AIZEN Acnefique Serum</t>
  </si>
  <si>
    <t>AIZEN Niacinamide Ascorbate 15% Ultra Ampoule</t>
  </si>
  <si>
    <t>Skiner Micro Collagen Krim Wajah Anti Wrinkle Essence - 40gr</t>
  </si>
  <si>
    <t>Skiner</t>
  </si>
  <si>
    <t>JACO TV Shopping Authorized Store Medan</t>
  </si>
  <si>
    <t>GLOWINC POTION HYDRALIVE+ Moisture Lock Serum</t>
  </si>
  <si>
    <t>Loreal Dex Rev Crystal Micro Essen 65 ml</t>
  </si>
  <si>
    <t>Melanox Premium Serum 15 ml</t>
  </si>
  <si>
    <t>iUNIK Beta Glucan Power Moisture Serum 15ml</t>
  </si>
  <si>
    <t>Whitelab Acne Calming Serum - 20ml</t>
  </si>
  <si>
    <t>Originally Serum Vit C</t>
  </si>
  <si>
    <t>Originally</t>
  </si>
  <si>
    <t>NefertitiParis Official Shop</t>
  </si>
  <si>
    <t>IUNIK Tea Tree Relief Serum</t>
  </si>
  <si>
    <t>Mineral Botanica Acne Care Serum</t>
  </si>
  <si>
    <t>Tuesbelle - JUMISO Hello Skin All Day Vitamin Brightening &amp; Balancing Facial Serum - 30ml</t>
  </si>
  <si>
    <t>Z Skincare - Luminous Glow Serum</t>
  </si>
  <si>
    <t>LORE Brightamin C Serum 30 ml</t>
  </si>
  <si>
    <t>Safi Age Defy Gold Water Essence</t>
  </si>
  <si>
    <t>Histoire Naturelle Brightening Duo</t>
  </si>
  <si>
    <t>MSBB - Purivera Fermented Red Serum Oil - Whitening - Glowing - Vitamin C &amp; Kojic Acid</t>
  </si>
  <si>
    <t>Avoskin Your Skin Bae Lactic Acid 10%+Kiwi 5%+Nia 2,5% Serum - 30ml</t>
  </si>
  <si>
    <t>Keaj Beaute Glow Up Serum</t>
  </si>
  <si>
    <t>Beaute+</t>
  </si>
  <si>
    <t>KEAJ Beaute Official Shop</t>
  </si>
  <si>
    <t>Somethinc Holygrail Multipeptide Youth Elixir 20ml</t>
  </si>
  <si>
    <t>Secret Wish by Angel Lelga Acne Solution Serum | Acne Serum | 10ml</t>
  </si>
  <si>
    <t>Daneen Twin Pack 3G Vitamin C Serum 10ml</t>
  </si>
  <si>
    <t>MSBB - N'Pure Face Serum Marigold - 15 ml</t>
  </si>
  <si>
    <t>maggie glow acne serum / serum pengilang jerawat pemutih wajah flek</t>
  </si>
  <si>
    <t>TRILOGY VERY GENTLE CALMING SERUM 30ML</t>
  </si>
  <si>
    <t>The Aubree Centella Herb Serum Unscented 30 ml</t>
  </si>
  <si>
    <t>ERHA Truwhite Vit C &amp; Peptides Brightening Serum 20 ml - Serum Pencerah Wajah</t>
  </si>
  <si>
    <t>Botanity Set 2 [Flavon Serum + Intensive Cream]</t>
  </si>
  <si>
    <t>LUMIER ADVANCED YUJA BRIGHTENING AND REPAIR NIGHT SERUM</t>
  </si>
  <si>
    <t>Beautybarme - The Ordinary Caffeine Solution 5% + Egcg</t>
  </si>
  <si>
    <t>Hada Labo Gokujyun Alpha Essence 30 gr</t>
  </si>
  <si>
    <t>BRTC The First Ampoule Essence - 150ml</t>
  </si>
  <si>
    <t>BRTC</t>
  </si>
  <si>
    <t>Leivy Official Shop</t>
  </si>
  <si>
    <t>BeautieSS Skin Solution Anti Wrinkle &amp; Aging Mengandung Snail Mucin</t>
  </si>
  <si>
    <t>Skin Solution</t>
  </si>
  <si>
    <t>2</t>
  </si>
  <si>
    <t>J-GLOW - Luxury Acne Serum Membantu Merawat Kulit Berjerawat &amp; Dapat Menjaga Kelembaban Kulit-30ml</t>
  </si>
  <si>
    <t>Wardah Crystallure Oil Serum 30Ml</t>
  </si>
  <si>
    <t>Indoganic Promo Brightening Vit C Serum &amp; Rose Quartz Roller</t>
  </si>
  <si>
    <t>Glowlabs Ultimate Team FREE POUCH (Probiome Acne Serum, Gentle Glow Essence, Peptide Moist)</t>
  </si>
  <si>
    <t>DERMEVA Anti-Acne (Purifier &amp; Essence)</t>
  </si>
  <si>
    <t>Dermeva</t>
  </si>
  <si>
    <t>Dermeva Official Shop</t>
  </si>
  <si>
    <t>NATURE REACTION CRYSTAL BRIGHT SERUM WAJAH GLOWING / PEMUTIH WAJAH WANITA PRIA ORIGINAL BPOM</t>
  </si>
  <si>
    <t>(LIMITED BUNDLE) Aesthetic Bluepin AHA BHA Peeling Solution + Excellent C Face Serum + Rose Drip</t>
  </si>
  <si>
    <t>Excellent</t>
  </si>
  <si>
    <t>Oeil Paris Glow Brightening Serum</t>
  </si>
  <si>
    <t>BeautieSS Advance Dark Spot Corrector Serum</t>
  </si>
  <si>
    <t>First Spray Serum + Peptide Cleanser</t>
  </si>
  <si>
    <t>BREYLEE Serum Mata Roll On Retinol - Menyamarkan Kerutan Halus 15ml</t>
  </si>
  <si>
    <t>Clay Botanicals Hampers</t>
  </si>
  <si>
    <t>Clay Botanicals</t>
  </si>
  <si>
    <t>Clay Botanicals Official Shop</t>
  </si>
  <si>
    <t>Sbcskin - Bundling Serum Vit C + Retinol Renewal Serum</t>
  </si>
  <si>
    <t>Esther Derma Bright Serum</t>
  </si>
  <si>
    <t>Esther</t>
  </si>
  <si>
    <t>Esther Official Shop</t>
  </si>
  <si>
    <t>HERSALL Watermelon Ice Cream Serum AHA-BHA-Watermelon Extract</t>
  </si>
  <si>
    <t>Hada Labo Gokujyun Alpha Essence 30g</t>
  </si>
  <si>
    <t>Nu Aroma Rosehip Oil (Natural Serum Wajah Serum Rambut)</t>
  </si>
  <si>
    <t>Calmedi 7 in 1 Cica Essence for Skin Barrier 50 ml | Gold Series</t>
  </si>
  <si>
    <t>Ahc The Aesthe Youth Serum 30ml</t>
  </si>
  <si>
    <t>[The Face Shop] Energy Seed Serum Essence - 170ml - Original</t>
  </si>
  <si>
    <t>Radi Skin Serum Bundle Set</t>
  </si>
  <si>
    <t>Bio Essence 24K Bio-Gold Water 100ml</t>
  </si>
  <si>
    <t>AXIS-Y - [TRIAL SIZE] Dark Spot Correcting Glow Serum [5ml]</t>
  </si>
  <si>
    <t>Fat Panda Fight Acne &amp; Pore Ampoule 20ml | Serum Anti Jerawat | Acne Serum</t>
  </si>
  <si>
    <t>Fat Panda Vita C Brightening Ampoule 20ml | Serum Vitamin C | Menyamarkan Flek Hitam &amp; Bekas Jerawat</t>
  </si>
  <si>
    <t>Aubree Rose Bloom Petal Essence - 120ml</t>
  </si>
  <si>
    <t>The Aubree Centella Herb Serum Unscented 30ml</t>
  </si>
  <si>
    <t>Safi Age Defy Gold Water Essence 30Ml</t>
  </si>
  <si>
    <t>BLOOMKA Edelweiss + Hyaluronate Facial Hydrating Serum 20ml</t>
  </si>
  <si>
    <t>L'OREAL Revitalift Crystal Micro Essence Serum Mask</t>
  </si>
  <si>
    <t>Probio-C Vitamin C Spray 10ml</t>
  </si>
  <si>
    <t>Klairs Freshly Juiced Vitamin Drop 35ml</t>
  </si>
  <si>
    <t>Humphrey Spot Serum White &amp; Bright 20ml</t>
  </si>
  <si>
    <t>NURISH ORGANIQ 24K Gold [Special Bundling] Eye Serum 15ml + Face Essence 25ml</t>
  </si>
  <si>
    <t>Everwhite Cica Soothing Serum - 30ml</t>
  </si>
  <si>
    <t>AZARINE C WHITE REFRESHING ESSENCE MIST 85 ML</t>
  </si>
  <si>
    <t>Smooto Egg Collagen White Serum</t>
  </si>
  <si>
    <t>NATURE REPUBLIC Super Aqua Max Watery Essence (Rr)</t>
  </si>
  <si>
    <t>Super Aqua</t>
  </si>
  <si>
    <t>Olay Wr W/Essence Serum 30 ml</t>
  </si>
  <si>
    <t>J-GLOW - Peeling Serum - 20 ml</t>
  </si>
  <si>
    <t>Beautybarme - Somebymi Aha Bha Pha Centella Asiatica 30 Days Miracle Serum 50 Ml</t>
  </si>
  <si>
    <t>Hanasui Gold Whitening Serum 20Ml (Isi 3 Pcs) / Serum Wajah / Pelembab Wajah / Vitamin Wajah</t>
  </si>
  <si>
    <t>KLOWI Official Shop</t>
  </si>
  <si>
    <t>Loreal Dex Rev Crystal Micro Essen 130 ml</t>
  </si>
  <si>
    <t>Mamonde First Energy Serum 100ml</t>
  </si>
  <si>
    <t>Swissvita Trial Bundle Set</t>
  </si>
  <si>
    <t>THE POTIONS - Camellia Seed Oil Serum 20ml</t>
  </si>
  <si>
    <t>LUMIER 100% NIACINAMIDE</t>
  </si>
  <si>
    <t>Zalfa Natural Crystal Youth Antiaging Ampoule 20 ml</t>
  </si>
  <si>
    <t>Hale Brightening Potion - 15ml</t>
  </si>
  <si>
    <t>Holika Holika Honey Royalactin Propolis Ampoule Set</t>
  </si>
  <si>
    <t>PURITO Fermented Complex 94 Boosting Essence</t>
  </si>
  <si>
    <t>PURITO Galacto Niacin 97 Power Essence 60 ml ( Esense Wajah Muka untuk Anti Penuaan dan Mencerahkan Glowing ) - Normal , Kulit Kering Dry Skin</t>
  </si>
  <si>
    <t>Femmue - Balance Moments</t>
  </si>
  <si>
    <t>THE POTIONS - Galactomyces Water Essence 20ml</t>
  </si>
  <si>
    <t>Radiance Gold Gel Marwah Skin Care</t>
  </si>
  <si>
    <t>Saffbeautys Bundle Serum Tamanu Oil Pure Serum Brightening Saffron 10Ml</t>
  </si>
  <si>
    <t>TABITHA SKIN WHITE Night Cream 10g + Serum Dark Spot 20ml</t>
  </si>
  <si>
    <t>【BPOM】BIOAQUA serum wajah Vitamin Facial Essense anti aging moisturizing serum isi 60 kapsul</t>
  </si>
  <si>
    <t>Bio Aqua</t>
  </si>
  <si>
    <t>ID.AZ Face Fit V Fit-ler Ampoule - 15ml</t>
  </si>
  <si>
    <t>ID.AZ</t>
  </si>
  <si>
    <t>Paket Serum Tzuki Sabun, Cream dan Serum</t>
  </si>
  <si>
    <t>Tzuki</t>
  </si>
  <si>
    <t>Tzuki Indonesia Official Shop</t>
  </si>
  <si>
    <t>VIENNA BEAUTY FACE SERUM VITAMIN C - 15ML BOTTLE</t>
  </si>
  <si>
    <t>Vienna</t>
  </si>
  <si>
    <t>Vienna Beauty Official</t>
  </si>
  <si>
    <t>Dr.Jart+ - V7 Serum (Original - Tanpa Box)</t>
  </si>
  <si>
    <t>Lunadorii Official Shop</t>
  </si>
  <si>
    <t>GLOWINC POTION HYDRALIVE+ Moisture Lock Skin Drink Essence</t>
  </si>
  <si>
    <t>Bhumi HPR Retinol Serum (30ml)</t>
  </si>
  <si>
    <t>KLAIRS Rich Moist Soothing Serum 80ml</t>
  </si>
  <si>
    <t>BY ECOM Pure Calming Ampoule 30 ml</t>
  </si>
  <si>
    <t>By Ecom</t>
  </si>
  <si>
    <t>The Potions Peptide Ampoule 20Ml</t>
  </si>
  <si>
    <t>Crushlicious Bundling Overnight Glow Serum + Oatmask 25gr</t>
  </si>
  <si>
    <t>TRUEVE AHA BHA PHA &amp; Ceramide Peeling Serum 15ml</t>
  </si>
  <si>
    <t>AHC The Aesthe Youth Emulsion Edit by Sociolla</t>
  </si>
  <si>
    <t>BRASOV Serum Wajah Anti Penuaan 30ML Le Docteur Anti-Aging Dengan Vitamin C Face Serum BPOM Halal XX</t>
  </si>
  <si>
    <t>Nu Aroma Avocado Oil (Natural Serum Wajah Serum Kulit Serum Rambut)</t>
  </si>
  <si>
    <t>Cosrx Hydrium Triple Hyaluronic Moisture Ampoule 40ml</t>
  </si>
  <si>
    <t>Azarine Anti Acne &amp; Brightening Serum - 20ml</t>
  </si>
  <si>
    <t>Serum Gluta Marwah Skin Care</t>
  </si>
  <si>
    <t>Lokos.me Bundle Dark Spot, Glowing and Brightening</t>
  </si>
  <si>
    <t>Serum Whitening - (Oily Skin)   Special Promo(Buy 1 Get 1 Free)</t>
  </si>
  <si>
    <t>Beaussentials</t>
  </si>
  <si>
    <t>Beaussentials Skincare</t>
  </si>
  <si>
    <t>Bio Essence 24K Gold Day Cream SPF25 40 g</t>
  </si>
  <si>
    <t>Bio Essence Bio-Gold Day Cream SPF25/PA+++ 40g</t>
  </si>
  <si>
    <t>MSBB - Haple La Luna Anti Aging Serum - 30ml</t>
  </si>
  <si>
    <t>Bio Essence Gold Water 30 ml</t>
  </si>
  <si>
    <t>NOOLA Breezy Willow Moist Serum 30ml</t>
  </si>
  <si>
    <t>WHITELAB Granactive retinoid intensive care serum 15ml</t>
  </si>
  <si>
    <t>AZARINE Revitalizing Anti Aging Serum 20ml</t>
  </si>
  <si>
    <t>Nu Aroma Tamanu Oil (Natural Serum Wajah Serum Kulit Serum Rambut)</t>
  </si>
  <si>
    <t>DeBiuryn True Vitamin C Serum 10ml - Serum Wajah Glowing</t>
  </si>
  <si>
    <t>Debiuryn</t>
  </si>
  <si>
    <t>DeBiuryn Official Store</t>
  </si>
  <si>
    <t>(CO RP 1K) Raiku Anti Aging Serum</t>
  </si>
  <si>
    <t>NOVEXPERT BOOSTER Serum  With Hyaluronic Acid</t>
  </si>
  <si>
    <t>NOVEXPERT Booster Serum With Hyaluronic Acid 10ML</t>
  </si>
  <si>
    <t>MSBB - Skin Game Skin Barricade Serum 30 gr</t>
  </si>
  <si>
    <t>THE POTIONS - Jojoba Oil Serum 20ml</t>
  </si>
  <si>
    <t>Vaseline Healthy Bright Vitamin Gel Serum Fresh Glow 180 mL</t>
  </si>
  <si>
    <t>Dr.Ekles Skincare - Serum Vit. C Kolagen</t>
  </si>
  <si>
    <t>dr. Ekle's Skincare</t>
  </si>
  <si>
    <t>[READY STOCK]BIOAQUA serum wajah 24K Gold Essence Cream Original 50g BPOM</t>
  </si>
  <si>
    <t>Bio Essence Bio-Water Moist-in Water Lotion 150ml</t>
  </si>
  <si>
    <t>Skin Game Theory Of Everything Essence 100ml</t>
  </si>
  <si>
    <t>BREYLEE Serum Retinol Lifting - Anti-aging 17ml</t>
  </si>
  <si>
    <t>ISOI Blemish Care Tonic Essence 8ml</t>
  </si>
  <si>
    <t>Isoi</t>
  </si>
  <si>
    <t>Aesthetic Bluepin Acnelogica Night Cream + AHA BHA Peeling Solution</t>
  </si>
  <si>
    <t>Wardah Lightening Facial Serum , 5x5 ml</t>
  </si>
  <si>
    <t>LA TULIPE  Acne Care Serum</t>
  </si>
  <si>
    <t>BeautieSS Age Delay Illuminating Serum X Okky Asokawati</t>
  </si>
  <si>
    <t xml:space="preserve">Pureheals Propolis Ampoule - size : 30 ml- Edit by Sociolla </t>
  </si>
  <si>
    <t>Pure Heals</t>
  </si>
  <si>
    <t>MSBB - Purivera Blue Grapeseed Serum Oil - Anti Acne - Jerawat - Bakuchiol As Salicylic Acid 2%</t>
  </si>
  <si>
    <t>Dear Me Beauty 10% Cica + Watermelon Extract Face Serum 32ml</t>
  </si>
  <si>
    <t>Skin Game Spot Guard Serum - 30ml</t>
  </si>
  <si>
    <t>THE BATH BOX Brassica Facial Serum</t>
  </si>
  <si>
    <t>Azarine Easy White Herbal Moisturizer Serum - 20ml</t>
  </si>
  <si>
    <t>FABIL Plumping &amp; Acne Care Serum 20ml</t>
  </si>
  <si>
    <t>(Isi 3) Hanasui Serum Gold Whitening 20ml</t>
  </si>
  <si>
    <t>Dove Deodorant Dry Serum Regenerate Care 50 mL</t>
  </si>
  <si>
    <t>iUNIK Beta Glucan Power Moisture Serum - 15ml</t>
  </si>
  <si>
    <t>DeBiuryn Glow 9.9 SUPER SERUM 20ml -  Spot Hitam dan Kulit Kusam</t>
  </si>
  <si>
    <t>Bio Beauty Lab Phyto Power Essence</t>
  </si>
  <si>
    <t>Byecom Honey Glow Ampoule - 30ml</t>
  </si>
  <si>
    <t>[3 pcs] Brightening Serum - Beauty In The Pot - Skincare Alami BPOM Mencerahkan, Menghaluskan, &amp; Mengenyalkan Wajah</t>
  </si>
  <si>
    <t>HADA LABO SHIROJ W ESSENCE 30GR</t>
  </si>
  <si>
    <t>LUMIER 100% VITAMIN E ADVANCED SKIN BOOSTER</t>
  </si>
  <si>
    <t>Benton Tea Tree Serum 30 ml</t>
  </si>
  <si>
    <t>Calmedi Serum Luminous 3 in 1 10ml | Serum Pencerah Wajah</t>
  </si>
  <si>
    <t>HADA LABO Gokujyun Alpha Essence 30gr</t>
  </si>
  <si>
    <t>Naminara Facial Serum Gold 24k</t>
  </si>
  <si>
    <t>Naminara</t>
  </si>
  <si>
    <t>Naminara Official Shop</t>
  </si>
  <si>
    <t>Npure Centella Asiatica Essence 20ml</t>
  </si>
  <si>
    <t>FOR SKINS SAKE Retinol Serum 30ml</t>
  </si>
  <si>
    <t>For Skins Sake</t>
  </si>
  <si>
    <t>Hanasui Vitamin C + Collagen Serum 20Ml / Serum Wajah / Vitamin Wajah / Anti Aging / (Isi 2)</t>
  </si>
  <si>
    <t>Garnier Bright Complete White Speed Day Serum Cream 20 mL</t>
  </si>
  <si>
    <t>Bhumi G-Alpine Brightening Serum - 30ml</t>
  </si>
  <si>
    <t>PURECA Botanical Macadamia Oil - Serum Oil Treatment Pure Oil Anti Aging Serum Wajah</t>
  </si>
  <si>
    <t>Pureca</t>
  </si>
  <si>
    <t>Mayonette Official Shop</t>
  </si>
  <si>
    <t>Skin Game Spot Guard Serum</t>
  </si>
  <si>
    <t>The Aubree Rose Bloom Petal Essence 120ml</t>
  </si>
  <si>
    <t>Garnier Krim Siang Light Complete White Speed Serum Day Cream Extra SPF 36/PA+++ - 50 mL</t>
  </si>
  <si>
    <t>Safi Age Defy Concentrated Serum 20ml</t>
  </si>
  <si>
    <t>AIZEN L-Glutathione 10% Ultra Ampoule</t>
  </si>
  <si>
    <t>AIZEN SepiWhite MSH 3% Ultra Ampoule</t>
  </si>
  <si>
    <t>HANASUI Serum Anti Acne Pink</t>
  </si>
  <si>
    <t>Bio Essence Bio-Gold Radiance Cleanser 100g</t>
  </si>
  <si>
    <t>Azarine Lightening Serum 20ml C White</t>
  </si>
  <si>
    <t>Tzuki Brightening Serum untuk Mencerahkan, Melembabkan dan Mengencangkan Kulit Wajah 20ml</t>
  </si>
  <si>
    <t>Glowlabs Gentle Bright Serum &amp; Gentle Glow Essence</t>
  </si>
  <si>
    <t>Anti Aging Serum Marwah Skin Care</t>
  </si>
  <si>
    <t>Paket Bersih Bersinar</t>
  </si>
  <si>
    <t>WARDAH Crystallure Supr Revital Oil Serum 30ml</t>
  </si>
  <si>
    <t>the Aubree Niacinamide Skin Booster 30ml</t>
  </si>
  <si>
    <t>Garnier Sakura White Pinkish Radiance Essence Lotion Skin Care 120mL</t>
  </si>
  <si>
    <t>Make Over Hydration Serum 33 ml</t>
  </si>
  <si>
    <t>( 3 Pcs ) Hanasui Serum Whitening Gold 20ml</t>
  </si>
  <si>
    <t>J-GLOW - Luminous Boost SERUM GEL Memudarkan Bekas Jerawat Memerah-10g</t>
  </si>
  <si>
    <t>Z Skincare - Glowing Serum</t>
  </si>
  <si>
    <t>[BPOM] LANBENA Serum Treatment B (2pcs)</t>
  </si>
  <si>
    <t>Wardah Uv Shield A/Prot Serum Sp50 35Ml</t>
  </si>
  <si>
    <t>Everwhite Chromabright Brightening Serum 15ml</t>
  </si>
  <si>
    <t>Lacoco 5% Bakuchiol Essence 30 ml</t>
  </si>
  <si>
    <t>Yoqueen Beauty Serum for Acne 30ml [Buy 1 Get 1]</t>
  </si>
  <si>
    <t>Dear Me Beauty Paket Skin Barrier - Acne: Water Cream + 32 ml  Face Serum BHA Salicylic Acid</t>
  </si>
  <si>
    <t>Garnier Sakura White Whitening Serum Day Cream UV 40 mL</t>
  </si>
  <si>
    <t>Raiku Antioxidant Serum (30 ml)</t>
  </si>
  <si>
    <t>(ORI 100%) Illuminare Brightening Serum 30ml / Perawatan Wajah / Serum Wajah</t>
  </si>
  <si>
    <t>Hada Labo Shirojyun Ultimate Whitening Essence 30 ml</t>
  </si>
  <si>
    <t>Elshe Skin Serum Vitamin C (20ml)</t>
  </si>
  <si>
    <t>MSBB - Votre Peau Brightening Essence</t>
  </si>
  <si>
    <t>Beautybarme - Azarine Trio Serum Collection</t>
  </si>
  <si>
    <t>TISHA AC7 Spot Serum Phytosilica Sachet 1g x 3ea</t>
  </si>
  <si>
    <t>Esther Tea Tree Serum</t>
  </si>
  <si>
    <t>MSBB - Purivera Everlasting Tamanu Serum Oil - Scar Repair - Bopeng - Truecica - Snail Cica</t>
  </si>
  <si>
    <t>Elshe Skin Active Rejuvenating Night Serum 20ml</t>
  </si>
  <si>
    <t>ElsheSkin Active Rejuvenating Night Serum - 20ml</t>
  </si>
  <si>
    <t>Esther Brightening Face Serum 4 Ampoules</t>
  </si>
  <si>
    <t>MSBB - For Skin's Sake Vitamin C Serum</t>
  </si>
  <si>
    <t>Safi Age Defy Gold Water Essence Gold Extract And Silk Protein 100 Ml | Esens Perawatan Kulit Wajah</t>
  </si>
  <si>
    <t>GAMAL Men Authorized Store Surabaya</t>
  </si>
  <si>
    <t>Aish Serum Brightening Original Serum Korean Pencerah Wajah Glowing Serum Pemutih Wajah BPOM Serum Viral Tiktok Aish</t>
  </si>
  <si>
    <t>JARTE Beauty CICA Care Ampoule 20ML</t>
  </si>
  <si>
    <t>Hanasui Vitamin C Serum 20Ml / Serum Wajah / Pelembab Wajah / Vitamin Wajah (Isi 3)</t>
  </si>
  <si>
    <t>Raiku Water Essence 30ml</t>
  </si>
  <si>
    <t>Safi Age Defy Concentrated Serum 20 ml</t>
  </si>
  <si>
    <t>G9Skin Light Serum</t>
  </si>
  <si>
    <t>G9 Skin</t>
  </si>
  <si>
    <t>G9skin Official Shop</t>
  </si>
  <si>
    <t>Colus Facial Essence Serum 100ml</t>
  </si>
  <si>
    <t>Colus</t>
  </si>
  <si>
    <t>Colus Official Store</t>
  </si>
  <si>
    <t>FACE UP AGE DEFENCE HAC LIFT SERUM</t>
  </si>
  <si>
    <t>Azarine Eyeluminate Firming Serum C White 15mL</t>
  </si>
  <si>
    <t>Illuminare Pore Serum 30ml - Serum Wajah</t>
  </si>
  <si>
    <t>Nu Aroma Jojoba Oil (Natural Serum Wajah Serum Kulit Serum Rambut)</t>
  </si>
  <si>
    <t>RORO MENDUT Blewah Mulberry Alpha Arbutin Hyaluronic Acid Serum</t>
  </si>
  <si>
    <t>DeBiuryn Removind Lotion 10ml - Anti Jerawat</t>
  </si>
  <si>
    <t>BREYLEE Serum Mata Roll On Vitamin C - Mencerahkan 15ml</t>
  </si>
  <si>
    <t>NACIFIC Phyto Niacin Whitening Essence</t>
  </si>
  <si>
    <t>Wardah Hydra Rose Micro Gel Serum 30 ml (423821)</t>
  </si>
  <si>
    <t>Dan+Dan Official Store</t>
  </si>
  <si>
    <t>BREYLEE Serum Vitamin C - Mencerahkan Wajah 17ml</t>
  </si>
  <si>
    <t>NEOGEN Dermalogy Real Vit C serum</t>
  </si>
  <si>
    <t>Beautybarme - Emina Bright Stuff Face Serum 30 Ml Bpom</t>
  </si>
  <si>
    <t>Calmedi Exfoliating Essence 10 ml | Melembabkan Kulit, Mencerahkan, dan Mengangkat Sel Kulit Mati</t>
  </si>
  <si>
    <t>Glass Skin Serum for Acne and Oily Skin Marwah Skin Care</t>
  </si>
  <si>
    <t>[BPOM] Lacoco 5% Bakuchiol Essence 30ml</t>
  </si>
  <si>
    <t>DNI Anti Aging Serum</t>
  </si>
  <si>
    <t>Tuesbelle - LACOCO 5% Bakuchiol Essence - 30 ml</t>
  </si>
  <si>
    <t>Hanasui Serum (417913)</t>
  </si>
  <si>
    <t>Power Ampoule Pro-Nutri 35ml</t>
  </si>
  <si>
    <t>Power Ampoule Vita-White - 35ml</t>
  </si>
  <si>
    <t>Dr. Oracle 21;Stay Hyaluronic Ampoule</t>
  </si>
  <si>
    <t>Dr. Oracle</t>
  </si>
  <si>
    <t>1</t>
  </si>
  <si>
    <t>DEAR ME BEAUTY Perfect Conceal Serum Skin Corrector</t>
  </si>
  <si>
    <t>Nayou Skin Galactomyces Glow Serum</t>
  </si>
  <si>
    <t>Nayou Skin</t>
  </si>
  <si>
    <t>Nayou Skin Official Shop</t>
  </si>
  <si>
    <t>COSRX Hyaluronic Acid Hydra Power Essence - 100ml</t>
  </si>
  <si>
    <t>KKV - Everwhite Cica Soothing Serum 30ml</t>
  </si>
  <si>
    <t>Mad For Makeup Pore Clarifying Treatment Essence - 60ml</t>
  </si>
  <si>
    <t>Natur E Advanced Anti-Aging Serum 15 ML</t>
  </si>
  <si>
    <t>Viva Apotek Official Shop</t>
  </si>
  <si>
    <t>VIENNA BEAUTY FACE SERUM B3 NIACINAMIDE - 15ML BOTTLE</t>
  </si>
  <si>
    <t>DR.Tisha [TISHA] AC7 SPOT SERUM PHYTOSILICA Injection 4ml</t>
  </si>
  <si>
    <t>Olay Regenerist Youth Pre Essence 40ml</t>
  </si>
  <si>
    <t>ECLA C-Lite Brightening Serum</t>
  </si>
  <si>
    <t>Ecla C-Lite</t>
  </si>
  <si>
    <t>Ecla Official Shop</t>
  </si>
  <si>
    <t>SECA Intense Exfoliation Bundle (AHA + BHA) serum</t>
  </si>
  <si>
    <t>Azarine C White Refreshing Essence Mist 85ml</t>
  </si>
  <si>
    <t>LUMIER Advanced Brightening Oil Control Serum</t>
  </si>
  <si>
    <t>[BPOM] COSRX Advanced Snail 96 Mucin Power Essence 100ML</t>
  </si>
  <si>
    <t>Whitelab Hydrating Face Essence - 60ml</t>
  </si>
  <si>
    <t>[BPOM] ACNES Derma Care Anti Blemish Essence 20ml  / Gentle Cleanser 120gr</t>
  </si>
  <si>
    <t>Acnes</t>
  </si>
  <si>
    <t>Azarine C White Lightening Serum - 20ml</t>
  </si>
  <si>
    <t>Indoganic Beauty Brightening Vitamin C Serum with Glutathione - 15ml</t>
  </si>
  <si>
    <t>Amaranthine Lineage Complex BIO Intensive Serum Q74066</t>
  </si>
  <si>
    <t>Amaranthine</t>
  </si>
  <si>
    <t>Amaranthine Official Shop</t>
  </si>
  <si>
    <t>FIRST LAB FIRST LAB Probiotic Serum</t>
  </si>
  <si>
    <t>FIRST LAB Probiotic Pore Tightening Essence 30ml</t>
  </si>
  <si>
    <t>Man Made All in One Essence - 50ml</t>
  </si>
  <si>
    <t>Man Made</t>
  </si>
  <si>
    <t>Man Made Official Shop</t>
  </si>
  <si>
    <t>Serum Antiaging 4ml (Normal-Dry Skin)</t>
  </si>
  <si>
    <t>HAYEJIN Blessing of Sprout Enriched Serum10ml</t>
  </si>
  <si>
    <t>ERHA Truwhite Vit C &amp; Peptides Brightening Serum 20ml</t>
  </si>
  <si>
    <t>ERHA - hiserha booster essence all in one 60ml</t>
  </si>
  <si>
    <t>Egg Collagen White Serum Pagi Malam - Pemutih Wajah, Mulus, Whitening, Memudarkan Flek</t>
  </si>
  <si>
    <t>Moodmatcher</t>
  </si>
  <si>
    <t>Moodmatcher Indonesia Official Shop</t>
  </si>
  <si>
    <t>Bio Essence Bio-Water Moist-in Water Gel 50gr</t>
  </si>
  <si>
    <t>Garnier Sakura White Whitening Serum Day Cream SPF 30 20 mL</t>
  </si>
  <si>
    <t>Clove Flower &amp; Turmeric Anti-Aging Serum (Deluxe)</t>
  </si>
  <si>
    <t>Juara Skincare</t>
  </si>
  <si>
    <t>Juara Beauty Official Shop</t>
  </si>
  <si>
    <t>Esther Radiant Serum</t>
  </si>
  <si>
    <t>MSBB - Westcare Bounce And Glow Serum</t>
  </si>
  <si>
    <t>Keep Cool and Soothe Serum 50ml</t>
  </si>
  <si>
    <t>Aubree Hyaluron Hydrating Serum - 30ml</t>
  </si>
  <si>
    <t>Bio Essence 24K Bio-Gold Gold Water</t>
  </si>
  <si>
    <t>Vavl Pure White Glowing Serum 15ml</t>
  </si>
  <si>
    <t>Natosh Sunflower Seed Oil</t>
  </si>
  <si>
    <t>Serum Wajah Glowing Nature Reaction CRYSTAL BRIGHT SERUM ORIGINAL BPOM</t>
  </si>
  <si>
    <t>ROJUKISS Orange C+ Bright Pore Care Serum 8ml</t>
  </si>
  <si>
    <t>Rubiena Brightening Serum</t>
  </si>
  <si>
    <t>Rubiena</t>
  </si>
  <si>
    <t>Rubiena Beauty Official Shop</t>
  </si>
  <si>
    <t>Skind Aesthetic Rose Drip Crystal Clear Serum &amp; Ageless Beauty Perfect Eye Gel</t>
  </si>
  <si>
    <t>FACE 2 FACE Whitening Serum</t>
  </si>
  <si>
    <t>Face2Face</t>
  </si>
  <si>
    <t>Face2face Official Shop</t>
  </si>
  <si>
    <t>The Body Culture BUY 1 GET 1 Fruitamin Serum</t>
  </si>
  <si>
    <t>The Body Culture</t>
  </si>
  <si>
    <t>The Body Culture Official Shop</t>
  </si>
  <si>
    <t>Elshe Skin Sebum Reducer Serum 20ml</t>
  </si>
  <si>
    <t>HERSALL (2pcs) Watermelon Ice Cream AHA BHA Watermelon Extract</t>
  </si>
  <si>
    <t>Bundle Skinmee Shine Bright x Neogen Dermalogy Lemon Sachet 3Pcs</t>
  </si>
  <si>
    <t>ElsheSkin Smoothing Serum For Acne Skin - 20ml</t>
  </si>
  <si>
    <t>Ponds Age Miracle Face Serum 30 mL &amp; Ponds Age Miracle Facial Foam 100 gr</t>
  </si>
  <si>
    <t>[BPOM] NOOLA Breezy Willow Moist Serum  30ml</t>
  </si>
  <si>
    <t>Aubree Centella Herb Serum - Unscented - 30ml</t>
  </si>
  <si>
    <t>SBC Skin Whitening Complex Serum - 20ml</t>
  </si>
  <si>
    <t>FIRM AND YOUTHFULL SKIN ADVANCED TREATMENT SERUM</t>
  </si>
  <si>
    <t>Dr. Ceuracle AC Care Solution Green Two, Size - 50 ml, Edit by Sociolla</t>
  </si>
  <si>
    <t>BENTON BENTON Snail Bee High Content Essence (60ml)</t>
  </si>
  <si>
    <t>Tuesbelle - COSRX Advanced Snail 96 Mucin Power Essence - 100ml</t>
  </si>
  <si>
    <t>Hanasui Serum 25 ml (417908)</t>
  </si>
  <si>
    <t>BeautieSS Skin Solution Vitamin C + Collagen Serum dengan Hyaluronic Acid</t>
  </si>
  <si>
    <t>Originally Serum Anti Acne</t>
  </si>
  <si>
    <t>HERSALL (2pcs) Moon Fairy Serum Bakuchiol + Hyaluronic Acid</t>
  </si>
  <si>
    <t>Tuesbelle - BELLFLOWER Idebenone Brightening Serum - 50ml</t>
  </si>
  <si>
    <t>Bellflower</t>
  </si>
  <si>
    <t>Ponds Age Miracle Serum 30ml / Miracle / Serum Ponds miracle</t>
  </si>
  <si>
    <t>Nu Aroma Virgin Coconut Oil (Natural Serum Wajah Serum Kulit, Rambut)</t>
  </si>
  <si>
    <t>J-GLOW - Spot Serum - 15 ml</t>
  </si>
  <si>
    <t>NPURE Face Serum Marigold Series (Anti Aging Series)</t>
  </si>
  <si>
    <t>Beautybarme - Cosrx Hyaluronic Acid Hydra Power Essence 100 Ml</t>
  </si>
  <si>
    <t>Bundle Neogen Dermalogy Gauze Peeling Pad GreenTea Sachet 3pcs x Skinmee Dualmee Series Universal</t>
  </si>
  <si>
    <t>SYB Forte Serum Soothing Aloe Vera</t>
  </si>
  <si>
    <t>SYB</t>
  </si>
  <si>
    <t>Noola Breezy Willow Moist Serum 30ml</t>
  </si>
  <si>
    <t>Haple Centella Cloud Glow Booster - 30ml</t>
  </si>
  <si>
    <t>Claresta Lightening Anti-Aging Serum Skin Lightener 20ml</t>
  </si>
  <si>
    <t>Claresta</t>
  </si>
  <si>
    <t>Claresta Official Shop</t>
  </si>
  <si>
    <t>Nu Aroma Olive Oil (Natural Serum Wajah Serum Kulit Serum Rambut)</t>
  </si>
  <si>
    <t>Daffania Skincare Serum Brightening 20 Ml</t>
  </si>
  <si>
    <t>Beautybarme - Ms Glow whitening Gold Serum bright and healthy skin</t>
  </si>
  <si>
    <t>VIENNA BEAUTY FACE SERUM ACNE ELIXIR - 15ML BOTTLE</t>
  </si>
  <si>
    <t>Olay Regen Micro Sculpting Serum 50Ml</t>
  </si>
  <si>
    <t>Daneen Twin Pack 3G Ultra Vitamin C Serum 10ml</t>
  </si>
  <si>
    <t>Bio Essence Bio-White Advance Whitening Cleanser</t>
  </si>
  <si>
    <t>Serum Wajah - Wardah Lightening Serum Ampoule - 30 mL</t>
  </si>
  <si>
    <t>FAVO.id Official Store</t>
  </si>
  <si>
    <t>MSBB - Elsheskin Smoothing Serum For Acne Skin</t>
  </si>
  <si>
    <t>Natur E Advance Serum 15 ml</t>
  </si>
  <si>
    <t>Raiku Hydrating Glow Serum - 30ml</t>
  </si>
  <si>
    <t>AZARINE Refreshing Essence Mist x Rachel Goddard</t>
  </si>
  <si>
    <t>Hanasui Serum Whitening Gold 20ml (417911)</t>
  </si>
  <si>
    <t>LT Pro Intensive Care Serum 18gr</t>
  </si>
  <si>
    <t>Nadfaskin Vitamin C Serum 20ml</t>
  </si>
  <si>
    <t>Sarae Hydra Glow Micellar Water + Glowing Essence with CICA</t>
  </si>
  <si>
    <t>[BPOM] BREYLEE PORE MINIMIZING SERUM STEP 2</t>
  </si>
  <si>
    <t>Natur Miracle Brightening Face Serum : Vitamin C and Sour Lime</t>
  </si>
  <si>
    <t>Acwell Licorice pH Balancing Essence Mist - size:100 ml</t>
  </si>
  <si>
    <t>Acwell</t>
  </si>
  <si>
    <t>RK Cosmetics RK Glow Serum Premium</t>
  </si>
  <si>
    <t>Rk Glow</t>
  </si>
  <si>
    <t>RK Cosmetics Official Shop</t>
  </si>
  <si>
    <t>KOTA MAKASSAR</t>
  </si>
  <si>
    <t>Safi White Expert Ultimate Essence 20 ml</t>
  </si>
  <si>
    <t>Kezia Darkspot Serum</t>
  </si>
  <si>
    <t>Kezia</t>
  </si>
  <si>
    <t>Kezia Skin Care Official shop</t>
  </si>
  <si>
    <t>SALSA Acne Purifying Serum</t>
  </si>
  <si>
    <t>Control Zero C The Sun Serum</t>
  </si>
  <si>
    <t>Control Zero</t>
  </si>
  <si>
    <t>Acnes Derma Anti Blemish Essence 20 mL</t>
  </si>
  <si>
    <t>BLOOMKA Kombucha + Brown Algae Facial Antioxidant Serum 20ml</t>
  </si>
  <si>
    <t>Bloomka Edelweiss + Hyaluronate Hydrating Facial Essence - 100ml</t>
  </si>
  <si>
    <t>Lokos.me Tone Up Serum With Beads</t>
  </si>
  <si>
    <t>Some By Mi Yuja Niacin 30 Days Blemish Care Serum Mask</t>
  </si>
  <si>
    <t>Acnes Derma Care Anti-Blemish Essence 20ml / Noda Jerawat</t>
  </si>
  <si>
    <t>RORO MENDUT Papaya Glutathione Serum</t>
  </si>
  <si>
    <t>NACIFIC Real Floral Essence Calendula</t>
  </si>
  <si>
    <t>Wardah Renew You T/Essence 100 ml</t>
  </si>
  <si>
    <t>Arginine Serum Marwah Skin Care</t>
  </si>
  <si>
    <t>Kezia Acne Serum</t>
  </si>
  <si>
    <t>Kezia Whitening Serum</t>
  </si>
  <si>
    <t>Bio Essence Renew Exfoliating Gel 60 g</t>
  </si>
  <si>
    <t>Beli 1 Dapat  2  Hanasui Anti Acne Serum 20Ml /Serum Wajah  / Vitamin Wajah / Obat Jerawat</t>
  </si>
  <si>
    <t>GARNIER Skin Naturals Light Comp Bright up 15ml</t>
  </si>
  <si>
    <t>Hada Labo Whitening Essence 30gr / Serum Wajah / Perawatan Wajah</t>
  </si>
  <si>
    <t>[BPOM] Avoskin Your Skin Bae Serum Azeclair 10% + Kombucha 3% + Niacinamide 2,5% Vaccine</t>
  </si>
  <si>
    <t>Skin Game Spot Guard Serum 30ml</t>
  </si>
  <si>
    <t>Somethinc 5% Niacinamide Barrier Serum - 40ml</t>
  </si>
  <si>
    <t>Axis-Y Artichoke Intensive Skin Barrier Ampoule 30ml</t>
  </si>
  <si>
    <t>Beauteamor Official Shop</t>
  </si>
  <si>
    <t>MSBB - Haum LCID Salicylic Acid 2% 28 Ml</t>
  </si>
  <si>
    <t>MELANOX PREMIUM W.SERUM 15ML</t>
  </si>
  <si>
    <t>INDOGANIC Beauty Rose Essence C 60ml</t>
  </si>
  <si>
    <t>Kleveru Vitamin C 10% Ferulic Serum - 15ml</t>
  </si>
  <si>
    <t>[BPOM] Skin Game Spot Guard Serum 30 gr</t>
  </si>
  <si>
    <t>Oh My Skin! Essence X Henabrow Pitera Petal Serum</t>
  </si>
  <si>
    <t>Pitera</t>
  </si>
  <si>
    <t>ASTALIFT WHITE ESSENCE INFILT 5 ML</t>
  </si>
  <si>
    <t>AFK Beauty Skincare  Luxury Radiance Gold Serum</t>
  </si>
  <si>
    <t>AFK</t>
  </si>
  <si>
    <t>AFK Beauty Skincare Official Shop</t>
  </si>
  <si>
    <t>DeBiuryn Ageless Glow SUPER SERUM 20ml - Anti Aging Glowing</t>
  </si>
  <si>
    <t>Exclusive Bundle Mineral Botanica Aloe Gal X Glo It Up Peptide Serum</t>
  </si>
  <si>
    <t>BREYLEE Step 2 Pore Minimizer Serum - Pengecil Pori Wajah 17ml</t>
  </si>
  <si>
    <t>THE POTIONS Mugwort Water Essence 20ml</t>
  </si>
  <si>
    <t>Radi Skin Hyaluronic Acid Moist Serum - 20ml</t>
  </si>
  <si>
    <t>Somethinc Holyshield! Sunscreen Comfort Corrector Serum SPF50+ - 15ml</t>
  </si>
  <si>
    <t>[BPOM] KLEVERU Glass Skin Overnight Serum 20ml</t>
  </si>
  <si>
    <t>Somethinc - Niacinamide + Moisture Beet Serum</t>
  </si>
  <si>
    <t>SOMETHINC Serum Wajah Ampoule Peeling Moisturise 20 ml</t>
  </si>
  <si>
    <t>MOR Official Shop</t>
  </si>
  <si>
    <t>KKV - SOMETHINC 5% Niacinamide + Moisture Sabi Beet Serum Skincare 20ml Beauty</t>
  </si>
  <si>
    <t>THE ORDINARY Alpha Arbutin 2% + HA 30ml</t>
  </si>
  <si>
    <t>Bloomka Calendula + Poria Cocos Facial Calming Serum 20ml</t>
  </si>
  <si>
    <t>Azarine Serum Anti Acne &amp; Brightening Serum 20 mL</t>
  </si>
  <si>
    <t>Garnier Light Complete Yuzu Vitamin C 30ml (421894)</t>
  </si>
  <si>
    <t>AIZEN Polyglutamic Acid 5% Ultra Ampoule</t>
  </si>
  <si>
    <t>BUNDLING Pure Essence Purifying Series</t>
  </si>
  <si>
    <t>MSBB - Purivera White Willow Toner Essence - Centella BHA Willow Bark 2% As Salicylic Acid</t>
  </si>
  <si>
    <t>Keaj Beaute Acne Care Serum Wajah Berjerawat Mugwort Niacinamide BHA Salycilic Organik [BISA COD]</t>
  </si>
  <si>
    <t>Garnier Bright Complete White Speed Serum Day Cream Extra SPF 36 50 mL</t>
  </si>
  <si>
    <t>[BPOM] HIQWEEN 10.00 PM Advanced Serum 20ml</t>
  </si>
  <si>
    <t>SOMETHINC-HYALuronic B5 by Somethinc</t>
  </si>
  <si>
    <t>The Goods Dept Official Shop</t>
  </si>
  <si>
    <t>Aknema BHA + HA Serum - 20ml</t>
  </si>
  <si>
    <t>Everwhite Peptide Anti-Aging Serum - 15ml</t>
  </si>
  <si>
    <t>DEAR ME BEAUTY Single Active Face Serum 5% Inoceramide (Ceramide) + Pomegranate Extract</t>
  </si>
  <si>
    <t>Beautybarme - Jarkeen All Product Bpom</t>
  </si>
  <si>
    <t>Focallure</t>
  </si>
  <si>
    <t>[BPOM] AVOSKIN Hydrating Treatment Essence 100ml</t>
  </si>
  <si>
    <t>MSBB - Beaunature Matcha Yuzu Essence Water</t>
  </si>
  <si>
    <t>Raiku Age Defense Serum (30ml)</t>
  </si>
  <si>
    <t>AFK Beauty Skincare  Attractive Glowing Teens Serum</t>
  </si>
  <si>
    <t>BRASOV Serum Mencerahkan Kulit Wajah 30ML Le Docteur Whitening Vitamin C Face Serum BPOM Halal XX-CT</t>
  </si>
  <si>
    <t>Serum Kinsglow Brighthening &amp; Darkspot</t>
  </si>
  <si>
    <t>Kinsglow</t>
  </si>
  <si>
    <t>Kinsglow Official Shop</t>
  </si>
  <si>
    <t>Bio Essence Bio Water Energizing Water 100ml</t>
  </si>
  <si>
    <t>Yoqueen Beauty Sunscreen 15gr dan Essence Lotion 60ml [BUNDLE]</t>
  </si>
  <si>
    <t>Nivea MakeUp Starter Serum Spf33 30ml</t>
  </si>
  <si>
    <t>Bio Essence 24K Bio-Gold Day Cream 40g</t>
  </si>
  <si>
    <t>DeBiuryn Sense Hydra Oxy Serum 10ml</t>
  </si>
  <si>
    <t>Aish Acne Serum Perawatan Wajah Berjerawat Mengatasi Timbulnya Jerawat Beserta Bekasnya Original Tanpa Efek Samping Korean Skincare Viral</t>
  </si>
  <si>
    <t>Green Angelica Official .</t>
  </si>
  <si>
    <t>Aish Serum Brightening 15 ML Serum Mencerahkan Wajah Serum Penghilang Kulit Kusam Secara Ampuh 100% Original</t>
  </si>
  <si>
    <t>Jarte Cica Care Ampoule 20ml</t>
  </si>
  <si>
    <t>Jarte</t>
  </si>
  <si>
    <t>KKV - Everwhite Brightening Essence Serum 15g Beauty</t>
  </si>
  <si>
    <t>MEDGLOW CLINIC Coldpress Teatree Oil Serum | Aesthetic Skincare Anti Jerawat Acne Komedo Sebum BPOM</t>
  </si>
  <si>
    <t>ISOI Blemish Care Serum II 1ml</t>
  </si>
  <si>
    <t>Azarine Miraclear Herbal Peeling Serum - 20ml</t>
  </si>
  <si>
    <t>ROJUKISS Jeju Lotus Pinkish Bright Serum 8ml</t>
  </si>
  <si>
    <t>Whitening SerumMellydia Untuk Wajah Glowing dan Kinclong</t>
  </si>
  <si>
    <t>Amaranthine Ultimate Intensive White Lightening Serum Q74044</t>
  </si>
  <si>
    <t>Nutrishe Intensive Bright &amp; Glow Serum - 20ml</t>
  </si>
  <si>
    <t>Jarkeen - Porecelain Skin Serum</t>
  </si>
  <si>
    <t>Somethinc Niacinamide + Moisture Beet Serum - 20ml</t>
  </si>
  <si>
    <t>AKANO Cosmetics - Serum Anti Acne</t>
  </si>
  <si>
    <t>Akano</t>
  </si>
  <si>
    <t>AKANO Cosmetics Official Shop</t>
  </si>
  <si>
    <t>White Esther Special Whitening Serum</t>
  </si>
  <si>
    <t>White Esther</t>
  </si>
  <si>
    <t>Kulit Sehat Bebas Jerawat | Serum Very Berry Acne &amp; Serum Hyalu</t>
  </si>
  <si>
    <t>LUMIER 100% YUJA EXTRACT | ADVANCED SKIN BOOSTER</t>
  </si>
  <si>
    <t>PURIVERA BOTANICALS Everlasting Tamanu Serum Oil - Scar Repair - Bopeng - Truecica - Snail Cica Alte</t>
  </si>
  <si>
    <t>Serum Calming Marwah Skin Care</t>
  </si>
  <si>
    <t>MEDGLOW CLINIC Hyaluronic Acid Serum | Aesthetic Skincare Serum Firming Lifting Anti Aging BPOM</t>
  </si>
  <si>
    <t>Hale Brightening Potion Serum 15ml</t>
  </si>
  <si>
    <t>MAKE OVER Hydration Serum 33ml</t>
  </si>
  <si>
    <t>( 3 Pcs ) Hanasui Serum Vitamin C 20ml</t>
  </si>
  <si>
    <t>HANASUI Serum Vit C Dan Collagen Biru</t>
  </si>
  <si>
    <t>JARTE Cica Care Ampoule 20ml</t>
  </si>
  <si>
    <t>DNI Skincentre</t>
  </si>
  <si>
    <t>DNI Skin Centre Jatim Official</t>
  </si>
  <si>
    <t>KAB. GRESIK</t>
  </si>
  <si>
    <t>Beautybarme - Somebymi Yuja Niacin Blemish Care Serum 50Ml</t>
  </si>
  <si>
    <t>Roro Mendut Glowing Skincare Booster Green Jelly Centella Asiatica 15gr</t>
  </si>
  <si>
    <t>Envygreen Intensive Vitamin C Serum - 10gr</t>
  </si>
  <si>
    <t>Rubiena Anti Aging Serum</t>
  </si>
  <si>
    <t>[BPOM] BREYLEE Serum Rose Hydrating - Menyegarkan dan Melembabkan (17ml)</t>
  </si>
  <si>
    <t>Briella Fruity Serum C - Serum Vitamin C Wajah - Briella Skincare</t>
  </si>
  <si>
    <t>Briella Skincare</t>
  </si>
  <si>
    <t>Briella Skincare Official Shop</t>
  </si>
  <si>
    <t>Briella Serum Vit C - Fruity Serum C X Brilova Love Matte Lipcream ( Paket )</t>
  </si>
  <si>
    <t>Hanasui Serum Vitamin C 20ml (417914)</t>
  </si>
  <si>
    <t>Jehan AHA 8,8% dan BHA 0,8% Peeling Serum 10 ml</t>
  </si>
  <si>
    <t>Jehan</t>
  </si>
  <si>
    <t>Jehan Official Shop</t>
  </si>
  <si>
    <t>Serum White 4ml (Normal-Dry Skin) Special Promo (Buy 1 Get 1 Free)</t>
  </si>
  <si>
    <t>Acne Series Serum Elmuarra / Pelembab Wajah Perawatan Kecantikan Termurah Premium Berkualitas</t>
  </si>
  <si>
    <t>Elmuarra</t>
  </si>
  <si>
    <t>Elmuarra Official Shop</t>
  </si>
  <si>
    <t>Dear Me Beauty 2% Salicylic Acid (BHA) + Lemon Extract Face Serum</t>
  </si>
  <si>
    <t>DeBiuryn Ageless Skin Energy Serum 10ml</t>
  </si>
  <si>
    <t>Sarae Glowing Essence with CICA Hyaluronic Acid Face Mist, Centella Asiatica - 100 ml x 2 pcs</t>
  </si>
  <si>
    <t>Serum Anti Kerutan Concentrate instant-Agefit By Neohaus-Original Korea</t>
  </si>
  <si>
    <t>Agefit</t>
  </si>
  <si>
    <t>Neohaus Official Shop</t>
  </si>
  <si>
    <t>Skin Lightening Cream Limited Edition 30gr | Seger Snow Moisturizing Serum 15ml | Kemiri 30ml x 3pcs</t>
  </si>
  <si>
    <t>Serum Glowing - Seger Snow Moisturizing Serum Wajah [ 1pcs ] | Hand Sanitizer C+19 50ml [ 2pc ]</t>
  </si>
  <si>
    <t>AZARINE Essence Sun Shield Serum SPF 50 PA+++</t>
  </si>
  <si>
    <t>Iunik Rose Galactomyces Synergy Serum 15ml</t>
  </si>
  <si>
    <t>SERUM WAJAH GLOWING PEMUTIH WAJAH NATURE REACTION CRYSTAL BRIGHT ORIGINAL BPOM AMPUH 100% ORIGINAL</t>
  </si>
  <si>
    <t>Mineral Botanica Brightening Face Serum</t>
  </si>
  <si>
    <t>(Isi 3) Hanasui Vitamin C Serum 20ml (ORANGE)  / Serum Wajah / Pelembab Wajah / Vitamin Wajah</t>
  </si>
  <si>
    <t>LUMIER ANTI AGING AND REPAIR NIGHT SERUM | GREEN CAVIAR INTENSIVE ENERGY SERUM</t>
  </si>
  <si>
    <t>MSBB - Dear Me Beauty 2% Salicylic Acid (BHA) + Lemon Extract Face Serum - 12ml</t>
  </si>
  <si>
    <t>MSBB - The Aubree Ginseng Renewing First Serum 30 ml</t>
  </si>
  <si>
    <t>Humphrey hairloss advance serum 2x20ml</t>
  </si>
  <si>
    <t>Humprey</t>
  </si>
  <si>
    <t>GARNIER Light Complete Booster Serum 15ml</t>
  </si>
  <si>
    <t>GARNIER Sakura White Booster Serum 15ml</t>
  </si>
  <si>
    <t>Avione Age Revitalizing Renew Serum 20 ml</t>
  </si>
  <si>
    <t>PIXY White Aqua Concentrate Brightening Serum 18ml</t>
  </si>
  <si>
    <t>HUMPHREY Niacinamide 10% Intensive Serum 20ml</t>
  </si>
  <si>
    <t>HUMPHREY Hairloss Serum</t>
  </si>
  <si>
    <t>Safi Age Defy Gold Water 30 + 30 Banded</t>
  </si>
  <si>
    <t>Aubree Ginseng Renewing First Serum - 30ml</t>
  </si>
  <si>
    <t>The Aubree Ginseng Renewing First Serum 30ml</t>
  </si>
  <si>
    <t>MSBB - Tropistories Eucheuma Serum</t>
  </si>
  <si>
    <t>Aknema Bha + Ha Serum</t>
  </si>
  <si>
    <t>PIXY white-aqua HYDRA MOIST ESSENCE 125 ML</t>
  </si>
  <si>
    <t>Shopee Best Seller Smooto Tomato Collagen White Serum</t>
  </si>
  <si>
    <t>VIENNA BEAUTY FACE SERUM HYALURONIC ACID - 15ML BOTTLE</t>
  </si>
  <si>
    <t>Garnier Sakura Whitening Serum cream SPF30 50 ml</t>
  </si>
  <si>
    <t>Mineral Botanica Brightening Face Serum 15ml</t>
  </si>
  <si>
    <t>the Aubree Ginseng Renewing First Serum 30ml</t>
  </si>
  <si>
    <t>the Aubree Rose Bloom Petal Essence 120ml</t>
  </si>
  <si>
    <t>Liplapin Glow Activating Serum</t>
  </si>
  <si>
    <t>Liplapin</t>
  </si>
  <si>
    <t>Emina Bright Stuff Face Serum 30Ml</t>
  </si>
  <si>
    <t>KAB. BEKASI</t>
  </si>
  <si>
    <t>Hanasui Anti Acne Serum 20Ml / Serum Wajah / Pelembab Wajah / Vitamin Wajah / Obat Jerawat (Isi 2)</t>
  </si>
  <si>
    <t>Purivera Premium Evening Primrose Oil 30ml</t>
  </si>
  <si>
    <t>Nourish Indonesia Official Shop</t>
  </si>
  <si>
    <t>Dear Me Beauty Hyaluronic Acid + Pomegranate Extract Face Serum</t>
  </si>
  <si>
    <t>Indoganic Rose Essence C - 20ml</t>
  </si>
  <si>
    <t>Garnier Sakura White Hyaluron 30 x Booster Serum Skin Care 15 mL</t>
  </si>
  <si>
    <t>SCARLETT Whitening Brightly Ever After Serum Pencerah Wajah 15 ml</t>
  </si>
  <si>
    <t>DeBiuryn True Acne Serum 10ml - Anti Jerawat</t>
  </si>
  <si>
    <t>SKDS Serum Brightening Series-Mecerahkan</t>
  </si>
  <si>
    <t>Skds Beauty Care</t>
  </si>
  <si>
    <t>SKDS Beauty Official Shop</t>
  </si>
  <si>
    <t>THE POTIONS Sample Size Azulene Ampoule 1ml Individual Pack (Maksimal Checkout 3 pcs)</t>
  </si>
  <si>
    <t>Serum Maggie Glow Whitening / Serum Muka Pemutih Wajah Flek</t>
  </si>
  <si>
    <t>ERHAIR Scalperfect Soothing Serum</t>
  </si>
  <si>
    <t>Debiuryn Sense UV Pro Serum SPF 30+++ 10 ml</t>
  </si>
  <si>
    <t>VIENNA BEAUTY FACE SERUM BRIGHTENING COOMPLEX - 15ML BOTTLE</t>
  </si>
  <si>
    <t>Everwhite Essence Toner 100Ml / Skincare / Serum</t>
  </si>
  <si>
    <t>I-Face Vitamin C Serum 10 Ml / Mencerahkan Dan Melembabkan Kulit (Original 100%)</t>
  </si>
  <si>
    <t>BUNDLING Pure Essence Acne Series</t>
  </si>
  <si>
    <t>Wardah Renew You Anti Aging Intensive Serum 17Ml \ Serum Wajah\Anti Aging\Kulit Wajah</t>
  </si>
  <si>
    <t>SCARLETT WHITENING Brightly to Glow Mini Series 5ml</t>
  </si>
  <si>
    <t>Eyelash Serum Marwah Skin Care</t>
  </si>
  <si>
    <t>THE POTIONS Set of 3 (Maksimal Checkout 3 pcs)</t>
  </si>
  <si>
    <t>Beautybarme - Skin Aqua Tone Up Essence Bpom</t>
  </si>
  <si>
    <t>Wardah Renew You Anti Aging Treatment Essence 50ml (421397)</t>
  </si>
  <si>
    <t>Nu Aroma Rice Bran Oil (Natural Serum Wajah Serum Kulit Serum Rambut)</t>
  </si>
  <si>
    <t>Azarine Easy White Herbal Moisturizer Serum 20 mL</t>
  </si>
  <si>
    <t>Garnier Sakura White Serum Day Cream SPF30/PA+++ Skin Care Untuk Creah Merona 50 mL</t>
  </si>
  <si>
    <t>Garnier Bright Complete White Speed Day Serum Cream Skin Care 2 x 20 mL</t>
  </si>
  <si>
    <t>Hanasui Propolis Serum 25Ml / Serum Wajah / Face Serum / Merawat Kulit Wajah</t>
  </si>
  <si>
    <t>AHA Serum Marwah Skin Care</t>
  </si>
  <si>
    <t>Whitening Serum Mellydia Mencerahkan Wajah dan Memudarkan Flek</t>
  </si>
  <si>
    <t>Hanasui Bright Up Serum 25ML / Face Serum / Serum Wajah / Mencerahkan Wajah</t>
  </si>
  <si>
    <t>Bio Essence Bio-Renew Deep Cleanser 100gr</t>
  </si>
  <si>
    <t>KKV - Humphrey Golden Whitening Serum plus 20ml</t>
  </si>
  <si>
    <t>Fruitamin Serum With Vitamin C 20ml</t>
  </si>
  <si>
    <t>Fruitamin</t>
  </si>
  <si>
    <t>ROJUKISS Eggplant Dark Spot Serum 8ml</t>
  </si>
  <si>
    <t>Humphrey Vitamin C + Collagen Serum 20ml</t>
  </si>
  <si>
    <t>Garnier Sakura White Hyaluron 30x Booster Serum Skin Care Sachet (Untuk Kulit Glowing Dalam 7 Hari)</t>
  </si>
  <si>
    <t>Garnier Light Complete White Speed Serum Day Cream Extra SPF 36/PA+++ Skin Care - 50 ml</t>
  </si>
  <si>
    <t>Ecla C-Lite Brightening Serum 10G</t>
  </si>
  <si>
    <t>Viva Apotek Authorized Store Semarang</t>
  </si>
  <si>
    <t>Nivea Make Up Starter 2in1 Day Serum SPF33 30 ml</t>
  </si>
  <si>
    <t>Wardah Lightening Facial Serum</t>
  </si>
  <si>
    <t>HUMPHREY Serum Vitamin C &amp; Collagen Plus 20ml</t>
  </si>
  <si>
    <t>Safi Age Defy Gold Water Essence 30 mL</t>
  </si>
  <si>
    <t>Mireya Skin Booster Essence Serum Bakuchiol &amp; Collagen | The Retinol Alternative</t>
  </si>
  <si>
    <t>WARDAH Nature Daily Aloe Hydramild Serum - 5 x 5 ML</t>
  </si>
  <si>
    <t>Garnier Sakura White Serum Day Cream SPF30/PA+++ 50 mL</t>
  </si>
  <si>
    <t>Smooto Egg Collagen White Serum Mencerahkan Melembabkan Mengecilkan Pori-Pori</t>
  </si>
  <si>
    <t>Smooto Egg Collagen White Serum Mencerahkan Mengecilkan Pori-Pori</t>
  </si>
  <si>
    <t>LA Girl Indonesia Official Shop</t>
  </si>
  <si>
    <t>HANASUI Serum Vitamin C</t>
  </si>
  <si>
    <t>Bundling 3 Hanasui Vitamin C Serum 20Ml / Serum Wajah / Pelembab Wajah / Vitamin Wajah</t>
  </si>
  <si>
    <t>BREYLEE Serum Hyaluronic Acid - Melembabkan Wajah 17ml</t>
  </si>
  <si>
    <t>BREYLEE Serum Rose Hydrating - Menyegarkan dan Melembabkan 17ml</t>
  </si>
  <si>
    <t>EMINA Bright Stuff Face Serum 30ml</t>
  </si>
  <si>
    <t>Theraskin Serum Pore Minimizer 8Gr</t>
  </si>
  <si>
    <t>Theraskin</t>
  </si>
  <si>
    <t>Nu Aroma Sunflower Oil (Natural Serum Wajah Serum Kulit Serum Rambut)</t>
  </si>
  <si>
    <t>Hanasui Vitamin C Body Serum Gel 200ml</t>
  </si>
  <si>
    <t>WARDAH  Lightening Serum Ampoule 8ml</t>
  </si>
  <si>
    <t>Breylee Serum Wajah All Varian 17ml</t>
  </si>
  <si>
    <t>KKV - Garnier Light Complete Booster Serum 40ML</t>
  </si>
  <si>
    <t>Wardah Lightening Serum Ampoule 8Ml</t>
  </si>
  <si>
    <t>Viva Apotek Authorized Store Surabaya</t>
  </si>
  <si>
    <t>Garnier Light Complete Vitamin C 30x Booster Serum Skin Care Sachet ( Cepat Cerahkan Noda Hitam )</t>
  </si>
  <si>
    <t>Mireya Ultra Boost Serum Hyalu +6 Peptide - 3ml</t>
  </si>
  <si>
    <t>Beli 1 Dapat 2  Hanasui Vitamin C+Collagen Serum 20Ml/ /Vitamin Wajah/Anti Aging</t>
  </si>
  <si>
    <t>THE POTIONS Sample Size Peptide Ampoule 1ml Individual Pack (Maksimal Checkout 3 pcs)</t>
  </si>
  <si>
    <t>Garnier Light Complete Serum Cream Yuzu (410981)</t>
  </si>
  <si>
    <t>THE FACE Temulawak Whitening Serum with Glutathione 20ml</t>
  </si>
  <si>
    <t>The Face</t>
  </si>
  <si>
    <t>AZARINE easy white herbal moisturizer serum 20ml</t>
  </si>
  <si>
    <t>Smooto Premiums Sunscreens Extra Whitening Essence</t>
  </si>
  <si>
    <t>The Wet Brush Official Shop</t>
  </si>
  <si>
    <t>Holika Holika Pure Essence Mugwort Bubble Cleansing Pack (1pc)</t>
  </si>
  <si>
    <t>(FREE GIFT) TIDAK UNTUK DI BELI - Sachet First Lab</t>
  </si>
  <si>
    <t>0</t>
  </si>
  <si>
    <t>(Isi 3) Hanasui Gold Whitening Serum 20Ml / Serum Wajah / Pelembab Wajah / Vitamin Wajah</t>
  </si>
  <si>
    <t>(ORI 100%) Illuminare Pore Serum 30ml / Perawatan Wajah / Serum Wajah</t>
  </si>
  <si>
    <t>(ORI 100%) Illuminare Youth Serum 30ml / Perawatan Wajah / Serum Wajah</t>
  </si>
  <si>
    <t>[ BUNDLING ] Fat Panda 10% Niacinamide+ Collagen Ampoule  &amp;  Fight Acne &amp; Pore Ampoule</t>
  </si>
  <si>
    <t>[BPOM] BREYLEE Serum Retinol Lifting - Anti-aging (17ml)</t>
  </si>
  <si>
    <t>[BPOM] COSRX Advanced Snail 96 Mucin Power Essence 100ml / Serum Wajah / Nutrisi Wajah</t>
  </si>
  <si>
    <t>[BPOM] HIQWEEN Face Essence Preparing Serum 60ml</t>
  </si>
  <si>
    <t>[BUY 1 GET 1 FREE] Aizen Carnosine Astaxanthin 4% Ultra Ampoule - Serum Anti-Aging Kulit Wajah</t>
  </si>
  <si>
    <t>[BUY 1 GET 1 FREE] Aizen L-Glutathione 10% Ultra Ampoule - Serum Pemutih &amp; Antioxidant Kulit Wajah</t>
  </si>
  <si>
    <t>L-Glutathione</t>
  </si>
  <si>
    <t>[BUY 1 GET 1 FREE] Aizen Polyglutamic Acid 5% Ultra Ampoule - Serum Pelembab &amp; Hidrasi Kulit Wajah</t>
  </si>
  <si>
    <t>[BUY 1 GET 1 FREE] Aizen SepiWhite MSH 3% Ultra Ampoule - Serum Pemutih &amp; Pencerah Kulit Wajah</t>
  </si>
  <si>
    <t>MSH</t>
  </si>
  <si>
    <t>[Buy 1 Gett 1]Swissvita Mandelic Acid Complex Serum (AHA)</t>
  </si>
  <si>
    <t>[CLEARANCE SALE] JINGCHENG 60 Actives Youth Activating Enhancer EX 200 ML</t>
  </si>
  <si>
    <t>Jingcheng</t>
  </si>
  <si>
    <t>[DOUBLE] LORE Brightamin C Serum 30 ml - 2 pcs</t>
  </si>
  <si>
    <t>[FREE GIFT JANGAN DIBELI] Vitamin C Serum (30ml)</t>
  </si>
  <si>
    <t>[FREE PRODUCT] - CLINELLE WhitenUp Brightening Spot Essence 15 ML</t>
  </si>
  <si>
    <t>[GIFT] CICA Care Ampoule 5ml</t>
  </si>
  <si>
    <t>Cica Care</t>
  </si>
  <si>
    <t>Jarte Beauty Official Shop</t>
  </si>
  <si>
    <t>[GIFT] COSRX Advanced Snail 96 Mucin Power Essence Mini, Size - 20ml,  - DO NOT BUY</t>
  </si>
  <si>
    <t>[GIFT] SPECIAL MAMONDE SBD SET 3</t>
  </si>
  <si>
    <t>[Gimmick] Garnier Light Complete Serum Cream Sachet</t>
  </si>
  <si>
    <t>[innisfree] Black Green Tea Serum 50ML - Serum Wajah, Perawatan Wajah</t>
  </si>
  <si>
    <t>[innisfree] Black Tea Youth Enhancing Ampoule 50ml</t>
  </si>
  <si>
    <t>[innisfree] Green Barley Peeling Essence 50ML - Serum Wajah, Perawatan Wajah</t>
  </si>
  <si>
    <t>[innisfree] Green Tea Seed Serum Jumbo with Cream &amp; Foam Cleanser FREE Starbucks Tumbler Bundle</t>
  </si>
  <si>
    <t>[innisfree] Green Tea Seed Serum With Green Tea Line Bundle</t>
  </si>
  <si>
    <t>[innisfree] Jeju Orchid Essence Bundle</t>
  </si>
  <si>
    <t>[PROMO] Aquila - Best Duo Package/Cleansing Balm/Serum/Membersihkan/Mencerahkan</t>
  </si>
  <si>
    <t>Aquila</t>
  </si>
  <si>
    <t>[SPESIAL SET] Nacific Lip Tint + Fresh Cica Plus Clear Serum</t>
  </si>
  <si>
    <t>[The Face Shop] Green Natural Seed Anti Oxid Serum - 50ml - Original</t>
  </si>
  <si>
    <t>[The Face Shop] Yehwadam Hwansaenggo Ultimate Rejuvenating Emulsion</t>
  </si>
  <si>
    <t>[The Face Shop] Yehwadam Revitalizing Serum - 45ml - Original</t>
  </si>
  <si>
    <t>10% Niacinamide + Moisture Sabi Beet Max Brightening Serum 5 ml (LIMITED)</t>
  </si>
  <si>
    <t>a Wrinkle in Time (MTI/PB)</t>
  </si>
  <si>
    <t>Books&amp;Beyond Official Shop</t>
  </si>
  <si>
    <t>AAG- CORRECTING SUPRA ESSENCE 5ML TUBE</t>
  </si>
  <si>
    <t>Acne Essence 15 ML (With Centella Asiatica &amp; Hyaluronic)</t>
  </si>
  <si>
    <t>Acnes Derma Care Anti Blemish Essence - 20ml</t>
  </si>
  <si>
    <t>ACNOC All Hybrid Essence MINI 3gr</t>
  </si>
  <si>
    <t>Acwell Licorice pH Balancing Advance Serum - size : 30 ml</t>
  </si>
  <si>
    <t>ADARA Bundle - C Bright Serum + Ultra Moist</t>
  </si>
  <si>
    <t>Aesthetic Bluepin AHA BHA + White Glow Serum</t>
  </si>
  <si>
    <t>Aesthetic Bluepin Official Shop</t>
  </si>
  <si>
    <t>Aesthetic Bluepin Excellen C Face Serum + White Glow</t>
  </si>
  <si>
    <t>Aesthetic Bluepin White Glow Serum</t>
  </si>
  <si>
    <t>Aesthetic Excellen C Face Serum 18ml</t>
  </si>
  <si>
    <t>AGE 20's Jericho Rose  Sheer Serum Base</t>
  </si>
  <si>
    <t>AHC Peony Bright Luminous Serum</t>
  </si>
  <si>
    <t>Ahc Peony Bright Luminous Serum 40ml</t>
  </si>
  <si>
    <t>AHC The Aesthe Youth Serum - size: 30ml - Edit by Sociolla</t>
  </si>
  <si>
    <t>Aish Acne Serum Penghilang Jerawat Pencerah Wajah BPOM Merawat Kulit Jerawat Pencerah Wajah Bisa COD</t>
  </si>
  <si>
    <t>Belight</t>
  </si>
  <si>
    <t>AKANO Cosmetics - Gold Serum Brightening</t>
  </si>
  <si>
    <t>Aknema Advanced Hydrating Serum Booster - 100ml</t>
  </si>
  <si>
    <t>Aknema Advanced Hydrating Serum Booster 100ml</t>
  </si>
  <si>
    <t>Amaranthine Angelic Skin Face Lifting Serum Q72780</t>
  </si>
  <si>
    <t>Amaranthine Lineage Complex Dermo Lifting Serum Q74055</t>
  </si>
  <si>
    <t>Amaranthine Ultimate Intensive White-C Radiance Skin Serum Q74033</t>
  </si>
  <si>
    <t>APOTCARE RESVERATROL Pure Serum 5% - Booster antioxydant 10ml</t>
  </si>
  <si>
    <t>Apot.Care</t>
  </si>
  <si>
    <t>Aqua+ Series - Enriched-C Serum (15 ml)</t>
  </si>
  <si>
    <t>Aqua+ Series Official Shop</t>
  </si>
  <si>
    <t>Aqua+ Series - Radiance-Intensive Essence (30 ml)</t>
  </si>
  <si>
    <t>Aqua+ Series Enriched-C Serum - 15ml</t>
  </si>
  <si>
    <t>Aqua+ Series Private Enriched Serum 30ml</t>
  </si>
  <si>
    <t>Ariul Watermelon Hydro Glow Serum 55ml</t>
  </si>
  <si>
    <t>Aromatica Reviving Rose Infusion Serum 100 ml</t>
  </si>
  <si>
    <t>Aromatica</t>
  </si>
  <si>
    <t>Aromatica Indonesia Official Shop</t>
  </si>
  <si>
    <t>Aromatica Rose Absolute First Serum 130ml</t>
  </si>
  <si>
    <t xml:space="preserve">Sesa Official </t>
  </si>
  <si>
    <t>ASTALIFT ESSENCE DESTINY 30 ML</t>
  </si>
  <si>
    <t>ASTALIFT GIFT SET JELLY AQUARYSTA 60 GR + INFOCUS CELLATIVE SERUM 30ML</t>
  </si>
  <si>
    <t>Aura Bright - Glutathione Vit C</t>
  </si>
  <si>
    <t>Avoskin Hydrating Treatment Essence 100 ml</t>
  </si>
  <si>
    <t>Avoskin Hydrating Treatment Essence Spray New Formula</t>
  </si>
  <si>
    <t>AVOSKIN MIRACULOUS REFINING SERUM 30 ML</t>
  </si>
  <si>
    <t>Sarinah Official Shop</t>
  </si>
  <si>
    <t>Avoskin Perfect Hydrating Treatment Essence 100 ml</t>
  </si>
  <si>
    <t>Avoskin Perfect Hydrating Treatment Essence 30 ml</t>
  </si>
  <si>
    <t>Avoskin Serum Miraculous Refining 30 mL</t>
  </si>
  <si>
    <t>Avoskin Your Skin Bae Panthenol 5% + Mugwort + Cica Barrier Hero Serum</t>
  </si>
  <si>
    <t>AVOSKIN YOUR SKIN BAE PANTHENOL 5% + MUGWORT + CICA SERUM 30 ML</t>
  </si>
  <si>
    <t>AVOSKIN Your Skin Bae Panthenol 5% + Mugwort + Cica Serum 30ml</t>
  </si>
  <si>
    <t>Ayudya lightening - firming treatment oil</t>
  </si>
  <si>
    <t>Ayudya</t>
  </si>
  <si>
    <t>Ayudya Naturally Official Shop</t>
  </si>
  <si>
    <t>AZARINE AQUA ESSENCE SUN SHIELD SERUM SPF 50 PA+++ 100ML</t>
  </si>
  <si>
    <t>Azarine C White Lightening Tone Up Body Serum 100ml</t>
  </si>
  <si>
    <t>CBD</t>
  </si>
  <si>
    <t>AZARINE CBD Hydraoxidant Ampoule 40ml</t>
  </si>
  <si>
    <t>Azarine Vitamin Lab CBD Hydraoxidant Ampoule - 40ml</t>
  </si>
  <si>
    <t>Azrina Brightening Secret Serum with Azrina Diamond Jelly</t>
  </si>
  <si>
    <t>Diamond</t>
  </si>
  <si>
    <t>Babor Cleanformance Moisture Glow Serum 30ml</t>
  </si>
  <si>
    <t>Babor Dr. Babor Ultimate ECM Repair Serum</t>
  </si>
  <si>
    <t>BABOR Refine RX Retinew A16</t>
  </si>
  <si>
    <t>Babor Reversive Anti-Aging Serum 30ml</t>
  </si>
  <si>
    <t>Babor Skinovage Balancing Serum 30ml</t>
  </si>
  <si>
    <t>Babor Skinovage Vitalizing Serum 30ml</t>
  </si>
  <si>
    <t>Babor With Love: The Gold Collection 7x2 ML</t>
  </si>
  <si>
    <t>BARRY M Glass Gloss Radiance Serum</t>
  </si>
  <si>
    <t>Barry M</t>
  </si>
  <si>
    <t>Barry M Official Store</t>
  </si>
  <si>
    <t>Beautereine Moonphase Concentrated Serum - 20ml</t>
  </si>
  <si>
    <t>Beautereine</t>
  </si>
  <si>
    <t>BeautieSS CC Me 24/7 Booster Serum</t>
  </si>
  <si>
    <t>Beauty Barn Mom - Night Face Treatment 30ml</t>
  </si>
  <si>
    <t>Beauty Barn</t>
  </si>
  <si>
    <t>Beauty Barn Indonesia Official Store</t>
  </si>
  <si>
    <t>Beautybarme - Cosrx Advanced Snail 96 Mucin Power Essence 100Ml</t>
  </si>
  <si>
    <t>Beautybarme - Hanasui Serum Whitening Gold / Vitamin C + Collagen / Anti Acne 20Ml</t>
  </si>
  <si>
    <t>Beautybarme - Somebymi Galactomyces Pure Vit C Glow Serum Brightening 100% Original</t>
  </si>
  <si>
    <t>Benton Deep Green Tea Serum 30ml</t>
  </si>
  <si>
    <t>Benton Fermentation Essence - 100ml</t>
  </si>
  <si>
    <t>BENTON Snail Bee High Content Essence Pelembab Wajah</t>
  </si>
  <si>
    <t>BENTON snail bee ultimate serum 35ml</t>
  </si>
  <si>
    <t>Bhumi Acid Complex Clearing Serum</t>
  </si>
  <si>
    <t>Bhumi G-Alpine Brightening Serum 30ml</t>
  </si>
  <si>
    <t>Bhumi Overnight Body Serum</t>
  </si>
  <si>
    <t>Bio Beauty Lab Acne Serum - Serum Wajah Jerawat 10 Ml</t>
  </si>
  <si>
    <t>Jansen Official Shop</t>
  </si>
  <si>
    <t>Bio Beauty Lab Acne Treatment 5ml</t>
  </si>
  <si>
    <t>Bio Essence 24K Gold Double Serum 36 g</t>
  </si>
  <si>
    <t>Bio Essence 24K Gold Night Cream 40 g</t>
  </si>
  <si>
    <t>Bio Essence Bio Bounce Collagen Essence Cream 50 Gr</t>
  </si>
  <si>
    <t>Bio Essence Bio Energizing Water 100ml</t>
  </si>
  <si>
    <t>Bio Essence Bio Treatment Essence In Oil 60 ml</t>
  </si>
  <si>
    <t>Bio Essence Bio White Advanced Whitening Day Cream SPF20</t>
  </si>
  <si>
    <t>Bio Essence Bio White Advanced Whitening Serum 30ml</t>
  </si>
  <si>
    <t>Bio Essence Bio White Tanaka Advanced Whitening Night Cream 50gr</t>
  </si>
  <si>
    <t>Bio Essence Bio-Gold Double Serum 36g</t>
  </si>
  <si>
    <t>Bio Essence Bio-Gold Gold Water 100 ml Twinpack Special</t>
  </si>
  <si>
    <t>Bio Essence Bio-Gold Night Cream 40 gr</t>
  </si>
  <si>
    <t>Bio Essence Bio-Gold Rose Gold Water 100 ml</t>
  </si>
  <si>
    <t>Bio Essence Bio-Renew Foamy Cleanser 100gr</t>
  </si>
  <si>
    <t>Bio Essence Bounce Collagen Essence 30ml</t>
  </si>
  <si>
    <t>Bio Essence Gold Water 15 ml</t>
  </si>
  <si>
    <t>Bio Essence Renew Royal Jelly Nourishing Ton</t>
  </si>
  <si>
    <t>BIO-ESSENCE Bio White Day Cream 50g</t>
  </si>
  <si>
    <t>BIO-ESSENCE Bio White Night Cream 50g</t>
  </si>
  <si>
    <t>BIO-ESSENCE Bio-Vlift Face Lifting Cream - Nourishing 45g</t>
  </si>
  <si>
    <t>BIO-ESSENCE Bio-White Advanced Whitening Cleanser 100g</t>
  </si>
  <si>
    <t>BIO-ESSENCE Bio-White Advanced Whitening Serum 30ml</t>
  </si>
  <si>
    <t>BIOAQUA - Serum Wajah Emas 24K Gold Skin Brightening Serum Essence 30Ml</t>
  </si>
  <si>
    <t>Biokos Botu Like Wrinkle Filling Serum</t>
  </si>
  <si>
    <t>Biyu HA Serum - 15ml</t>
  </si>
  <si>
    <t>BIYU SKINCARE BIYU X VA HA Serum - Hyaluronic Acid Serum</t>
  </si>
  <si>
    <t>BLITHE ESSENCE 8 BEANS 50ML</t>
  </si>
  <si>
    <t>BLITHE Pressed Serum Tundra Sachet 2ml</t>
  </si>
  <si>
    <t>BLITHE VITAL TREATMENT ESSENCE - 9 ESSENTIAL SEEDS 150 ML</t>
  </si>
  <si>
    <t>Bloomka Argireline + Leuphasyl Facial Anti-Aging Serum - 20ml</t>
  </si>
  <si>
    <t>Bloomka Boerhavia + Rice Lightening Serum</t>
  </si>
  <si>
    <t>Bloomka Boerhavia with Niacinamide + Rice Facial Lightening Serum 20ml</t>
  </si>
  <si>
    <t>Bloomka Calendula + Poria Cocos Facial Calming Serum - 20ml</t>
  </si>
  <si>
    <t>BLOOMKA Calendula + Poria Cocos Facial Calming Serum 20ml</t>
  </si>
  <si>
    <t>Bloomka Edelweiss + Hyaluronate Essence (melembabkan/anti radikal bebas/cegah penuaan)</t>
  </si>
  <si>
    <t>Bloomka Edelweiss Hyaluronate Serum Facial Hydrating Serum 20ml</t>
  </si>
  <si>
    <t>Bloomka Kombucha + Brown Algae Facial Anti-Oxidant Serum 20ml</t>
  </si>
  <si>
    <t>Bloomka Manuka + Magnolia Anti Acne Serum</t>
  </si>
  <si>
    <t>Botanica Brightening Serum 15 ML / Serum Wajah / Mineral Botanica Serum</t>
  </si>
  <si>
    <t>Avecca Beauty Official Shop</t>
  </si>
  <si>
    <t>Botanica Face Age Defying Serum 15 ML / Serum Anti Aging / Serum Botanica</t>
  </si>
  <si>
    <t>Botanica</t>
  </si>
  <si>
    <t>Botanica Face Brightening Serum 15Ml/Serum Wajah/Peremajaan Kulit Wajah/Perawatan Kecantikan</t>
  </si>
  <si>
    <t>Botanity Flavon Serum - 50ml</t>
  </si>
  <si>
    <t>Botanity Package 1 [Flavon Serum + Bakuchiol Spot Cream + Hydrogel Cream]</t>
  </si>
  <si>
    <t>Botanity Set 1 [Flavon Serum + Hydrogel Cream]</t>
  </si>
  <si>
    <t>Botanity Set 3 [Flavon Serum + Bakuchiol Spot Cream]</t>
  </si>
  <si>
    <t>Breylee Blackhead Remover Mask Step 1 &amp; Pore Minimize Serum Step 2</t>
  </si>
  <si>
    <t>BREYLEE Hyaluronic Acid Series - Melembabkan (3 pcs)</t>
  </si>
  <si>
    <t>BREYLEE Serum Mata Roll On Hyaluronic Acid - Melembabkan 15ml</t>
  </si>
  <si>
    <t>BREYLEE Serum Treatment - Wajah Berjerawat 17ml</t>
  </si>
  <si>
    <t>BREYLEE SETS of SERUM D - Mencerahkan &amp; Menyamarkan Garis Halus (2pcs)</t>
  </si>
  <si>
    <t>BREYLEE Soothing Serum - Menenangkan Kulit Wajah</t>
  </si>
  <si>
    <t>Brighter Skin Package - KANEBO Smoothing Serum + KANEBO Illuminating Serum 30ml</t>
  </si>
  <si>
    <t>BRTC Buy 1 Get 1 Free The First Ampoule Essence - 30ml</t>
  </si>
  <si>
    <t>BRTC Official Shop</t>
  </si>
  <si>
    <t>BRTC Pore Tightening Serum - 60ml</t>
  </si>
  <si>
    <t>BRTC Pore Tightening Serum 30ml</t>
  </si>
  <si>
    <t>BRTC The First Ampoule Essence</t>
  </si>
  <si>
    <t>BRTC The First Ampoule Essence - 30ml</t>
  </si>
  <si>
    <t>BRTC The First Ampoule Essence - 310ml</t>
  </si>
  <si>
    <t>BUHOTEI Serum Wajah Vitamin Facial Essense Anti Aging Moisturizing Serum Isi 60 Kapsul BPOM</t>
  </si>
  <si>
    <t>Buhotei</t>
  </si>
  <si>
    <t>Bundle Neogen Dermalogy Wine Sachet 3 pcs x Skinme Dualmee Series Youthfull</t>
  </si>
  <si>
    <t>Bundle Neogen Dermalogy Wine Small x Skinme Dualmee Series Youthfull</t>
  </si>
  <si>
    <t>BUNDLING ESSENCE INFILT 30 ML + WH CREAM 30 GR</t>
  </si>
  <si>
    <t>Bundling HYA Intensive Whitening Pre-Serum + Miracle Fluid Facial Treatment Essence</t>
  </si>
  <si>
    <t>Bundling Minimizer Pore free FACE MIST "Nadhifabeautycare"</t>
  </si>
  <si>
    <t>Buy 1 Get 1 Bio Essence Bio Bounce Collagen Essence 30 ml</t>
  </si>
  <si>
    <t>Buy 1 Get 1 Bio Essence BioWater Moistin Water Lotion Toner 150ml</t>
  </si>
  <si>
    <t>Buy 2x Pond's Triple Glow Serum 30ml Free Wendy’s Signed Photo Card</t>
  </si>
  <si>
    <t>Callista Cica Reviving Serum - 20ml</t>
  </si>
  <si>
    <t>CALLISTA</t>
  </si>
  <si>
    <t>Calmedi Essential Mix Serum 10 ml | Serum Pelembab Wajah</t>
  </si>
  <si>
    <t>Calmedi Exfoliating Essence 60 ml | Melembabkan Kulit, Mencerahkan, dan Mengangkat Sel Kulit Mati</t>
  </si>
  <si>
    <t>Calmedi Gold Rejuvination Series | Anti Aging for All Skin Types</t>
  </si>
  <si>
    <t>Cell Renew Bio Emulsion - 150ml</t>
  </si>
  <si>
    <t>Cell Renew Bio Essence 60ml</t>
  </si>
  <si>
    <t>CELLSCIENCE - Skeyndor Clear Balance Pore Refining Repair Serum</t>
  </si>
  <si>
    <t>CellScience Official Shop</t>
  </si>
  <si>
    <t>Charlotte Kay Ageless Firming Serum - 15ml</t>
  </si>
  <si>
    <t>Charlotte Kay</t>
  </si>
  <si>
    <t>Charlotte Kay Whitening Serum - 20ml</t>
  </si>
  <si>
    <t>Charlotte Kay Whitening Serum for Oily - 20ml</t>
  </si>
  <si>
    <t>CHLODIO Murier Blanc+ Brightening Serum [30ml]</t>
  </si>
  <si>
    <t>Chlodio</t>
  </si>
  <si>
    <t>Chlodio Beaute Official Shop</t>
  </si>
  <si>
    <t>CHLODIO Murier Blanc+ Brightening Serum Bundle [2 pcs @ 30ml]</t>
  </si>
  <si>
    <t>CLEARANCESALE SERUM EXPIRED SEPTEMBER 2021 !!!</t>
  </si>
  <si>
    <t>Clinelle Age Revive Emulsion 80ml</t>
  </si>
  <si>
    <t>Clinelle Age Revive Youth Essence 20ml</t>
  </si>
  <si>
    <t>Clinelle Caviar Gold Firming Serum 30 ml</t>
  </si>
  <si>
    <t>Clinelle CaviarGold Firming Serum 30ml</t>
  </si>
  <si>
    <t>Clinelle PureSWISS Hydracalm Serum 20ml</t>
  </si>
  <si>
    <t>Clove Flower &amp; Turmeric Anti Aging Serum</t>
  </si>
  <si>
    <t>Collistar 2 Pack Molecular Spray Collagen Anti-Wrinkle Firming - 100 mL</t>
  </si>
  <si>
    <t>Collistar</t>
  </si>
  <si>
    <t>Collistar Official Shop</t>
  </si>
  <si>
    <t>COSRX  Hyaluronic Acid Hydra Power Essence 100ml</t>
  </si>
  <si>
    <t>COSRX Hyaluronic Acid Hydra Power Essence (100ml)</t>
  </si>
  <si>
    <t>Covermark Cell Advanced Serum WR</t>
  </si>
  <si>
    <t>Covermark</t>
  </si>
  <si>
    <t>Covermark Official Shop</t>
  </si>
  <si>
    <t>Crystallure Daily Glow Package</t>
  </si>
  <si>
    <t>Crystallure Glowing Skin 1</t>
  </si>
  <si>
    <t>Daneen 3G Ultra Vitamin C Serum 10ml</t>
  </si>
  <si>
    <t>Dear Me Beauty 10% Cica + Watermelon Extract Face Serum</t>
  </si>
  <si>
    <t>Dear Me Beauty 10% Lactobionic Acid (PHA) + Lime Extract Face Serum</t>
  </si>
  <si>
    <t>Dear Me Beauty 10% Niacinamide + Watermelon Extract Face Serum -  12ml</t>
  </si>
  <si>
    <t>Dear Me Beauty 8% Snap 8 Peptide + Avocado Extract Face Serum 12ml</t>
  </si>
  <si>
    <t>DEAR ME BEAUTY 8% Snap 8 Peptide + Avocado Extract Face Serum 12ml</t>
  </si>
  <si>
    <t>Dear Me Beauty Paket Anti Kerutan 12ml: PHA + Peptide</t>
  </si>
  <si>
    <t>Dear Me Beauty Paket Serum Jerawat 12 ml: Niacinamide + BHA Saliyclic Acid</t>
  </si>
  <si>
    <t>DEAR ME BEAUTY Single Active Face Serum 10% Cica + Watermelon Extract 12ml</t>
  </si>
  <si>
    <t>DEAR ME BEAUTY Single Active Face Serum 10% Vitamin C + Orange Extract 12ml</t>
  </si>
  <si>
    <t>DeBiuryn Give Me That Glow - Essential</t>
  </si>
  <si>
    <t>DeBiuryn Skin Energy Serum Anti Aging 20ml - Retinol Glow</t>
  </si>
  <si>
    <t>Derma Plan Sensitive Soothing Treatment - Special Set</t>
  </si>
  <si>
    <t>Derma Térra Ageless Anti Aging Serum</t>
  </si>
  <si>
    <t>Derma Térra Official Shop</t>
  </si>
  <si>
    <t>dermalogica AGE Bright Serum (30ml)</t>
  </si>
  <si>
    <t>Dermaluz Serum Acne Exfoliating 15Ml</t>
  </si>
  <si>
    <t>Dermies Clear Me Acne Control Serum 20 ml - Serum Wajah Untuk Kulit Berminyak dan Berjerawat</t>
  </si>
  <si>
    <t>Disc 40% Anti Aging Skincare: W~III Pre Essence Repair Serum</t>
  </si>
  <si>
    <t>W III</t>
  </si>
  <si>
    <t>W-III Official Shop</t>
  </si>
  <si>
    <t>Disc 40% Anti Aging Skincare: W~III Skin Essence Remodelling Serum</t>
  </si>
  <si>
    <t>DNI AHA BHA Pore Serum</t>
  </si>
  <si>
    <t>Dr Babor Pro Vitamin C Concentrate</t>
  </si>
  <si>
    <t>DR JART NEW Ceramidin Serum 40ml</t>
  </si>
  <si>
    <t>Dr. Althea Premium Intensive Essence Mask (14 sachet)</t>
  </si>
  <si>
    <t>Dr Althea</t>
  </si>
  <si>
    <t>Dr. Althea Official Shop</t>
  </si>
  <si>
    <t>Dr. Babor Refine Cellular Glow Booster Bi-Phase Ampoule</t>
  </si>
  <si>
    <t>Dr. Ceuracle Royal Vita Propolis 33 Ampoule - 15 ml - Ampul Mencerahkan Glowing - Skincare</t>
  </si>
  <si>
    <t>Glowing Skincare</t>
  </si>
  <si>
    <t>dr. Erna Lightening Serum (Brightening) - Serum Pencerah Wajah - dr Erna Skincare</t>
  </si>
  <si>
    <t>dr. Erna Serum Acne - Serum Anti Jerawat - dr Erna Skincare</t>
  </si>
  <si>
    <t>Dr. Oracle 21;Stay Acerola-C Ampoule</t>
  </si>
  <si>
    <t>Dr. Oracle 21;Stay Maca Peptide Ampoule</t>
  </si>
  <si>
    <t>Dr.Althea Skin Balancing UV Essence</t>
  </si>
  <si>
    <t>Dr.Althea</t>
  </si>
  <si>
    <t>Dr.Jart Cicapair Serum - 30ml</t>
  </si>
  <si>
    <t>Dr.Jart+ Vital Hydra Solution Biome Essence with Blue Shot 50ml</t>
  </si>
  <si>
    <t>Duvaderm Acne Shot - 15ml</t>
  </si>
  <si>
    <t>Duvaderm Hyaluronic Calming Serum - 30ml</t>
  </si>
  <si>
    <t>ECLA Gold Anti Aging Serum</t>
  </si>
  <si>
    <t>Ecla Gold</t>
  </si>
  <si>
    <t>Elemis - Dynamic Resurfacing Serum 30ml</t>
  </si>
  <si>
    <t>Elemis</t>
  </si>
  <si>
    <t>Elemis Official Shop</t>
  </si>
  <si>
    <t>Elemis - Pro-Collagen Quartz Lift Serum 30ml</t>
  </si>
  <si>
    <t>Elemis - Superfood Cica Calm Booster 9ml</t>
  </si>
  <si>
    <t>Elemis - Superfood Glow Booster 9ml</t>
  </si>
  <si>
    <t>Elevatione Nutrix Facial Serum - Preserve Your Youth Collection</t>
  </si>
  <si>
    <t>Elevatione</t>
  </si>
  <si>
    <t>Elevatione Official Shop</t>
  </si>
  <si>
    <t>Elsheskin Active Rejuvenating Night Serum</t>
  </si>
  <si>
    <t>ElsheSkin Active Rejuvenating Night Serum - Limited Edition</t>
  </si>
  <si>
    <t>ElsheSkin Sebum Reducer Serum - 20ml</t>
  </si>
  <si>
    <t>Elsheskin Skin Serum</t>
  </si>
  <si>
    <t>ElsheSkin Vitamin C Serum - 20ml</t>
  </si>
  <si>
    <t>EMINA Bright Stuff Face Serum</t>
  </si>
  <si>
    <t>Emina It's Time to Glow Up - Serum &amp; Magic Potion</t>
  </si>
  <si>
    <t>Emina You Glow Girl - Serum &amp; Creamatte</t>
  </si>
  <si>
    <t>Envygreen Intensify Brightening Serum with AHA, 8% BHA, Niacinamide - 10gr</t>
  </si>
  <si>
    <t>Envygreen x Wellisna The Right Bright Glow Serum - 20gr</t>
  </si>
  <si>
    <t>ERHA - hiserha gentle acne essence all in one</t>
  </si>
  <si>
    <t>ERHA Age Corrector Moisture Control Booster 15ML - Anti Aging Booster</t>
  </si>
  <si>
    <t>ERHA Age Corrector Skin Renew Booster 15ML - Anti Aging Booster</t>
  </si>
  <si>
    <t>Erha Truwhite Activator C Serum 19ml</t>
  </si>
  <si>
    <t>ERHA X AQUA Refresh Hydrating Serum</t>
  </si>
  <si>
    <t>ERHA21- Age Corrector Serum ( BUY 1 AGE CORRECTOR SERUM FREE 1 WHITE JADE ROLLER )</t>
  </si>
  <si>
    <t>White Jade</t>
  </si>
  <si>
    <t>ESSENCE - Insta Perfect Liquid Make Up</t>
  </si>
  <si>
    <t>Essence</t>
  </si>
  <si>
    <t>Estetiderma Skin Refining Serum Value Pack Isi 2 - Serum Wajah</t>
  </si>
  <si>
    <t>Esther Acne Serum 4 Ampoules</t>
  </si>
  <si>
    <t>Esther Calming Serum 20ml</t>
  </si>
  <si>
    <t>Esther Intensive Serum</t>
  </si>
  <si>
    <t>EverShine Bright Sakura Serum - 20ml</t>
  </si>
  <si>
    <t>EVERSHINE Fruit Mix Willow Peeling Glow Serum</t>
  </si>
  <si>
    <t>EVERSHINE Pure Bakuchiol 2% Blemish &amp; Age Define Serum</t>
  </si>
  <si>
    <t>EverShine Silk Gold Serum / whitening booster</t>
  </si>
  <si>
    <t>EverShine Silk Gold Serum X Lumecolors Foundation</t>
  </si>
  <si>
    <t>Everwhite Brightening Essence Serum</t>
  </si>
  <si>
    <t>Everwhite Brightening Essence Serum 15 Gr/ Brightening / Everwhite</t>
  </si>
  <si>
    <t>Everwhite Brightening Essence Serum 15g</t>
  </si>
  <si>
    <t>Everwhite Brightening Essence Serum 15Gr / Memutihkan Wajah / Mencerahkan</t>
  </si>
  <si>
    <t>EVERWHITE CICA SOOTHING SERUM (Centella Asiatica) - Acne Care / Acne Series</t>
  </si>
  <si>
    <t>Everwhite Cica Soothing Serum 30ml</t>
  </si>
  <si>
    <t>Everwhite Niacinamide Brightening Serum - 20ml</t>
  </si>
  <si>
    <t>Everwhite Niacinamide Brightening Serum 20ml</t>
  </si>
  <si>
    <t>Everwhite Peptide Anti Aging Serum 15ml</t>
  </si>
  <si>
    <t>Exclusive Box 1 : Shiseido Ultimune Power Infusing Concentrate 30ml</t>
  </si>
  <si>
    <t>Exclusive Bundle - Votre Peau Brightening Essence 50ml + Quesella Jeju Aloe Vera 100ml</t>
  </si>
  <si>
    <t>Exclusive Bundle - Votre Peau Saharan Face Emulsion 15ml + Quesella Facial Cleanser 100ml</t>
  </si>
  <si>
    <t>Fabil Chromanyl Translucent Brightening Serum 100g</t>
  </si>
  <si>
    <t>FABIL Intensive Acne Care Serum BIG SALE RAMADHAN</t>
  </si>
  <si>
    <t>FARMONA HYDRAQUEST Serum Wajah Untuk Kulit kering Active Moistirising Concentrate</t>
  </si>
  <si>
    <t>Farmona</t>
  </si>
  <si>
    <t>Farmona Official Shop</t>
  </si>
  <si>
    <t>Farmona Microneedle Skin Exfoliation With Acid Farmona. Serum Ampul Bb Glow, Dermapen</t>
  </si>
  <si>
    <t>Farmona Revolu C White. Glowing Serum, Glowing Mask, Vit C Mask, Serum Pemutih, Masker.</t>
  </si>
  <si>
    <t>Farmona Serum Jerawat Dermaacne Active Normalizing Concentrate</t>
  </si>
  <si>
    <t>FIRST LAB FIRST LAB Probiotic REVERSE Skin Essence 150ml</t>
  </si>
  <si>
    <t>FIRST LAB PROBIOTIC SKIN ESSENCE SIGNATURE 150ml</t>
  </si>
  <si>
    <t>For Skin's Sake [FSS] - Retinol Serum 30ml</t>
  </si>
  <si>
    <t>For Skin's Sake [FSS] - Vitamin C Serum 30ml</t>
  </si>
  <si>
    <t>FOR SKINS SAKE Hyaluronic Acid Serum 30ml</t>
  </si>
  <si>
    <t>FOR SKINS SAKE Vitamin C Serum 30ml</t>
  </si>
  <si>
    <t>FSS For Skin's Sake - Hyaluronic Acid  (Hydrate)</t>
  </si>
  <si>
    <t>Fss For Skin'S Sake</t>
  </si>
  <si>
    <t>FSS For Skin’s Sake Retinol Serum Concentrate</t>
  </si>
  <si>
    <t>FSS For Skins"s Sake Vit C Serum Concentrate</t>
  </si>
  <si>
    <t>FSS Refresh Vitamin C 20 Serum Concentrate - 30ml</t>
  </si>
  <si>
    <t>For Skin's Sake</t>
  </si>
  <si>
    <t>Furatasse Keratin Serum</t>
  </si>
  <si>
    <t>Furatasse</t>
  </si>
  <si>
    <t>Furatasse Official Shop</t>
  </si>
  <si>
    <t>G9Skin Bulgarian Rose Hydrogel Essence</t>
  </si>
  <si>
    <t>G9Skin Serum in Spray Mask</t>
  </si>
  <si>
    <t>G9Skin White in Milk Capsule Serum</t>
  </si>
  <si>
    <t>G9Skin White In Milk Capsule Serum 50ml</t>
  </si>
  <si>
    <t>Garnier Bright Complete White Speed Day Serum Cream Uva/Uvb Skin Care - 40 ml (Light complete)</t>
  </si>
  <si>
    <t>Garnier Light Complete  (Sunscreen &amp; Booster Serum)</t>
  </si>
  <si>
    <t>Garnier Light Complete Booster Serum 15 ml + Bright Up Mask - 5 pcs (Untuk Kulit Cerah Seketika)</t>
  </si>
  <si>
    <t>Garnier Light Complete Speed Serum Cream (321231)</t>
  </si>
  <si>
    <t>Garnier Sakura Glow Hyaluron Water - Glow Essence Skin Care x 2 pcs (Untuk Kulit Glowing Dari Dalam)</t>
  </si>
  <si>
    <t>Garnier Sakura Glow Hyaluron Water Glow Essence 3 x 30 mL</t>
  </si>
  <si>
    <t>Garnier Sakura White Booster Serum 15 ml + Waterglow Mask - 5 pcs (Untuk Kulit Glowing Seketika)</t>
  </si>
  <si>
    <t>Garnier Serum Sakura White Hyaluron 30x Booster Skin Care 30 mL</t>
  </si>
  <si>
    <t>GARNIER SKIN NATURAL LIGHT COMPLETE WHITE SPEED  ESSENCE 10 ML</t>
  </si>
  <si>
    <t>Garnier SW Hyaluron Booster Serum 30ML</t>
  </si>
  <si>
    <t>Garnier x Bayfresh - Light Complete Booster Serum Pampering Package</t>
  </si>
  <si>
    <t>GEN Whitening Generator C Serum (For All Skin Types) 20ml BPOM :NA18191905852</t>
  </si>
  <si>
    <t>Gentle Bright Serum Free FREEBIES Glowlabs Merchandise</t>
  </si>
  <si>
    <t>Gentle Glow Essence Free FREEBIES Glowlabs Merchandise</t>
  </si>
  <si>
    <t>GF BLITHE INBETWEEN HYDRO PREPARATION ESSENCE</t>
  </si>
  <si>
    <t>GF CREMORLAB TEN MIRACLE THE ESSENCE 2ML</t>
  </si>
  <si>
    <t>Giffarine Astaxanthin Age-Defying Intensive Serum</t>
  </si>
  <si>
    <t>Giffarine Miracle Fluid Facial Treatment Essence</t>
  </si>
  <si>
    <t>GIFT -- (NOT FOR SALE) By Wishtrend: Pure Vitamin C 21.5% Advanced Serum</t>
  </si>
  <si>
    <t>Glamglow Superserum 6-Acid Refining Treatment - 30ml</t>
  </si>
  <si>
    <t>GLAMGLOW SUPERSERUM™ 6-Acid Refining Treatment Serum 10ml</t>
  </si>
  <si>
    <t>Glamore Skincare 2 Pcs Serum Premium Alpha Arbutin 15 ml (Bundling 2 Pcs)</t>
  </si>
  <si>
    <t>Glowlabs Bright Mate FREE POUCH (Gentle Bright Serum, Gentle Glow Essence, Peptide Moist)</t>
  </si>
  <si>
    <t>GLOWLABS Gentle Glow Essence</t>
  </si>
  <si>
    <t>Glowlabs Gentle Glow Essence 100ml</t>
  </si>
  <si>
    <t>Glowlabs Glo-C Serum 20ml</t>
  </si>
  <si>
    <t>GLOWLABS Glo-C Serum 20ml</t>
  </si>
  <si>
    <t>Glowlabs Glowing Healthy Skin (Glo-C Serum &amp; Probiome Acne Serum)</t>
  </si>
  <si>
    <t>GLOWLABS Probiome Acne Serum 20ml</t>
  </si>
  <si>
    <t>Glowlabs Retinol Cica Night Serum 20ml</t>
  </si>
  <si>
    <t>GLOWLABS Retinol Cica Night Serum 20ml</t>
  </si>
  <si>
    <t>Glowmy 3 Layering Serum Package</t>
  </si>
  <si>
    <t>Glowmy Advanced Brightening Glow Activating Serum (20ml)</t>
  </si>
  <si>
    <t>Glowmy Advanced Brightening Glow Activating Serum 3 Pack</t>
  </si>
  <si>
    <t>Glowmy Serum +  Day Cream</t>
  </si>
  <si>
    <t>Glowmy Serum+Night Cream</t>
  </si>
  <si>
    <t>Hada Labo Gokujyun Alpha essence 30 gram</t>
  </si>
  <si>
    <t>HADA LABO Shirojyun Ultimate Whitening Essence 30gr</t>
  </si>
  <si>
    <t>Haecho - Lightening Serum 1 Box</t>
  </si>
  <si>
    <t>Haecho</t>
  </si>
  <si>
    <t>Haecho Official Shop</t>
  </si>
  <si>
    <t>Haecho - Purifying Serum Wajah (1pcs)</t>
  </si>
  <si>
    <t>Hanada Brighten Up Body Serum 100ml + Ever Young Serum</t>
  </si>
  <si>
    <t>Hanada Brighten Up Body Serum 20 ml (2pcs)</t>
  </si>
  <si>
    <t>Hanada Ever Young Serum + Hanada Glow Serum</t>
  </si>
  <si>
    <t>HANADA Ever Young Serum CLEARANCE SALE! EXP JULY 2021</t>
  </si>
  <si>
    <t>HANADA Glow Serum CLEARANCE SALE! EXP JULY 2021</t>
  </si>
  <si>
    <t>HANASUI Acne Treatment Power Essence</t>
  </si>
  <si>
    <t>Hanasui Bright Up Serum</t>
  </si>
  <si>
    <t>Hanasui Bright Up Serum 25Ml</t>
  </si>
  <si>
    <t>HANASUI Power Essence Glow 10 100ml</t>
  </si>
  <si>
    <t>Hanasui Propolis Serum 25Ml</t>
  </si>
  <si>
    <t>Hanasui Rich Nutrition Serum 25Ml</t>
  </si>
  <si>
    <t>Hanasui Rich Nutrition Serum 25Ml / Serum Wajah / Face Serum / Mengencangkan Kulit</t>
  </si>
  <si>
    <t>Hanasui Rich Nutrition Serum 25Ml / Serum Wajah / Face Serum / Nutrisi Wajah</t>
  </si>
  <si>
    <t>HANASUI Serum</t>
  </si>
  <si>
    <t>AEON Supermarket Official Shop</t>
  </si>
  <si>
    <t>HANASUI Serum Vit.C + Collagen</t>
  </si>
  <si>
    <t>Hanasui Serum Vitamin C + Collagen - Serum Wajah 20Ml</t>
  </si>
  <si>
    <t>HAPLE Centella Cloud Booster</t>
  </si>
  <si>
    <t>Haple Cloud Glow Booster 30mL</t>
  </si>
  <si>
    <t>Haple La Luna Anti Aging Serum - 30ml</t>
  </si>
  <si>
    <t>Haple La Luna Anti-Aging Serum</t>
  </si>
  <si>
    <t>Haple La Luna Anti-Aging Serum 30ml</t>
  </si>
  <si>
    <t>Luna</t>
  </si>
  <si>
    <t>Haple Rose Cloud Glow Booster 30ml</t>
  </si>
  <si>
    <t>Haple Silver Moon Calming Serum 30ml</t>
  </si>
  <si>
    <t>HAPLE Silvermoon Serum 30ml</t>
  </si>
  <si>
    <t>Harlette Waterymelon Deep Hydration Emulsion -  30ml</t>
  </si>
  <si>
    <t>Harlette</t>
  </si>
  <si>
    <t>Haum C Serum Vitamin C 15% - 28ml</t>
  </si>
  <si>
    <t>HEIMISH Bulgarian Rose Mist Serum 55ml [CHECKOUT RP 1000]</t>
  </si>
  <si>
    <t>Heimish Official Shop</t>
  </si>
  <si>
    <t>HISTOIRE NATURELLE Ectoin Hydra Sooth Mild Serum (30ml)</t>
  </si>
  <si>
    <t>Holika Holika 3" Seconds Starter - Hyaluronic Acid</t>
  </si>
  <si>
    <t>Holika Holika 3" Seconds Starter - Vita C</t>
  </si>
  <si>
    <t>Holika Holika Aloe Soothing Essence 90% Emulsion</t>
  </si>
  <si>
    <t>Holika Holika Less on Skin Redness Calming CICA Serum</t>
  </si>
  <si>
    <t>Holika Holika Pure Essence Mugwort Bubble Cleansing Pack (12pcs)</t>
  </si>
  <si>
    <t>Holika Holika Water Mellow Tone Up Serum</t>
  </si>
  <si>
    <t>Humphrey Acne T Tre Serum 20ml</t>
  </si>
  <si>
    <t>Humphrey Golden Serum Wht 25ml</t>
  </si>
  <si>
    <t>Humphreys</t>
  </si>
  <si>
    <t>Humphrey Niacinamide 10% + Hyarulonic Acid Serum - 10 mL - Serum Wajah</t>
  </si>
  <si>
    <t>HUMPHREY Serum Vitamin C Whitening Plus 20ml</t>
  </si>
  <si>
    <t>Humphrey Vitamin C Whitening Serum 20ml</t>
  </si>
  <si>
    <t>HUXLEY ESSENCE: GRAB WATER 30ml</t>
  </si>
  <si>
    <t>Huxley Oil Essence 30Ml</t>
  </si>
  <si>
    <t>Huxley Secret of Sahara Essence : Grab Water - 30ml</t>
  </si>
  <si>
    <t>Hyalon Active 10 Blue Capsule Serum With Mask Sheet Set</t>
  </si>
  <si>
    <t>Hyggee One Step Facial Essence Fresh 110 ml</t>
  </si>
  <si>
    <t>Hyggee</t>
  </si>
  <si>
    <t>I Trust Nature Licorice Serum - 30ml</t>
  </si>
  <si>
    <t>ID.AZ Face Fit T Fit-ler Ampoule - 15ml</t>
  </si>
  <si>
    <t>IDAZ Face Fit T Fit-ler Ample 15ml</t>
  </si>
  <si>
    <t>IDAZ Face Fit V Fit-ler Ample 15ml</t>
  </si>
  <si>
    <t>Illuminare Brightening Serum 30Gr / Perawatan Wajah / Serum Wajah</t>
  </si>
  <si>
    <t>Illuminare Pore Serum 30Ml / Perawatan Wajah / Serum Wajah</t>
  </si>
  <si>
    <t>Illuminare Youth Activator Nourish Serum 30Ml / Face Serum / Serum Wajah Anti Aging / Illuminaire</t>
  </si>
  <si>
    <t>Implora Luminous Brightening Serum - Serum Pencerah Wajah 20ml</t>
  </si>
  <si>
    <t>Independence Day Package A</t>
  </si>
  <si>
    <t>Independence Day Package C</t>
  </si>
  <si>
    <t>Indoganic Rose Essence C</t>
  </si>
  <si>
    <t>Indoganic Rose Essence C - 60ml</t>
  </si>
  <si>
    <t>Ingenia Bundling - Oil Balancing Toner &amp; Night Cream with Intense Radiance Gold Serum</t>
  </si>
  <si>
    <t>Innertrue Essence of Life Serum</t>
  </si>
  <si>
    <t>Innertrue Essence of Life Serum - 15ml</t>
  </si>
  <si>
    <t>Innertrue Essence of Life Serum 15ml</t>
  </si>
  <si>
    <t>ISOI  Bulgarian Rose Blemish Care Serum (Blemish Serum)  35ml</t>
  </si>
  <si>
    <t>ISOI Official Shop</t>
  </si>
  <si>
    <t>ISOI Blemish Care Serum II 35ml</t>
  </si>
  <si>
    <t>Iunik Noni Light Oil Serum 50ml</t>
  </si>
  <si>
    <t>Iunik Propolis Vitamin Synergy Serum 15ml | 50ml</t>
  </si>
  <si>
    <t>J-GLOW - Serum Lightening Essence - 10ml</t>
  </si>
  <si>
    <t>Jarkeen - Double Glow Serum</t>
  </si>
  <si>
    <t>JARKEEN Double Glow Serum 15ml</t>
  </si>
  <si>
    <t>JARKEEN New Skin Lightening Molecules Body Serum 100ml</t>
  </si>
  <si>
    <t>JARKEEN Vit C Booster Serum 15ml</t>
  </si>
  <si>
    <t>Jarkeen X Jacquelle Porecelain Doll Look Bundle</t>
  </si>
  <si>
    <t>Jarte Cica Care Ampoule - 20ml</t>
  </si>
  <si>
    <t>JARTE-CICA CARE AMPOULE</t>
  </si>
  <si>
    <t>JELLYS Pure Face Serum</t>
  </si>
  <si>
    <t>JELLYS-  Pure Face Power Up Serum</t>
  </si>
  <si>
    <t>Joylab Skin'o'tic Water Essence 50ml</t>
  </si>
  <si>
    <t>Joylab Skinotic Water Essence 50ml</t>
  </si>
  <si>
    <t>KANEBO Illuminating Serum - 50ml</t>
  </si>
  <si>
    <t>Kerastase 8H Magic Night Serum 90 Ml</t>
  </si>
  <si>
    <t>Ave Salon Official Shop</t>
  </si>
  <si>
    <t>Kerastase 8H Magic Night Serum 90ml Serum Rambut Malam Hari</t>
  </si>
  <si>
    <t>Kerastase Chronologiste Parfum 100ml Serum Rambut Anti Penuaan</t>
  </si>
  <si>
    <t>Kerastase Lait Vital 200ml Kondisioner Rambut Kering</t>
  </si>
  <si>
    <t>KEZIA Skincare Serum Whitening 15ml (Packaging Lama )</t>
  </si>
  <si>
    <t>Kiehl's Calendula Serum-Infused Water Cream - 28ml</t>
  </si>
  <si>
    <t>Kiehl's Clearly Corrective Dark Spot Solution - 15ml</t>
  </si>
  <si>
    <t>Kiehl's Clearly Corrective Dark Spot Solution - 30ml</t>
  </si>
  <si>
    <t>Kiehl's Daily Reviving Concentrate 30ml</t>
  </si>
  <si>
    <t>Kiehl's Iris Extract Activating Essence - 200ml</t>
  </si>
  <si>
    <t>Kiehl's Midnight Recovery Concentrate - 30ml WB</t>
  </si>
  <si>
    <t>Kiehl's Nightly Refining Micro-Peel - 30ml</t>
  </si>
  <si>
    <t>Kiehl's Powerful-Strength Line-Reducing - 50ml</t>
  </si>
  <si>
    <t>KIEHLS Vital Skin-Strengthening Super Serum 30ml</t>
  </si>
  <si>
    <t>Kifa Adonis Gold Serum with Gold &amp; Laminaria Japonica Extract (Semua Jenis Kulit) – 20 ml</t>
  </si>
  <si>
    <t>Kifa</t>
  </si>
  <si>
    <t>KIFA Beauty Official Shop</t>
  </si>
  <si>
    <t>KKV - CORSX Mela 14 White Ampule 20 ml</t>
  </si>
  <si>
    <t>KKV - Everwhite Brightening Essence Serum 15g</t>
  </si>
  <si>
    <t>KKV - Holika Holika One Solution Ampoule Brightening 30ml / Serum Wajah / Nutrisi Wajah</t>
  </si>
  <si>
    <t>KKV - Holika Holika One Solution Ampoule Firming Serum</t>
  </si>
  <si>
    <t>KKV - ITS Skin Power 10 Formula VE Effector Serum Wajah</t>
  </si>
  <si>
    <t>It'S Skin</t>
  </si>
  <si>
    <t>KKV - ITS Skin Power 10 Formula WH Effector 30ml / Serum Wajah / Nutrisi Wajah</t>
  </si>
  <si>
    <t>KKV - POWER 10 Vitamin C Serum 30ML / Serum Wajah / Nutrisi Wajah</t>
  </si>
  <si>
    <t>It's Skin</t>
  </si>
  <si>
    <t>KKV - Smooto Lemon-C Snail Oil Control Serum 10g</t>
  </si>
  <si>
    <t>KKV - SOMETHINC 10% Niacinamide + Moisture Sabi Beet Max Brightening Serum Skincare 20ml</t>
  </si>
  <si>
    <t>KKV - SOMETHINC 5% Niacinamide + Moisture Sabi Beet Serum Skincare 20ml</t>
  </si>
  <si>
    <t>KKV - SOMETHINC Hyaluronic B5 Serum Skincare 20ml</t>
  </si>
  <si>
    <t>Klairs Freshly Juiced Vitamin Drop - 35ml</t>
  </si>
  <si>
    <t>Klairs Midnight Blue Activating Youth Drop 20ml</t>
  </si>
  <si>
    <t>Klairs Midnight Blue Youth Activating Drop - 20ml</t>
  </si>
  <si>
    <t>Klairs Rich Moist Soothing Serum - 80ml</t>
  </si>
  <si>
    <t>KLAIRS Sample Sachet</t>
  </si>
  <si>
    <t>KLALAB My Skin Barrier Serum 30ml</t>
  </si>
  <si>
    <t>Klalab</t>
  </si>
  <si>
    <t>Klalab Official Shop</t>
  </si>
  <si>
    <t>Kleveru Glass Skin Overnight Serum - 20ml</t>
  </si>
  <si>
    <t>Kose Cosmeport - Clear Turn Babyish Precious B (Mengenyalkan) 1 sheet</t>
  </si>
  <si>
    <t>Kose Cosmeport</t>
  </si>
  <si>
    <t>Natural Farm Official Shop</t>
  </si>
  <si>
    <t>Non Branded</t>
  </si>
  <si>
    <t>Kulit's C Serum 20ml</t>
  </si>
  <si>
    <t>Kulit'S</t>
  </si>
  <si>
    <t>L'Occitane Aqua Reotier Moisture Prep Essence [150 mL]</t>
  </si>
  <si>
    <t>L'Oreal Dermatologist Expert White Perfect Laser Wht Essence 30ml</t>
  </si>
  <si>
    <t>L'Oreal Paris Perfect Clinical Derm White Essence serum 30ml</t>
  </si>
  <si>
    <t>L'Oreal Paris Revitalift Crystal Micro Essence  Serum Skin Care - 130 ml &amp; Pro-Youth Serum</t>
  </si>
  <si>
    <t>L'Oreal Paris Revitalift Crystal Micro Essence  Serum Skin Care - 130 ml &amp; Pro-Youth Serum Mask</t>
  </si>
  <si>
    <t>L'Oreal Paris Revitalift Crystal Micro Essence  Serum Skin Care - 65 ml</t>
  </si>
  <si>
    <t>L'Oreal Paris Revitalift Crystal Micro Essence - 130 ml Twinpack (Free Jade Roller)</t>
  </si>
  <si>
    <t>L'Oreal Paris Revitalift Crystal Micro Essence Serum Skin Care 65 mL &amp; Clinical Essence 30 mL</t>
  </si>
  <si>
    <t>L'Oreal Paris Revitalift Hyaluronic Acid Serum Exclusive Set Free 3 Pro-Youth Serum Mask</t>
  </si>
  <si>
    <t>L'Oreal Paris Revitalift Serum White Perfect Day Cream (Untuk Kulit Lembap dan Cerah Tanpa Noda)</t>
  </si>
  <si>
    <t>L'Oreal Paris Revitalift Serum White Perfect Whip Foam (Untuk Kulit Lembap dan Cerah Tanpa Noda)</t>
  </si>
  <si>
    <t>L'Oreal Paris UV Defender Serum Protector Sunscreen Bright &amp; Clear SPF50+/PA++++(Mencerahkan Kulit)</t>
  </si>
  <si>
    <t>L'Oreal Paris Youth Code Ferment Pre-Essence Serum Skin Care - 30 mL (Untuk Kulit Cerah &amp; Kencang)</t>
  </si>
  <si>
    <t>L'Oreal Revitalift Crystal Micro Essence - 65ml  - Golden Truly</t>
  </si>
  <si>
    <t>Golden Truly Official Shop</t>
  </si>
  <si>
    <t>L'oreal Revitalift Intensive Serum 30ml</t>
  </si>
  <si>
    <t>L'Oreal White Perfect Derm Expert ESSENCE - Golden Truly</t>
  </si>
  <si>
    <t>L’Occitane - Immortelle Overnight Reset Serum 50ml</t>
  </si>
  <si>
    <t>La Tulipe Essential Whitening Serum 20 mL</t>
  </si>
  <si>
    <t>Lacoco En Nature Hydrating Divine Essence</t>
  </si>
  <si>
    <t>Lacoco Hydrating Divine Essence 50 ml</t>
  </si>
  <si>
    <t>Lakon Store - Luxcrime - Aurora Serum</t>
  </si>
  <si>
    <t>LAKON Official Store</t>
  </si>
  <si>
    <t>Laneige Clear C Peeling Serum 80 mL</t>
  </si>
  <si>
    <t>Langsre Brightspot Serum - 30ml</t>
  </si>
  <si>
    <t>Langsre Good Times AHA-ed Serum - 30ml</t>
  </si>
  <si>
    <t>Langsre Hydraluronic Serum - 30ml</t>
  </si>
  <si>
    <t>Lanore Intelgold Serum Anti Aging dengan Partikel Emas 10 gr</t>
  </si>
  <si>
    <t>LAST STOCK! MONSKIN Glutathione &amp; Vit. C Serum 15 ml</t>
  </si>
  <si>
    <t>Monskin</t>
  </si>
  <si>
    <t>Monskin Official Shop</t>
  </si>
  <si>
    <t>LAST STOCK! MONSKIN Translucent Brightening Serum 15 ml</t>
  </si>
  <si>
    <t>LAST STOCK! MONSKIN Whitening Serum for Normal - Dry Skin 15 ml</t>
  </si>
  <si>
    <t>LAST STOCK! MONSKIN Whitening Serum for Oily &amp; Acne - Prone Skin 15 ml</t>
  </si>
  <si>
    <t>Liplapin Glow Activating Serum - 20ml</t>
  </si>
  <si>
    <t>Lokos.me Brightening And Glowing Package</t>
  </si>
  <si>
    <t>Loreal Dex Revita Lift Essence Water 130 ml</t>
  </si>
  <si>
    <t>Revita</t>
  </si>
  <si>
    <t>LOREAL PARIS Revitalift Hyaluronic Acid Serum 30ml</t>
  </si>
  <si>
    <t>Loreal Revitalift Micro Essence 65 ML (418091)</t>
  </si>
  <si>
    <t>Loreal White Perfect Laser White Essence 30 ml</t>
  </si>
  <si>
    <t>LT Pro Powdery Foundation</t>
  </si>
  <si>
    <t>LUMIER 100% GREEN CAVIAR EXTRACT</t>
  </si>
  <si>
    <t>Luxcrime Venus Essence : Hydrating &amp; Glowing -30ml</t>
  </si>
  <si>
    <t>Lysca Paket Hemat Pure Essence Toner + White Serum</t>
  </si>
  <si>
    <t>MAHARIS SKIN CARE Sublime Serum 30ml</t>
  </si>
  <si>
    <t>Maharis SkinCare - Sun Defense &amp; Sublime Serum Bundle</t>
  </si>
  <si>
    <t>Make Over  Hydration Serum, 33 ml</t>
  </si>
  <si>
    <t>Make Over Hydration Serum - 33ml</t>
  </si>
  <si>
    <t>MAKE OVER HYDRATION SERUM, 33 ML</t>
  </si>
  <si>
    <t>Yogya Online Fashion Official Shop</t>
  </si>
  <si>
    <t>MakeOver Hydration Serum 33 ml (400170)</t>
  </si>
  <si>
    <t>Man Made All in One Essence - 50ml x 2pcs</t>
  </si>
  <si>
    <t>MARTINEZ BEAUTE LUXE WHITE BRIGHTENING ELIXIR ULTIME TREATMENT ESSENCE - 100ML BOTTLE</t>
  </si>
  <si>
    <t>Martinez Beaute</t>
  </si>
  <si>
    <t>MD Glowing Acne Biosulfur Serum</t>
  </si>
  <si>
    <t>Mediheal Masking Layering Ampoule Hydra Shot - Size - 4 ml * 3 - Edit by Sociolla</t>
  </si>
  <si>
    <t>Melanox Premium Whitening Serum Perawatan Wajah Serum Wajah</t>
  </si>
  <si>
    <t>Mesoestetic Glycolic + E + F Ampoules 10x2ml</t>
  </si>
  <si>
    <t>Mesoestetic Melan Tran3x Intensive Concentrate 30ml</t>
  </si>
  <si>
    <t>MFS Special 9.9 - Shiseido Creamy Cleansing Emulsion</t>
  </si>
  <si>
    <t>Mila D'opiz Skin Purifying Clear Serum 30ml / Miladopiz</t>
  </si>
  <si>
    <t>Mila D'opiz Stem cells Ampoule 50ml / Miladopiz Stemcells Ampoule 50ml</t>
  </si>
  <si>
    <t>Mila D'opiz Stem Cells Ampoule 5ml / Miladopiz Anti Aging Ampoule / Stemcells</t>
  </si>
  <si>
    <t>Mila D'opiz The Skin Whisperer Serum 30ml / Miladopiz</t>
  </si>
  <si>
    <t>MINERAL BOTANICA Acne Care Perfect Purifying Serum</t>
  </si>
  <si>
    <t>Mineral Botanica Acne Serum 15ml</t>
  </si>
  <si>
    <t>MINERAL BOTANICA White Plus Complex Serum</t>
  </si>
  <si>
    <t>Mirelle Acne Serum - 15ml</t>
  </si>
  <si>
    <t>MISSHA Near Skin Trouble Cut Spot Cover</t>
  </si>
  <si>
    <t>MISSHA Paket : Vita C Healthy Set (1 set) + Snail Cleansing Foam (1)</t>
  </si>
  <si>
    <t>Missha Super Aqua Snail skin Treatment 130ML</t>
  </si>
  <si>
    <t>MISSHA Time Evolution The First Treatment Essence Rx</t>
  </si>
  <si>
    <t>Missha Time Revolution Night Repair Probio Ampoule</t>
  </si>
  <si>
    <t>Missha yei hyun essence</t>
  </si>
  <si>
    <t>MONSKIN Glutathione &amp; Vit. C Serum 15 ml</t>
  </si>
  <si>
    <t>MONSKIN Post Acne Lightening Serum 15 ml</t>
  </si>
  <si>
    <t>MONSKIN Translucent Brightening Serum 15 ml</t>
  </si>
  <si>
    <t>Moriganic Almond Oil Serum 30ml BPOM</t>
  </si>
  <si>
    <t>Moriganic Castor Oil Serum 30ml BPOM</t>
  </si>
  <si>
    <t>Ms Glow Peeling Serum - Mencerahkan Kulit Kusam &amp; Bibir yang kehitaman Bpom Original Bisa Bayar Cod</t>
  </si>
  <si>
    <t>MS Glow Serum Acne - Serum Meredakan Jerawat Menghilangkan Bekas Jerawat Mengatasi Kemerahan Bpom</t>
  </si>
  <si>
    <t>MS Glow Serum Lifting - Mencerahkan dan Mengatasi Kerutan pada Kulit Wajah Menghilangkan Flek Hitam</t>
  </si>
  <si>
    <t>MSBB - Avoskin Reverse the Youth Bundling</t>
  </si>
  <si>
    <t>MSBB - Avoskin Your Skin Bae Panthenol 5% + Mugwort + Cica Barrier Hero Serum</t>
  </si>
  <si>
    <t>MSBB - BIYU Hyaluronic Acid Serum</t>
  </si>
  <si>
    <t>MSBB - Dear Me Beauty 10% Niacinamide + Watermelon Extract Face Serum - 12ml</t>
  </si>
  <si>
    <t>MSBB - Dear Me Beauty 10% Vitamin C + Orange Extract Face Serum - 12ml</t>
  </si>
  <si>
    <t>MSBB - Elsheskin Sebum Reducer Serum</t>
  </si>
  <si>
    <t>MSBB - For Skin's Sake Hyaluronic Acid Serum</t>
  </si>
  <si>
    <t>MSBB - For Skin's Sake Retinol Serum</t>
  </si>
  <si>
    <t>MSBB - Glowlabs Glo-C Serum</t>
  </si>
  <si>
    <t>MSBB - Haple Silver Moon Calming Serum</t>
  </si>
  <si>
    <t>MSBB - Haum Aloecid Niacinamide 10% 50 Gr</t>
  </si>
  <si>
    <t>MSBB - I Trust Nature Licorice Serum - Soothing &amp; Brightening</t>
  </si>
  <si>
    <t>MSBB - Jarkeen Porcelain Skin Serum</t>
  </si>
  <si>
    <t>MSBB - Jarkeen Skin Purifier Gel Serum</t>
  </si>
  <si>
    <t>MSBB - Joylab Wonderskin Power Serum - 15ml</t>
  </si>
  <si>
    <t>MSBB - Lacoco Hydrating Divine Essence WAREHOUSE SALE</t>
  </si>
  <si>
    <t>MSBB - Le D'olla NUOVO Caviar &amp; Ginseng Essence</t>
  </si>
  <si>
    <t>MSBB - Somethinc HYALuronic B5 Serum 20ml</t>
  </si>
  <si>
    <t>MSBB - Somethinc Niacinamide + Moisture Beet Serum - 40 Ml</t>
  </si>
  <si>
    <t>MSBB - Terra Beaute - Acne Soother Serum 15ml</t>
  </si>
  <si>
    <t>Terra Beaute</t>
  </si>
  <si>
    <t>MSBB - The Bath Box Brassica Lightening Serum With Niacinamide Whitening Serum 30Ml</t>
  </si>
  <si>
    <t>MSBB - Tropistories Kiwi Ampoule</t>
  </si>
  <si>
    <t>Mugens The M Curling Essence</t>
  </si>
  <si>
    <t>The M</t>
  </si>
  <si>
    <t>Murah Lebay Twin Pack Bio Essence GOLD WATER 100ml (EXP Januari 2022)</t>
  </si>
  <si>
    <t>Murah Lebay Twin Pack Bio Essence GOLD WATER 150ml (EXP Maret 2022)</t>
  </si>
  <si>
    <t>Mustela Stretch Marks Serum BPOM 45 ML | Membantu Menyamarkan Stretch Mark Yang Muncul Pada Kulit</t>
  </si>
  <si>
    <t>Mustela</t>
  </si>
  <si>
    <t>Mutouch Whitening Body Serum Hydrating Spray Mist</t>
  </si>
  <si>
    <t>Mutouch</t>
  </si>
  <si>
    <t>Mutouch Whitening Body Serum Revitalizing Spray Mist</t>
  </si>
  <si>
    <t>N'Pure Centella Asiatica Face Essence - 20ml</t>
  </si>
  <si>
    <t>N'Pure Centella Asiatica Face Serum - 15ml</t>
  </si>
  <si>
    <t>N'Pure</t>
  </si>
  <si>
    <t>Nacific BEST 3 Serum SET(Origin + Whitening + Cica)</t>
  </si>
  <si>
    <t>NACIFIC Double Set Fresh Herb Origin Serum 2 ea</t>
  </si>
  <si>
    <t>Nacific Fresh Cica Plus Clear 2 SET (Serum + Toner)</t>
  </si>
  <si>
    <t>Nacific Fresh Cica Plus Clear Serum</t>
  </si>
  <si>
    <t>Nacific Fresh Cica Plus Clear Serum - 50ml</t>
  </si>
  <si>
    <t>NACIFIC Fresh Cica Set</t>
  </si>
  <si>
    <t>Nacific Fresh Herb Origin Serum Double SET (50ml- 2EA)</t>
  </si>
  <si>
    <t>NACIFIC Fresh Herb Origin Set</t>
  </si>
  <si>
    <t>Nacific Jeju Artemisia Essence 150ml</t>
  </si>
  <si>
    <t>NACIFIC Real Floral Essence Rose</t>
  </si>
  <si>
    <t>Nadfaskin Tea Tree Serum 20ml</t>
  </si>
  <si>
    <t>Nahla I C You In The Bright Side Serum 20ml - Brightening Serum</t>
  </si>
  <si>
    <t>Nahla</t>
  </si>
  <si>
    <t>Gizi Cosmetics Official Shop</t>
  </si>
  <si>
    <t>Natasha by dr Fredi Setyawan Anti Dandruff Serum</t>
  </si>
  <si>
    <t>Natasha by dr. Fredi Setyawan Manuka Honey Stimuno Repair Complex</t>
  </si>
  <si>
    <t>Viva Apotek Auhorized Store Denpasar</t>
  </si>
  <si>
    <t>Natur Face Serum Miracle Brightening Serum 30 ml</t>
  </si>
  <si>
    <t>Natur Face Serum Miracle Renew Skin 30 mL</t>
  </si>
  <si>
    <t>Natur Miracle Calming Serum 30 mL</t>
  </si>
  <si>
    <t>Natur Miracle Renew Skin Face Serum : Ginseng &amp; Probiotic &amp; Natur Shampoo</t>
  </si>
  <si>
    <t>Natur-E Advanced Aa Serum 15ml</t>
  </si>
  <si>
    <t>TIPTOP Supermarket Official Shop</t>
  </si>
  <si>
    <t>NATURE REPUBLIC Ginseng Royal Silk  Ampoule Effector 7 Days Program</t>
  </si>
  <si>
    <t>NATURE REPUBLIC Ginseng Royal Silk Essence</t>
  </si>
  <si>
    <t>NATURE REPUBLIC Good Skin Ampoule - COLLAGEN</t>
  </si>
  <si>
    <t>NATURE REPUBLIC Green Derma Tea Tree Cica Spot Serum</t>
  </si>
  <si>
    <t>NATURE REPUBLIC Polynesia Lagoon Water Hydro Essence</t>
  </si>
  <si>
    <t>NEOGEN H2 Dermadeca Serum Spray 120ml</t>
  </si>
  <si>
    <t>NEUTROGENA Bright Boost Serum - Perawatan Wajah 30ml</t>
  </si>
  <si>
    <t>Neutrogena Bright Boost Serum 30 ml (Paket Isi 2)</t>
  </si>
  <si>
    <t>Neutrogena Hydro Boost Capsule in Serum 30 ml</t>
  </si>
  <si>
    <t>NEW Chronologiste Perfume Huile 100ml - Serum Anti-Aging Free Gift</t>
  </si>
  <si>
    <t>Nivea Face Care Make Up Starter Serum SPF33 30ml</t>
  </si>
  <si>
    <t>Nourish Skin Bio White Serum Box - 30 mL - Pencerah Kulit Wajah</t>
  </si>
  <si>
    <t>Nourish Skin</t>
  </si>
  <si>
    <t>NOVEXPERT BOOSTER SERUM Hypoallergenic</t>
  </si>
  <si>
    <t>NOVEXPERT BOOSTER SERUM With 5 Omega 30ml</t>
  </si>
  <si>
    <t>NOVEXPERT Booster With Vitamin C (30ml)</t>
  </si>
  <si>
    <t>NOVEXPERT BRIGHT And CLEAN Set</t>
  </si>
  <si>
    <t>Npure Centella Asiatica Serum 15ml</t>
  </si>
  <si>
    <t>Npure Essence Centella 20 ml</t>
  </si>
  <si>
    <t>Npure Essence Centella 20ml</t>
  </si>
  <si>
    <t>Npure Face Serum Marigold Series 15ml</t>
  </si>
  <si>
    <t>Npure Marigold Face Serum 15ml</t>
  </si>
  <si>
    <t>Npure Silky Centella Asiatica Face Serum 15ml</t>
  </si>
  <si>
    <t>Npure Silky Face Primer Serum Centella Asiatica 15ml - N'Pure</t>
  </si>
  <si>
    <t>Nu Aroma Macadamia Oil (Natural Serum Wajah Serum Rambut)</t>
  </si>
  <si>
    <t>Nurish Organiq 24K Gold [Special Bundling] Face Essence 20ml + Night Cream 40ml</t>
  </si>
  <si>
    <t>NURISH ORGANIQ 24K GOLD DEEP C/MILK100ML</t>
  </si>
  <si>
    <t>NURISH ORGANIQ 24K GOLD FACE ESSEN 20GR</t>
  </si>
  <si>
    <t>Nusantics Biome Oil Serum 20g</t>
  </si>
  <si>
    <t>Nuxuriance Ultra Serum - 30 ml</t>
  </si>
  <si>
    <t>Nuxe</t>
  </si>
  <si>
    <t>Nuxe ID Official Shop</t>
  </si>
  <si>
    <t>Ocean Fresh Morska Brightening Serum 15g</t>
  </si>
  <si>
    <t>Ocean Fresh</t>
  </si>
  <si>
    <t>Oh My Skin! Essence 4in1 60ml</t>
  </si>
  <si>
    <t>Ohmyskin Bright &amp; Glow Serum 20ml</t>
  </si>
  <si>
    <t>Olay Power Duo Krim Pelembab Pagi &amp; Serum + Rejuvenating Sheet Mask Anti Aging Skincare</t>
  </si>
  <si>
    <t>OLAY RETINOL FACE SERUM 30ML</t>
  </si>
  <si>
    <t>Olay Serum Wajah Regenerist Anti Aging Skincare 50 mL</t>
  </si>
  <si>
    <t>Olay Total Effect Anti Aging Serum 50g (144339)</t>
  </si>
  <si>
    <t>Olay Total Effect Serum 50ml</t>
  </si>
  <si>
    <t>Olay White Radiance Essence 7Ml</t>
  </si>
  <si>
    <t>Olay White Radiance Light Perfecting Essence 7 Ml</t>
  </si>
  <si>
    <t>OMNISKIN Cica Bakuchiol 6in1 Blemish Serum</t>
  </si>
  <si>
    <t>Omniskin Cica Bakuchiol Blemish Serum 6in1 16ml</t>
  </si>
  <si>
    <t>Organic Supply Co. - Acne Fighter Bundle</t>
  </si>
  <si>
    <t>Organic Supply Co.</t>
  </si>
  <si>
    <t>Organic Supply Co. Official Shop</t>
  </si>
  <si>
    <t>Organic Supply Co. - Hydrating Mask Bundle</t>
  </si>
  <si>
    <t>ORIIGNAL Serum Nature Reaction Pemutih Wajah Glowing</t>
  </si>
  <si>
    <t>Ottie Green Tea Emulsion</t>
  </si>
  <si>
    <t>Ottie</t>
  </si>
  <si>
    <t>Ottie Indonesia Official Shop</t>
  </si>
  <si>
    <t>Ovale Essential Vitamin Lightening Jar 30 Kapsul</t>
  </si>
  <si>
    <t>Ozora Brightening Treatment Essence</t>
  </si>
  <si>
    <t>Ozora</t>
  </si>
  <si>
    <t>Pemutih Wajah Serum Nature Reaction Pencerah Wajah Penghilang Flek Sudah BPOM</t>
  </si>
  <si>
    <t>Pencerah Kulit Wajah Dr Boyke Wish Lightening Emulsion - 100 mL</t>
  </si>
  <si>
    <t>Wish</t>
  </si>
  <si>
    <t>Phyto Niacin Whitening Simple Set</t>
  </si>
  <si>
    <t>PIKA Serum Wajah Face Serum Dry Skin 100% Murni &amp; Alami 20ML</t>
  </si>
  <si>
    <t>TSbali</t>
  </si>
  <si>
    <t>TSb Official Shop</t>
  </si>
  <si>
    <t>PIKA Serum Wajah Face Serum SD (Scarring &amp; Discoloration) 100% Murni</t>
  </si>
  <si>
    <t>TSb</t>
  </si>
  <si>
    <t>PIKA Serum Wajah Face Serum Sensitive Skin 100% Murni &amp; Alami 20ML</t>
  </si>
  <si>
    <t>Pixy Aqua Brightening Serum 18ml  (423577)</t>
  </si>
  <si>
    <t>Pixy Aqua Hydra Moist Essence 125ml (423576)</t>
  </si>
  <si>
    <t>PIXY White Aqua Concentrated Brightening Serum</t>
  </si>
  <si>
    <t>Pixy White Aqua Hydra Moist Essence</t>
  </si>
  <si>
    <t>PIXY White Aqua Hydra Moist Essence 125ml</t>
  </si>
  <si>
    <t>Placentor Serum 30 ml</t>
  </si>
  <si>
    <t>POND'S  White Beauty Perfect Potion Essence 50Ml</t>
  </si>
  <si>
    <t>Pond'S Age Miracle Youthful Essence 30 Ml Free Sheet Mask</t>
  </si>
  <si>
    <t>Pond's White Beauty Perfect Potion Essence 110ml</t>
  </si>
  <si>
    <t>Ponds Age Miracle Serum Wajah Retinol Youthful Glow 30 mL</t>
  </si>
  <si>
    <t>Ponds Age Miracle Ultimate Youth Retinol Essence 30 G</t>
  </si>
  <si>
    <t>Ponds White Beauty Serum Burst Cream 20gr</t>
  </si>
  <si>
    <t>Pratista Retinol Renewal Serum - 30ml</t>
  </si>
  <si>
    <t>Pratista</t>
  </si>
  <si>
    <t>Pratista Vit C Serum - 30ml</t>
  </si>
  <si>
    <t>Probio-C Spray 50 ML</t>
  </si>
  <si>
    <t>Promo Dr.Ekles Skincare - Serum Vit. C Kolagen</t>
  </si>
  <si>
    <t>PROMO Vienka Skin Care Skincare Saffron Shafron Safron Brightening Serum 2 Pcs BPOM Halal COD</t>
  </si>
  <si>
    <t>PURECA Botanical Evening Primrose Oil - Serum Oil Treatment Pure Oil Acne Serum Wajah</t>
  </si>
  <si>
    <t>PURITO Centella Unscented Serum 60ml</t>
  </si>
  <si>
    <t>Purito Pure Vitamin C Serum - 60ml</t>
  </si>
  <si>
    <t>Purivera Botanicals Blue Grapeseed Serum Oil 20ml</t>
  </si>
  <si>
    <t>Purivera Botanicals Everlasting Tamanu Serum Oil 20ml</t>
  </si>
  <si>
    <t>Purivera Combo to Brighten your #Skindependence - Willow bark 2% + Chromabright</t>
  </si>
  <si>
    <t>Purivera Double Combo for Ageless - Sea Buckthorn + Bakuchiol &amp; Ceramide 3%</t>
  </si>
  <si>
    <t>Purivera Sea Ceramide Serum (Anti Aging &amp; Skin Barrier) - 20 ml</t>
  </si>
  <si>
    <t>Genki Plant Official Shop</t>
  </si>
  <si>
    <t>Pyunkang Yul Moisture Serum - 100ml</t>
  </si>
  <si>
    <t>PYUNKANG YUL Moisture Serum (100ml)</t>
  </si>
  <si>
    <t>QUESELLA Galactomyces Treatment Essence 30ml</t>
  </si>
  <si>
    <t>Radi Skin Duo Serum</t>
  </si>
  <si>
    <t>Radi Skin Niacinamide Clear Serum - 20ml</t>
  </si>
  <si>
    <t>Radi Skin Niacinamide Clear Serum X Vitamin C Glow Serum</t>
  </si>
  <si>
    <t>Radi Skin Vitamin C Glow Serum - 20ml</t>
  </si>
  <si>
    <t>Raecca Glow It Up Serum 20ml</t>
  </si>
  <si>
    <t>Raecca Moisturizer Jelly Centella + Lippie Serum</t>
  </si>
  <si>
    <t>Raiku -  Water Essence 30ml</t>
  </si>
  <si>
    <t>Raiku - Anti Aging Serum 30ml</t>
  </si>
  <si>
    <t>Raiku - Brightening Serum 30ml</t>
  </si>
  <si>
    <t>Raiku Anti Aging Serum</t>
  </si>
  <si>
    <t>Raiku Anti Aging Serum - (30ml)</t>
  </si>
  <si>
    <t>Raiku Anti Aging Serum - 30ml</t>
  </si>
  <si>
    <t>Raiku Antioxidant Serum</t>
  </si>
  <si>
    <t>Raiku Antioxidant Serum (2pcs)</t>
  </si>
  <si>
    <t>Raiku Antioxidant Serum Special 6 Pcs (30ml)</t>
  </si>
  <si>
    <t>Raiku Brightening Mask (3 pcs)</t>
  </si>
  <si>
    <t>Raiku Brightening Serum - 30ml</t>
  </si>
  <si>
    <t>Raiku Brightening Serum (bundle 2pcs)</t>
  </si>
  <si>
    <t>Raiku Brightening Serum Special Bundle (3 pcs)</t>
  </si>
  <si>
    <t>Raiku Brigthening Serum (30ml)</t>
  </si>
  <si>
    <t>Raiku Water Essence - 30ml</t>
  </si>
  <si>
    <t>REAL BARRIER Essence Mist</t>
  </si>
  <si>
    <t>Real Barrier</t>
  </si>
  <si>
    <t>Rexona Dry Serum Natural Whitening Fresh Sakura 50 Ml./R</t>
  </si>
  <si>
    <t>Rexona</t>
  </si>
  <si>
    <t>REXONA NAT WHITE ROSE DRY SERUM 50ML</t>
  </si>
  <si>
    <t>Hypermart Solo Hartono Authorized Store</t>
  </si>
  <si>
    <t>KAB. SUKOHARJO</t>
  </si>
  <si>
    <t>Hypermart Citra Grand Cibubur Authorized Store</t>
  </si>
  <si>
    <t>Hypermart Kemang Village Authorized Store</t>
  </si>
  <si>
    <t>Hypermart Mall Bale Kota Authorized Store</t>
  </si>
  <si>
    <t>Safi Age Defy Concentrated Serum 20 mL</t>
  </si>
  <si>
    <t>Safi Age Defy Concentrated Serum 20 Ml | Serum Pemelihara Kolagen, Pencerah &amp; Peremajaan Kulit Wajah</t>
  </si>
  <si>
    <t>Safi Age Defy Concetrated Serum 20g</t>
  </si>
  <si>
    <t>Safi Age Defy Gold Water Essence 30ml</t>
  </si>
  <si>
    <t>Wipro Unza Official Shop</t>
  </si>
  <si>
    <t>Safi Age Defy Skin Booster 75ml</t>
  </si>
  <si>
    <t>SAFI Age Defy Skin Booster 75ml</t>
  </si>
  <si>
    <t>Safi Age Defy Youth Elixir 29 gr</t>
  </si>
  <si>
    <t>SAFI Age Defy Youth Elixir 29g</t>
  </si>
  <si>
    <t>Safi Serum Age Defy Concentrated Twinpack 2 x 20 mL</t>
  </si>
  <si>
    <t>Safi Whitening Expert Ultimate Essence 20ml</t>
  </si>
  <si>
    <t>Sakura Collagen 10gr (2) Kolagen + Sodium Hyaluronate / Anti Age / Glowing Booster / Skincare</t>
  </si>
  <si>
    <t>Sakura Collagen</t>
  </si>
  <si>
    <t xml:space="preserve">Sakura Collagen Official Shop </t>
  </si>
  <si>
    <t>Sarae Glowing Serum Niacinamide with CICA Centella Asiatica - 20 ml x 2 pcs</t>
  </si>
  <si>
    <t>Sariayu Econature Nutreage Face Serum 24/15</t>
  </si>
  <si>
    <t>Sariayu</t>
  </si>
  <si>
    <t>Sariayu Martha Tilaar Official Shop</t>
  </si>
  <si>
    <t>SBC Skin Retinol Renewal Serum - 20ml</t>
  </si>
  <si>
    <t>SBC Skin Vit C 15 Skin Booster &amp; Antioxidant Serum - 20ml</t>
  </si>
  <si>
    <t>Sbcskin Vit C 15 Skin Booster And Antioxidant Serum 20ml</t>
  </si>
  <si>
    <t>SCARLETT Whitening Acne Serum</t>
  </si>
  <si>
    <t>SCARLETT Whitening Acne Serum Tea Tree Anti Jerawat 15 ml</t>
  </si>
  <si>
    <t>SCARLETT WHITENING Acne to Glow Mini Series 5ml</t>
  </si>
  <si>
    <t>SECA Bye Dark Spot Bundle (AHA + Alpha Arbutin)</t>
  </si>
  <si>
    <t>SECA Intense Hydration Bundle (HA + Ceramide)</t>
  </si>
  <si>
    <t>Secret Key Starting Treatment Essence Rose Edition - BATIK</t>
  </si>
  <si>
    <t>Seger Snow Moisturizing Serum 15ml x 2pcs | Melembabkan Wajah Hingga 8 Jam | Minyak Kemiri 30ml x 3</t>
  </si>
  <si>
    <t>SERUM DOUBLE GLOWING/SERUM JERAWAT/MENCERAHKAN / OBAT JERAWAT AMPUH / KULIT BERMINYAK</t>
  </si>
  <si>
    <t>Serum Gel Moisturizer -  BUNDLE PR KIT</t>
  </si>
  <si>
    <t>Serum Kecantikan Korea Terbaik Aish Acne Serum Penghilang Jerawat Beserta Bekasnya Mengatasi Bruntusan Dengan Cepat Tanpa Efek Samping</t>
  </si>
  <si>
    <t>Serum Wajah - Eucalie Argan Oil Anti Aging Serum - 20 mL</t>
  </si>
  <si>
    <t>Eucalie</t>
  </si>
  <si>
    <t>Serum Wajah Uriage Eau Thermal Water Serum - 30 mL</t>
  </si>
  <si>
    <t>Uriage</t>
  </si>
  <si>
    <t>Serum White 4ml  (Safe For Bumil &amp; Busui)  Promo Special (Buy 1 Get 1 Free)</t>
  </si>
  <si>
    <t>Serum White 4ml (Acne Skin)  Promo Special(Buy 1 Get 1 Free)</t>
  </si>
  <si>
    <t>Serum You Need Me Mengatasi Jerawat dan Bruntusan TERLARIS - 15 ml</t>
  </si>
  <si>
    <t>You Need Me</t>
  </si>
  <si>
    <t>Folti Baffi Official Shop</t>
  </si>
  <si>
    <t>Shiseido Future Solution LX Radiance Serum 30ml</t>
  </si>
  <si>
    <t>Shiseido New Ultimune Infusing Concentrate Serum 30 ML</t>
  </si>
  <si>
    <t>Shiseido Ultimune Power Infusing Concentrate Serum Duo Set 50ml + 50ml Refill</t>
  </si>
  <si>
    <t>Shopee Best Seller Smooto Tomato Perfect White Body Serum</t>
  </si>
  <si>
    <t>SIMPLISTIC Essence Wonder 150ml</t>
  </si>
  <si>
    <t>Simplistic</t>
  </si>
  <si>
    <t>SIMPLISTIC Simplistic Essence Wonder</t>
  </si>
  <si>
    <t>SimplySiti New Age+ Regenerating Serum</t>
  </si>
  <si>
    <t>Simplysiti</t>
  </si>
  <si>
    <t>SIMPLYSITI Official Shop</t>
  </si>
  <si>
    <t>SK II Facial Treatment Essence 230 ml</t>
  </si>
  <si>
    <t>SK II RNA Essence 50 ml</t>
  </si>
  <si>
    <t>SK-II R.N.A. Power Radical New Age Essence</t>
  </si>
  <si>
    <t>SKEYNDOR Eternal Intensive Serum</t>
  </si>
  <si>
    <t>SKEYNDOR Overnight Serum</t>
  </si>
  <si>
    <t>SKEYNDOR Power Retinol Intensive Repairing Emulsion</t>
  </si>
  <si>
    <t>SKEYNDOR Power Retinol Intensive Serum In Cream</t>
  </si>
  <si>
    <t>Skin Aqua Tone Up + Skin Aqua Moisture Milk SPF 50 PA++ (FREE POUCH SKIN AQUA)</t>
  </si>
  <si>
    <t>Skin Dewi - Helichrysum Brightening Vitamin C Treatment</t>
  </si>
  <si>
    <t>Skin Dewi</t>
  </si>
  <si>
    <t>Skin Dewi Helichrysum Brightening Vit C - 30gr</t>
  </si>
  <si>
    <t>Skin Dewi Sea Bucktorn Reviving Elixir - 30ml</t>
  </si>
  <si>
    <t>Skin Dewi Tamanu Green Serum - 30ml</t>
  </si>
  <si>
    <t>SKIN DEWI Tamanu Green Serum 30ML</t>
  </si>
  <si>
    <t>Skin Game Barricade Serum 30ml</t>
  </si>
  <si>
    <t>Skin Game Skin Barricade Serum - 30ml</t>
  </si>
  <si>
    <t>Skincare japan halal skincare Momohime White Essence</t>
  </si>
  <si>
    <t>Momohime</t>
  </si>
  <si>
    <t>Momohime Official Shop</t>
  </si>
  <si>
    <t>Skind Aesthetic Rose Drip Crystal Clear Serum &amp; Skind Aesthetic Gotu Kola Power Toner</t>
  </si>
  <si>
    <t>Skind Aesthetic Twins Gluthacell Advance Treatment Bundle</t>
  </si>
  <si>
    <t>SKINOIA Gentle Acne Care Duo (Serum + Moisturizer)</t>
  </si>
  <si>
    <t>Smooto Egg Collagen White Serum Mencerahkan</t>
  </si>
  <si>
    <t>Smooto Egg Collagen White Serum Mencerahkan Melembabkan Mengecilkan Pori</t>
  </si>
  <si>
    <t>LA Colors Official Shop</t>
  </si>
  <si>
    <t>Smooto Lemon-C Acne Plus White Serum</t>
  </si>
  <si>
    <t>Smooto Tomato Collagen White Serum - 1 Box isi 6pcs</t>
  </si>
  <si>
    <t>SNP Cicaronil SOS Ampoule</t>
  </si>
  <si>
    <t>SNP HDDN Lab Open Your Ice Serum</t>
  </si>
  <si>
    <t>SNP HDDN Lab Skin Savior Youth Essence (Nearly Expired)</t>
  </si>
  <si>
    <t>SNP LAB+ Triple Water Aqua Serum | EXPIRED DESEMBER 2021</t>
  </si>
  <si>
    <t>Snp Mini Royal Honey Essence</t>
  </si>
  <si>
    <t>Snp Mini Shea Butter Moisture Serum</t>
  </si>
  <si>
    <t>SNP PREP - Cicaronic Toning  Essence FREE FRUITS GELATO BRIGHTENING MASK</t>
  </si>
  <si>
    <t>SNP Prep Peptaronic Serum - 220ml</t>
  </si>
  <si>
    <t>SNP Prep Peptaronik Serum 220ml FREE JEJU CACTUS MASK</t>
  </si>
  <si>
    <t>So Natural Red Peel Tingle Serum</t>
  </si>
  <si>
    <t>Solcare Bundling Extra White Serum + Glowing Peeling</t>
  </si>
  <si>
    <t>Solusi Organic Renewage Face Serum - 30 ml</t>
  </si>
  <si>
    <t>Solusi Organik</t>
  </si>
  <si>
    <t>Some By Mi AHA-BHA-PHA 30 Days Miracle Serum 50ml</t>
  </si>
  <si>
    <t>Some By Mi Galactomyces Pure Vit C Glow Serum - 30ml</t>
  </si>
  <si>
    <t>Some By Mi Super Matcha Pore Tightening Serum - 50ml</t>
  </si>
  <si>
    <t>SOME BY MI Super Matcha Pore Tightening Serum 50ml</t>
  </si>
  <si>
    <t>SOMETHINC - 10% Niacinamide + Moisture Sabi Beet Max Brightening Serum</t>
  </si>
  <si>
    <t>SOMETHINC - 10% Niacinamide Barrier Serum</t>
  </si>
  <si>
    <t>SOMETHINC - 10% Niacinamide+Moisture Sabi Beet Serum</t>
  </si>
  <si>
    <t>SOMETHINC - 5% Niacinamide + Moisture Sabi Beet Serum</t>
  </si>
  <si>
    <t>SOMETHINC - 5% Niacinamide Barrier Serum</t>
  </si>
  <si>
    <t>SOMETHINC - 5% Niacinamide+Moisture Sabi Beet Serum</t>
  </si>
  <si>
    <t>SOMETHINC AHA 7%, BHA 1%, PHA 3% Weekly Peeling Solution 20ml</t>
  </si>
  <si>
    <t>SOMETHINC Anti Aging Bundle</t>
  </si>
  <si>
    <t>SOMETHINC Bakuchiol Skinpair Oil Serum</t>
  </si>
  <si>
    <t>Somethinc CRIOUSLY 24k GOLD ESSENCE - 40ml + Somethinc Bakuchiol Skinpair Serum- 20ml</t>
  </si>
  <si>
    <t>SOMETHINC HYALuronic B5 Serum - 20ml</t>
  </si>
  <si>
    <t>Somethinc Niacinamide + Moisture Beet Serum - 40ml</t>
  </si>
  <si>
    <t>SOMETHINC NIACINAMIDE + Moisture Beet Serum 40ML</t>
  </si>
  <si>
    <t>SOMETHINC Niacinamide + Moisture Beet Serum Limited Edition 20ml</t>
  </si>
  <si>
    <t>Somethinc Niacinamide + Moisture Sabi Beet Max Brightening Serum 5% / !0%</t>
  </si>
  <si>
    <t>SOMETHINC Niacinamide + Moisture Sabi Beet Serum 20ml</t>
  </si>
  <si>
    <t>SOMETHINC-CRIOUSLY 24K GOLD Essence</t>
  </si>
  <si>
    <t>SOMETHINCserum hyaluronic9 advanced b5 20ml</t>
  </si>
  <si>
    <t>SPECIAL BUNDLING - Placentor Regenerating Serum &amp; Cleansing Gel - Pembersih Wajah &amp; Serum</t>
  </si>
  <si>
    <t>SPECIAL BUNDLING - Placentor Regenerating Serum &amp; Corrective Cream - Serum &amp; Mengatasi noda pd wajah</t>
  </si>
  <si>
    <t>SPECIAL BUNDLING - Placentor Regenerating Serum &amp; Moisturizing Fluid</t>
  </si>
  <si>
    <t>SPECIAL BUNDLING - Placentor Regenerating Serum &amp; Regenerating &amp; Moisturizing Cream</t>
  </si>
  <si>
    <t>STEFSKIN Collagen + Vit C Serum</t>
  </si>
  <si>
    <t>Stefskin</t>
  </si>
  <si>
    <t>Stefskin Official Shop</t>
  </si>
  <si>
    <t>SUMMER TIME Revitalizing Serum for Normal to Dry Skin</t>
  </si>
  <si>
    <t>Summer Time</t>
  </si>
  <si>
    <t>Summer Time Official Shop</t>
  </si>
  <si>
    <t>SUMMER TIME Serum for Oily &amp; Acne-Prone Skin</t>
  </si>
  <si>
    <t>Swissvita Brightening Serum VitaBtech</t>
  </si>
  <si>
    <t>Swissvita Dark Spot Correcting Serum VitaBtech</t>
  </si>
  <si>
    <t>Swissvita Mandelic Acid Complex Serum (AHA)</t>
  </si>
  <si>
    <t>Swissvita Skin Serum VitaBtech</t>
  </si>
  <si>
    <t>TERRA BEAUTE Acne Soother Serum</t>
  </si>
  <si>
    <t>THANK YOU FARMER TRUE WATER DEEP SERUM 60 ml</t>
  </si>
  <si>
    <t>The Aubree Brightening Serum Concentrate 30ml</t>
  </si>
  <si>
    <t>The Aubree Centella Herb Serum 30 mL</t>
  </si>
  <si>
    <t>THE BATH BOX Centella Essence (Jerawat, Sensitif, Redness, Iritasi)</t>
  </si>
  <si>
    <t>THE BATH BOX Centella Facial Treatment Essence 100ml</t>
  </si>
  <si>
    <t>THE BATH BOX Delicate Dream Serum (sensistif/iritasi/bruntusan) - 30ml</t>
  </si>
  <si>
    <t>The Bath Box Galacto Facial Treatment Essence - 100ml</t>
  </si>
  <si>
    <t>THE BATH BOX Peptide Probiotic Anti Aging Facial Serum 30ml</t>
  </si>
  <si>
    <t>The Bath Box Peptide Probiotic Serum</t>
  </si>
  <si>
    <t>THE BATH BOX Rose Hydrating Serum In Jar</t>
  </si>
  <si>
    <t>The Bath Box Rose Hydrating Serum in Jar - 50gr</t>
  </si>
  <si>
    <t>The Face Serum Temulawak 20ml</t>
  </si>
  <si>
    <t>THE LAB BY BLANC DOUX Oligo Hyaluronic Acid Set (toner 200ml + cream 50ml + ampoule 30ml)</t>
  </si>
  <si>
    <t>THE LAB BY BLANC DOUX Oligo Hyaluronic Acid Sun Essence 40ml</t>
  </si>
  <si>
    <t>The Ordinary Ascorbic Acid 8% + Alpha Arbutin 2% 30ml</t>
  </si>
  <si>
    <t>The Ordinary Buffet 30ml</t>
  </si>
  <si>
    <t>The Ordinary Caffeine Solution 5% + EGCG 30ml</t>
  </si>
  <si>
    <t>The Ordinary Hyaluronic Acid 2% + B5</t>
  </si>
  <si>
    <t>The Ordinary Retinol 1% in Squalane 30ml</t>
  </si>
  <si>
    <t>The Ordinary Vit C Suspension 23%+AHA Spheres 2% 30ml</t>
  </si>
  <si>
    <t>The Ordinary Vitamin C Suspension 30% In Silicone 30ml</t>
  </si>
  <si>
    <t>The Potions Centela Asiatic Water Essence 20Ml</t>
  </si>
  <si>
    <t>The Potions Jojoba Oil Serum - 20ml</t>
  </si>
  <si>
    <t>The Potions Jojoba Oil Serum 20Ml</t>
  </si>
  <si>
    <t>THE POTIONS Sample Size Jojoba Oil Serum 1ml Individual Pack (Maksimal Checkout 3 pcs)</t>
  </si>
  <si>
    <t>The Saem Snail Essential EX Wrinkle Solution Emulsion - 150ml</t>
  </si>
  <si>
    <t>The Saem Urban Eco Harakeke Whitening Essence 55Ml</t>
  </si>
  <si>
    <t>Tomato Aloe Snail White &amp; Acne Sleep Serum Pagi Malam - Pemutih Wajah, Obat Jerawat, Memudarkan Flek</t>
  </si>
  <si>
    <t>Snail White</t>
  </si>
  <si>
    <t>Tomato Collagen White Serum Pagi Malam -  Pemutih wajah dengan kolagen wajah lebih mulus flek pudar</t>
  </si>
  <si>
    <t>Trilogy Age-Proof Nutrient Plus Firming Serum-30ml</t>
  </si>
  <si>
    <t>Trilogy Rosapane Radiance Serum 30ml - Tester For Sale</t>
  </si>
  <si>
    <t>Troiareuke Acsen Selemix Serum 50Ml</t>
  </si>
  <si>
    <t>Troiareuke Acsen Uv Protector Essence 50Ml</t>
  </si>
  <si>
    <t>Troiareuke Formula Ampoule</t>
  </si>
  <si>
    <t>True to Skin Bakuchiol Anti-Aging Serum - 20ml</t>
  </si>
  <si>
    <t>True to Skin Hyaluronic Acid Hydrating Serum - 20ml</t>
  </si>
  <si>
    <t>True to Skin Niacinamide Brightening Serum - 20ml</t>
  </si>
  <si>
    <t>TRUEVE Niacinamide 10% &amp; Ceramide Brightening Serum 30ml</t>
  </si>
  <si>
    <t>Tuesbelle - ELSHE SKIN Radiant Supple Serum - 20ml | Radiant Skin Serum - 20ml | Active Rejuvinating Night Serum (Retinol) - 20ml | Smoothing Serum For Acne Skin (New) - 20ml</t>
  </si>
  <si>
    <t>Tuesbelle - KEEP COOL Soothe Bamboo Serum - 50ml</t>
  </si>
  <si>
    <t>Tuesbelle - NPURE Cica Essence - 20ml</t>
  </si>
  <si>
    <t>Tuesbelle - PURITO Centella Green Level Buffet Serum - 60ml</t>
  </si>
  <si>
    <t>Uriage - Thermale Water Serum</t>
  </si>
  <si>
    <t>Utama Spice Balancing Face Serum 30ml</t>
  </si>
  <si>
    <t>Utama Spice Immortelle Face Serum 30ml</t>
  </si>
  <si>
    <t>Utama Spice Oily Face Serum 30ml</t>
  </si>
  <si>
    <t>Utama Spice Rosehip Oil 30 ml</t>
  </si>
  <si>
    <t>Utama Spice Sensitive Face Serum 30ml</t>
  </si>
  <si>
    <t>V Natural Whitening Serum Temulawak</t>
  </si>
  <si>
    <t>V Natural</t>
  </si>
  <si>
    <t>V Natural Whitening Serum Temulawak / Serum Wajah / Pemutih Wajah</t>
  </si>
  <si>
    <t>V Natural Whitening Serum Temulawak 20Ml\Serum Pemutih\Serum Temulawak\Whitening Serum</t>
  </si>
  <si>
    <t>Valenno Masker Papaya 80gr</t>
  </si>
  <si>
    <t>Cultusia</t>
  </si>
  <si>
    <t>Cultusia Beauty Official Shop</t>
  </si>
  <si>
    <t>Valenno Serum Anti Aging Brightening 20 ML</t>
  </si>
  <si>
    <t>Valenno</t>
  </si>
  <si>
    <t>VIENNA BEAUTY BRIGHTENING TREATMENT WATER - 30ML SACHET</t>
  </si>
  <si>
    <t>VIENNA BEAUTY FACE SERUM ACNE ELIXIR - 7ML SACHET</t>
  </si>
  <si>
    <t>VIENNA BEAUTY FACE SERUM BRIGHTENING - 7ML SACHET</t>
  </si>
  <si>
    <t>VIENNA BEAUTY FACE SERUM COLLAGEN  - 7ML SACHET</t>
  </si>
  <si>
    <t>VIENNA BEAUTY FACE SERUM COLLAGEN - 15ML BOTTLE</t>
  </si>
  <si>
    <t>VIENNA BEAUTY FACE SERUM HYALURONIC ACID - 7ML SACHET</t>
  </si>
  <si>
    <t>VIENNA BEAUTY FACE SERUM NIACINAMIDE VIT B3 - 7ML SACHET</t>
  </si>
  <si>
    <t>VIENNA BEAUTY FACE SERUM VITAMIN C - 7ML SACHET</t>
  </si>
  <si>
    <t>Votre Peau Brightening Essence 50ml</t>
  </si>
  <si>
    <t>Votre Peau Sensisoft &amp; Vitamin C Serum Bundle</t>
  </si>
  <si>
    <t>Votre Peau Vitamin C Serum (Maharis) 30ml</t>
  </si>
  <si>
    <t>Votre Peau Vitamin C Serum Pour Maharis Clinic 30ml</t>
  </si>
  <si>
    <t>Votre Peau Vitamin C Serum Pour Maharis Clinic 30ml [Biru]</t>
  </si>
  <si>
    <t>Votre Vitamin C serum (30ml)</t>
  </si>
  <si>
    <t>Votre Vitamin C serum pour Maharis clinic</t>
  </si>
  <si>
    <t>Wardah C Defense Serum 17ml (403228)</t>
  </si>
  <si>
    <t>WARDAH C-Defense Serum</t>
  </si>
  <si>
    <t>Wardah C-Defense With Vitamin C Serum 17Ml / Face Serum / Vitamin Wajah</t>
  </si>
  <si>
    <t>WARDAH Crystallure Supreme Activating Booster Essence</t>
  </si>
  <si>
    <t>Wardana</t>
  </si>
  <si>
    <t>Wardah Lightening Facial Serum 5x5 Ml (Pc(S))</t>
  </si>
  <si>
    <t>Wardah Lightening Facial Serum 5X5Ml / Face Serum / Serum Wajah / Vitamin Wajah / Skin Care Pemutih</t>
  </si>
  <si>
    <t>WARDAH Lightening Serum Ampoule</t>
  </si>
  <si>
    <t>Wardah Nature Daily Witch Hazel Purifying Serum, 5x5 ml</t>
  </si>
  <si>
    <t>WARDAH RENEW A.AGING SERUM 17ML (321617)</t>
  </si>
  <si>
    <t>Wardah Renew You Anti Aging Intensive Serum</t>
  </si>
  <si>
    <t>Wardah Renew You Anti Aging Intensive Serum 17Ml\Serum Wajah\Anti Aging\Kulit Wajah</t>
  </si>
  <si>
    <t>Wardah Renew You Anti Aging Treatment Essence 100 ML</t>
  </si>
  <si>
    <t>Wardah Renew You Anti Anging Intensive Serum 17Ml</t>
  </si>
  <si>
    <t>Wardah Renew You Treatment Essence 100ml</t>
  </si>
  <si>
    <t>Wardah Renew You Treatment Essence 100Ml</t>
  </si>
  <si>
    <t>WARDAH Renew You Treatment Essence 50 ml dan 100 ml</t>
  </si>
  <si>
    <t>Wardah White Secret Intense Brightening Essence 17ml</t>
  </si>
  <si>
    <t>Wardah White Secret Intense Brightening Essense</t>
  </si>
  <si>
    <t>Wardah White Secret Pure Treatment Essence (408126)</t>
  </si>
  <si>
    <t>WARDAH White Secret Pure Treatment Essence 100Ml</t>
  </si>
  <si>
    <t>Wardah White Secret Pure Treatment Essence 50Ml</t>
  </si>
  <si>
    <t>WARDAH White Secret Pure Treatment Essence 50ml</t>
  </si>
  <si>
    <t>Wardah White Secret Pure Treatment Essence 50ml (421310)</t>
  </si>
  <si>
    <t>Westcare Bounce &amp; Glow Serum - 30ml</t>
  </si>
  <si>
    <t>WESTCARE Bounce and Glow Serum</t>
  </si>
  <si>
    <t>White Esther Temulawak Whitening Face Serumoriginal Face Serum Temulawak / White Esther 20Ml</t>
  </si>
  <si>
    <t>Whitesther</t>
  </si>
  <si>
    <t>White Secret Intense Brightening Twin Pack</t>
  </si>
  <si>
    <t>White Story Acne Soothing Serum (Bundling 5)</t>
  </si>
  <si>
    <t>WHITELAB ACNE SERUM</t>
  </si>
  <si>
    <t>Whitelab Brightening Body Serum + Brightening Face Serum</t>
  </si>
  <si>
    <t>Whitelab Brightening Face Serum + Hydrating Face Essence</t>
  </si>
  <si>
    <t>Whitelab Brightening Night Cream +  Brightening Face Serum</t>
  </si>
  <si>
    <t>Whitelab Granactive Retinoid Intensive Care Serum - 15ml</t>
  </si>
  <si>
    <t>Whitelab Underarm Cream + Brightening Face Serum</t>
  </si>
  <si>
    <t>Whitening Gold Serum By Ms Glow Beauty 100% Original Mencerahkan Kulit &amp; Mengatasi Flek Hitam Ampuh</t>
  </si>
  <si>
    <t>Whitening Serum Glowing Mellydia BPOM Resmi Bersertifikasi Halal Original</t>
  </si>
  <si>
    <t>Whitesther Special Whitening Serum 20 Ml/White Esther/Ester</t>
  </si>
  <si>
    <t>YOU Golden Age Refining Skin Renewal Activator Serum 20ml</t>
  </si>
  <si>
    <t>YOU The Radiance White Nourishing + Serum 20ml | GLAMFIX by Y.O.U Beauty</t>
  </si>
  <si>
    <t>Glamfix Official Shop</t>
  </si>
  <si>
    <t>Youthderma Intense Brightening Serum</t>
  </si>
  <si>
    <t>Youthderma</t>
  </si>
  <si>
    <t>Youthderma Aesthetic Clinic Official Shop</t>
  </si>
  <si>
    <t>YUJA BRIGHTENING NIGHT SERUM + 100% NIACINAMIDE</t>
  </si>
  <si>
    <t>Yves Rocher Lifting Night Care 50 ml</t>
  </si>
  <si>
    <t>Yves Rocher Repair Anti Breakage Serum 100 ml</t>
  </si>
  <si>
    <t>Yves Rocher White Botanical Youth Essence 30 ml</t>
  </si>
  <si>
    <t>Zalfa Natural Crystal Youth Antiaging Ampoule 30 ml</t>
  </si>
  <si>
    <t>Zalfa Natural Dewy Glow Essence Treatment Collagen Infusion 60 ml</t>
  </si>
  <si>
    <t>Zalfa Natural</t>
  </si>
  <si>
    <t>Zalfa Natural Lightening Concentrate Intensive Serum 30 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</si>
</sst>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p]#,##0"/>
  </numFmts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u/>
      <color rgb="FF0000FF"/>
    </font>
    <font>
      <u/>
      <color rgb="FF1155CC"/>
      <name val="Arial"/>
    </font>
    <font>
      <sz val="11.0"/>
      <color theme="1"/>
      <name val="Inconsolata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49" xfId="0" applyAlignment="1" applyFont="1" applyNumberFormat="1">
      <alignment vertical="bottom"/>
    </xf>
    <xf borderId="0" fillId="0" fontId="1" numFmtId="164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4" numFmtId="0" xfId="0" applyFont="1"/>
    <xf borderId="0" fillId="0" fontId="2" numFmtId="49" xfId="0" applyAlignment="1" applyFont="1" applyNumberFormat="1">
      <alignment vertical="bottom"/>
    </xf>
    <xf borderId="0" fillId="0" fontId="2" numFmtId="164" xfId="0" applyAlignment="1" applyFont="1" applyNumberFormat="1">
      <alignment horizontal="right" vertical="bottom"/>
    </xf>
    <xf quotePrefix="1" borderId="0" fillId="0" fontId="3" numFmtId="0" xfId="0" applyFont="1"/>
    <xf borderId="0" fillId="0" fontId="2" numFmtId="0" xfId="0" applyAlignment="1" applyFont="1">
      <alignment horizontal="center" vertical="bottom"/>
    </xf>
    <xf borderId="0" fillId="0" fontId="1" numFmtId="4" xfId="0" applyAlignment="1" applyFont="1" applyNumberFormat="1">
      <alignment vertical="bottom"/>
    </xf>
    <xf borderId="0" fillId="0" fontId="5" numFmtId="0" xfId="0" applyAlignment="1" applyFont="1">
      <alignment vertical="bottom"/>
    </xf>
    <xf borderId="0" fillId="0" fontId="2" numFmtId="4" xfId="0" applyAlignment="1" applyFont="1" applyNumberFormat="1">
      <alignment vertical="bottom"/>
    </xf>
    <xf borderId="0" fillId="0" fontId="6" numFmtId="4" xfId="0" applyAlignment="1" applyFont="1" applyNumberFormat="1">
      <alignment vertical="bottom"/>
    </xf>
    <xf borderId="0" fillId="0" fontId="2" numFmtId="4" xfId="0" applyAlignment="1" applyFont="1" applyNumberFormat="1">
      <alignment horizontal="right" vertical="bottom"/>
    </xf>
    <xf quotePrefix="1" borderId="0" fillId="0" fontId="2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1" max="1" width="58.5"/>
    <col customWidth="1" min="2" max="2" width="27.63"/>
    <col customWidth="1" min="3" max="3" width="14.25"/>
    <col customWidth="1" min="4" max="4" width="28.13"/>
    <col customWidth="1" min="5" max="5" width="13.5"/>
    <col customWidth="1" min="6" max="6" width="21.0"/>
    <col customWidth="1" min="7" max="7" width="25.0"/>
    <col customWidth="1" min="8" max="8" width="17.13"/>
    <col customWidth="1" min="9" max="9" width="18.8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6" t="s">
        <v>9</v>
      </c>
      <c r="B2" s="7" t="str">
        <f>HYPERLINK("https://shopee.co.id/Bening-s-Diamond-Serum-Serum-Super-Whitening-i.190390143.4524100696", "https://shopee.co.id/Bening-s-Diamond-Serum-Serum-Super-Whitening-i.190390143.4524100696")</f>
        <v>https://shopee.co.id/Bening-s-Diamond-Serum-Serum-Super-Whitening-i.190390143.4524100696</v>
      </c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8" t="s">
        <v>15</v>
      </c>
      <c r="I2" s="9">
        <v>8.30192E9</v>
      </c>
      <c r="J2" s="5" t="str">
        <f t="shared" ref="J2:K2" si="1">SUBSTITUTE(H2, ",", "")</f>
        <v>20805</v>
      </c>
      <c r="K2" s="5" t="str">
        <f t="shared" si="1"/>
        <v>Rp8301920000</v>
      </c>
      <c r="L2" s="5" t="str">
        <f t="shared" ref="L2:L3693" si="3">SUBSTITUTE(K2, "Rp", "")</f>
        <v>8301920000</v>
      </c>
    </row>
    <row r="3">
      <c r="A3" s="6" t="s">
        <v>16</v>
      </c>
      <c r="B3" s="7" t="str">
        <f>HYPERLINK("https://shopee.co.id/Bening-s-Skin-Regeneration-Serum-Serum-Scar-Bopeng-i.190390143.6472484436", "https://shopee.co.id/Bening-s-Skin-Regeneration-Serum-Serum-Scar-Bopeng-i.190390143.6472484436")</f>
        <v>https://shopee.co.id/Bening-s-Skin-Regeneration-Serum-Serum-Scar-Bopeng-i.190390143.6472484436</v>
      </c>
      <c r="C3" s="6" t="s">
        <v>10</v>
      </c>
      <c r="D3" s="6" t="s">
        <v>11</v>
      </c>
      <c r="E3" s="6" t="s">
        <v>12</v>
      </c>
      <c r="F3" s="6" t="s">
        <v>13</v>
      </c>
      <c r="G3" s="6" t="s">
        <v>14</v>
      </c>
      <c r="H3" s="8" t="s">
        <v>17</v>
      </c>
      <c r="I3" s="9">
        <v>1.48212E9</v>
      </c>
      <c r="J3" s="5" t="str">
        <f t="shared" ref="J3:K3" si="2">SUBSTITUTE(H3, ",", "")</f>
        <v>20307</v>
      </c>
      <c r="K3" s="5" t="str">
        <f t="shared" si="2"/>
        <v>Rp1482120000</v>
      </c>
      <c r="L3" s="5" t="str">
        <f t="shared" si="3"/>
        <v>1482120000</v>
      </c>
    </row>
    <row r="4">
      <c r="A4" s="6" t="s">
        <v>18</v>
      </c>
      <c r="B4" s="7" t="str">
        <f>HYPERLINK("https://shopee.co.id/Scarlett-Whitening-Mini-Size-Glowtening-Serum-i.255365082.11816839383", "https://shopee.co.id/Scarlett-Whitening-Mini-Size-Glowtening-Serum-i.255365082.11816839383")</f>
        <v>https://shopee.co.id/Scarlett-Whitening-Mini-Size-Glowtening-Serum-i.255365082.11816839383</v>
      </c>
      <c r="C4" s="6" t="s">
        <v>19</v>
      </c>
      <c r="D4" s="6" t="s">
        <v>20</v>
      </c>
      <c r="E4" s="6" t="s">
        <v>12</v>
      </c>
      <c r="F4" s="6" t="s">
        <v>13</v>
      </c>
      <c r="G4" s="6" t="s">
        <v>21</v>
      </c>
      <c r="H4" s="8" t="s">
        <v>22</v>
      </c>
      <c r="I4" s="9">
        <v>5.054025E9</v>
      </c>
      <c r="J4" s="5" t="str">
        <f t="shared" ref="J4:K4" si="4">SUBSTITUTE(H4, ",", "")</f>
        <v>20231</v>
      </c>
      <c r="K4" s="5" t="str">
        <f t="shared" si="4"/>
        <v>Rp5054025000</v>
      </c>
      <c r="L4" s="5" t="str">
        <f t="shared" si="3"/>
        <v>5054025000</v>
      </c>
    </row>
    <row r="5">
      <c r="A5" s="6" t="s">
        <v>23</v>
      </c>
      <c r="B5" s="7" t="str">
        <f>HYPERLINK("https://shopee.co.id/Scarlett-Whitening-Paket-5-Item-Brightly-Series-i.255365082.9580744896", "https://shopee.co.id/Scarlett-Whitening-Paket-5-Item-Brightly-Series-i.255365082.9580744896")</f>
        <v>https://shopee.co.id/Scarlett-Whitening-Paket-5-Item-Brightly-Series-i.255365082.9580744896</v>
      </c>
      <c r="C5" s="6" t="s">
        <v>19</v>
      </c>
      <c r="D5" s="6" t="s">
        <v>20</v>
      </c>
      <c r="E5" s="6" t="s">
        <v>12</v>
      </c>
      <c r="F5" s="6" t="s">
        <v>13</v>
      </c>
      <c r="G5" s="6" t="s">
        <v>21</v>
      </c>
      <c r="H5" s="8" t="s">
        <v>24</v>
      </c>
      <c r="I5" s="9">
        <v>1.215165E9</v>
      </c>
      <c r="J5" s="5" t="str">
        <f t="shared" ref="J5:K5" si="5">SUBSTITUTE(H5, ",", "")</f>
        <v>16623</v>
      </c>
      <c r="K5" s="5" t="str">
        <f t="shared" si="5"/>
        <v>Rp1215165000</v>
      </c>
      <c r="L5" s="5" t="str">
        <f t="shared" si="3"/>
        <v>1215165000</v>
      </c>
    </row>
    <row r="6">
      <c r="A6" s="6" t="s">
        <v>25</v>
      </c>
      <c r="B6" s="7" t="str">
        <f>HYPERLINK("https://shopee.co.id/Scarlett-Whitening-Brightly-Your-Skin-Special-Package-i.255365082.10629973842", "https://shopee.co.id/Scarlett-Whitening-Brightly-Your-Skin-Special-Package-i.255365082.10629973842")</f>
        <v>https://shopee.co.id/Scarlett-Whitening-Brightly-Your-Skin-Special-Package-i.255365082.10629973842</v>
      </c>
      <c r="C6" s="6" t="s">
        <v>19</v>
      </c>
      <c r="D6" s="6" t="s">
        <v>20</v>
      </c>
      <c r="E6" s="6" t="s">
        <v>12</v>
      </c>
      <c r="F6" s="6" t="s">
        <v>13</v>
      </c>
      <c r="G6" s="6" t="s">
        <v>21</v>
      </c>
      <c r="H6" s="8" t="s">
        <v>26</v>
      </c>
      <c r="I6" s="9">
        <v>1.276438E9</v>
      </c>
      <c r="J6" s="5" t="str">
        <f t="shared" ref="J6:K6" si="6">SUBSTITUTE(H6, ",", "")</f>
        <v>14342</v>
      </c>
      <c r="K6" s="5" t="str">
        <f t="shared" si="6"/>
        <v>Rp1276438000</v>
      </c>
      <c r="L6" s="5" t="str">
        <f t="shared" si="3"/>
        <v>1276438000</v>
      </c>
    </row>
    <row r="7">
      <c r="A7" s="6" t="s">
        <v>27</v>
      </c>
      <c r="B7" s="7" t="str">
        <f>HYPERLINK("https://shopee.co.id/Scarlett-Whitening-Acne-Care-Special-Package-i.255365082.8990097049", "https://shopee.co.id/Scarlett-Whitening-Acne-Care-Special-Package-i.255365082.8990097049")</f>
        <v>https://shopee.co.id/Scarlett-Whitening-Acne-Care-Special-Package-i.255365082.8990097049</v>
      </c>
      <c r="C7" s="6" t="s">
        <v>19</v>
      </c>
      <c r="D7" s="6" t="s">
        <v>20</v>
      </c>
      <c r="E7" s="6" t="s">
        <v>12</v>
      </c>
      <c r="F7" s="6" t="s">
        <v>13</v>
      </c>
      <c r="G7" s="6" t="s">
        <v>21</v>
      </c>
      <c r="H7" s="8" t="s">
        <v>28</v>
      </c>
      <c r="I7" s="9">
        <v>9.60015E8</v>
      </c>
      <c r="J7" s="5" t="str">
        <f t="shared" ref="J7:K7" si="7">SUBSTITUTE(H7, ",", "")</f>
        <v>13173</v>
      </c>
      <c r="K7" s="5" t="str">
        <f t="shared" si="7"/>
        <v>Rp960015000</v>
      </c>
      <c r="L7" s="5" t="str">
        <f t="shared" si="3"/>
        <v>960015000</v>
      </c>
    </row>
    <row r="8">
      <c r="A8" s="6" t="s">
        <v>29</v>
      </c>
      <c r="B8" s="7" t="str">
        <f>HYPERLINK("https://shopee.co.id/Scarlett-Whitening-Brightly-Care-Package-i.255365082.8945925545", "https://shopee.co.id/Scarlett-Whitening-Brightly-Care-Package-i.255365082.8945925545")</f>
        <v>https://shopee.co.id/Scarlett-Whitening-Brightly-Care-Package-i.255365082.8945925545</v>
      </c>
      <c r="C8" s="6" t="s">
        <v>19</v>
      </c>
      <c r="D8" s="6" t="s">
        <v>20</v>
      </c>
      <c r="E8" s="6" t="s">
        <v>12</v>
      </c>
      <c r="F8" s="6" t="s">
        <v>13</v>
      </c>
      <c r="G8" s="6" t="s">
        <v>21</v>
      </c>
      <c r="H8" s="8" t="s">
        <v>30</v>
      </c>
      <c r="I8" s="9">
        <v>4.57765E8</v>
      </c>
      <c r="J8" s="5" t="str">
        <f t="shared" ref="J8:K8" si="8">SUBSTITUTE(H8, ",", "")</f>
        <v>13079</v>
      </c>
      <c r="K8" s="5" t="str">
        <f t="shared" si="8"/>
        <v>Rp457765000</v>
      </c>
      <c r="L8" s="5" t="str">
        <f t="shared" si="3"/>
        <v>457765000</v>
      </c>
    </row>
    <row r="9">
      <c r="A9" s="6" t="s">
        <v>31</v>
      </c>
      <c r="B9" s="7" t="str">
        <f>HYPERLINK("https://shopee.co.id/Scarlett-Whitening-Acne-Care-Package-i.255365082.9945926268", "https://shopee.co.id/Scarlett-Whitening-Acne-Care-Package-i.255365082.9945926268")</f>
        <v>https://shopee.co.id/Scarlett-Whitening-Acne-Care-Package-i.255365082.9945926268</v>
      </c>
      <c r="C9" s="6" t="s">
        <v>19</v>
      </c>
      <c r="D9" s="6" t="s">
        <v>20</v>
      </c>
      <c r="E9" s="6" t="s">
        <v>12</v>
      </c>
      <c r="F9" s="6" t="s">
        <v>13</v>
      </c>
      <c r="G9" s="6" t="s">
        <v>21</v>
      </c>
      <c r="H9" s="8" t="s">
        <v>32</v>
      </c>
      <c r="I9" s="9">
        <v>9.88288042E8</v>
      </c>
      <c r="J9" s="5" t="str">
        <f t="shared" ref="J9:K9" si="9">SUBSTITUTE(H9, ",", "")</f>
        <v>12651</v>
      </c>
      <c r="K9" s="5" t="str">
        <f t="shared" si="9"/>
        <v>Rp988288042</v>
      </c>
      <c r="L9" s="5" t="str">
        <f t="shared" si="3"/>
        <v>988288042</v>
      </c>
    </row>
    <row r="10">
      <c r="A10" s="6" t="s">
        <v>33</v>
      </c>
      <c r="B10" s="7" t="str">
        <f>HYPERLINK("https://shopee.co.id/TRUEVE-NIACINAMIDE-10-CERAMIDE-Brightening-Serum-30-ML-Serum-Wajah-i.310417610.5969149049", "https://shopee.co.id/TRUEVE-NIACINAMIDE-10-CERAMIDE-Brightening-Serum-30-ML-Serum-Wajah-i.310417610.5969149049")</f>
        <v>https://shopee.co.id/TRUEVE-NIACINAMIDE-10-CERAMIDE-Brightening-Serum-30-ML-Serum-Wajah-i.310417610.5969149049</v>
      </c>
      <c r="C10" s="6" t="s">
        <v>34</v>
      </c>
      <c r="D10" s="6" t="s">
        <v>35</v>
      </c>
      <c r="E10" s="6" t="s">
        <v>12</v>
      </c>
      <c r="F10" s="6" t="s">
        <v>13</v>
      </c>
      <c r="G10" s="6" t="s">
        <v>36</v>
      </c>
      <c r="H10" s="8" t="s">
        <v>37</v>
      </c>
      <c r="I10" s="9">
        <v>1.731861E8</v>
      </c>
      <c r="J10" s="5" t="str">
        <f t="shared" ref="J10:K10" si="10">SUBSTITUTE(H10, ",", "")</f>
        <v>11035</v>
      </c>
      <c r="K10" s="5" t="str">
        <f t="shared" si="10"/>
        <v>Rp173186100</v>
      </c>
      <c r="L10" s="5" t="str">
        <f t="shared" si="3"/>
        <v>173186100</v>
      </c>
    </row>
    <row r="11">
      <c r="A11" s="6" t="s">
        <v>38</v>
      </c>
      <c r="B11" s="7" t="str">
        <f>HYPERLINK("https://shopee.co.id/Scarlett-Whitening-Paket-5-Item-Acne-Series-i.255365082.10019992582", "https://shopee.co.id/Scarlett-Whitening-Paket-5-Item-Acne-Series-i.255365082.10019992582")</f>
        <v>https://shopee.co.id/Scarlett-Whitening-Paket-5-Item-Acne-Series-i.255365082.10019992582</v>
      </c>
      <c r="C11" s="6" t="s">
        <v>19</v>
      </c>
      <c r="D11" s="6" t="s">
        <v>20</v>
      </c>
      <c r="E11" s="6" t="s">
        <v>12</v>
      </c>
      <c r="F11" s="6" t="s">
        <v>13</v>
      </c>
      <c r="G11" s="6" t="s">
        <v>21</v>
      </c>
      <c r="H11" s="8" t="s">
        <v>39</v>
      </c>
      <c r="I11" s="9">
        <v>1.5396045E9</v>
      </c>
      <c r="J11" s="5" t="str">
        <f t="shared" ref="J11:K11" si="11">SUBSTITUTE(H11, ",", "")</f>
        <v>10745</v>
      </c>
      <c r="K11" s="5" t="str">
        <f t="shared" si="11"/>
        <v>Rp1539604500</v>
      </c>
      <c r="L11" s="5" t="str">
        <f t="shared" si="3"/>
        <v>1539604500</v>
      </c>
    </row>
    <row r="12">
      <c r="A12" s="6" t="s">
        <v>40</v>
      </c>
      <c r="B12" s="7" t="str">
        <f>HYPERLINK("https://shopee.co.id/Scarlett-Whitening-Acne-Serum-i.255365082.7640346064", "https://shopee.co.id/Scarlett-Whitening-Acne-Serum-i.255365082.7640346064")</f>
        <v>https://shopee.co.id/Scarlett-Whitening-Acne-Serum-i.255365082.7640346064</v>
      </c>
      <c r="C12" s="6" t="s">
        <v>19</v>
      </c>
      <c r="D12" s="6" t="s">
        <v>20</v>
      </c>
      <c r="E12" s="6" t="s">
        <v>12</v>
      </c>
      <c r="F12" s="6" t="s">
        <v>13</v>
      </c>
      <c r="G12" s="6" t="s">
        <v>21</v>
      </c>
      <c r="H12" s="8" t="s">
        <v>41</v>
      </c>
      <c r="I12" s="9">
        <v>1.181103E9</v>
      </c>
      <c r="J12" s="5" t="str">
        <f t="shared" ref="J12:K12" si="12">SUBSTITUTE(H12, ",", "")</f>
        <v>10226</v>
      </c>
      <c r="K12" s="5" t="str">
        <f t="shared" si="12"/>
        <v>Rp1181103000</v>
      </c>
      <c r="L12" s="5" t="str">
        <f t="shared" si="3"/>
        <v>1181103000</v>
      </c>
    </row>
    <row r="13">
      <c r="A13" s="6" t="s">
        <v>42</v>
      </c>
      <c r="B13" s="7" t="str">
        <f>HYPERLINK("https://shopee.co.id/Scarlett-Whitening-Triple-Combo-Brightly-Facial-Care-i.255365082.4186697684", "https://shopee.co.id/Scarlett-Whitening-Triple-Combo-Brightly-Facial-Care-i.255365082.4186697684")</f>
        <v>https://shopee.co.id/Scarlett-Whitening-Triple-Combo-Brightly-Facial-Care-i.255365082.4186697684</v>
      </c>
      <c r="C13" s="6" t="s">
        <v>19</v>
      </c>
      <c r="D13" s="6" t="s">
        <v>20</v>
      </c>
      <c r="E13" s="6" t="s">
        <v>12</v>
      </c>
      <c r="F13" s="6" t="s">
        <v>13</v>
      </c>
      <c r="G13" s="6" t="s">
        <v>21</v>
      </c>
      <c r="H13" s="8" t="s">
        <v>43</v>
      </c>
      <c r="I13" s="9">
        <v>2.70346E9</v>
      </c>
      <c r="J13" s="5" t="str">
        <f t="shared" ref="J13:K13" si="13">SUBSTITUTE(H13, ",", "")</f>
        <v>9065</v>
      </c>
      <c r="K13" s="5" t="str">
        <f t="shared" si="13"/>
        <v>Rp2703460000</v>
      </c>
      <c r="L13" s="5" t="str">
        <f t="shared" si="3"/>
        <v>2703460000</v>
      </c>
    </row>
    <row r="14">
      <c r="A14" s="6" t="s">
        <v>44</v>
      </c>
      <c r="B14" s="7" t="str">
        <f>HYPERLINK("https://shopee.co.id/SOMETHINC-5-Niacinamide-Moisture-Sabi-Beet-Serum-i.195455930.8910652148", "https://shopee.co.id/SOMETHINC-5-Niacinamide-Moisture-Sabi-Beet-Serum-i.195455930.8910652148")</f>
        <v>https://shopee.co.id/SOMETHINC-5-Niacinamide-Moisture-Sabi-Beet-Serum-i.195455930.8910652148</v>
      </c>
      <c r="C14" s="6" t="s">
        <v>45</v>
      </c>
      <c r="D14" s="6" t="s">
        <v>46</v>
      </c>
      <c r="E14" s="6" t="s">
        <v>12</v>
      </c>
      <c r="F14" s="6" t="s">
        <v>13</v>
      </c>
      <c r="G14" s="6" t="s">
        <v>21</v>
      </c>
      <c r="H14" s="8" t="s">
        <v>47</v>
      </c>
      <c r="I14" s="9">
        <v>2.39405E9</v>
      </c>
      <c r="J14" s="5" t="str">
        <f t="shared" ref="J14:K14" si="14">SUBSTITUTE(H14, ",", "")</f>
        <v>8085</v>
      </c>
      <c r="K14" s="5" t="str">
        <f t="shared" si="14"/>
        <v>Rp2394050000</v>
      </c>
      <c r="L14" s="5" t="str">
        <f t="shared" si="3"/>
        <v>2394050000</v>
      </c>
    </row>
    <row r="15">
      <c r="A15" s="6" t="s">
        <v>48</v>
      </c>
      <c r="B15" s="7" t="str">
        <f>HYPERLINK("https://shopee.co.id/Scarlett-Whitening-Triple-Combo-Acne-Facial-Care-i.255365082.9045921799", "https://shopee.co.id/Scarlett-Whitening-Triple-Combo-Acne-Facial-Care-i.255365082.9045921799")</f>
        <v>https://shopee.co.id/Scarlett-Whitening-Triple-Combo-Acne-Facial-Care-i.255365082.9045921799</v>
      </c>
      <c r="C15" s="6" t="s">
        <v>19</v>
      </c>
      <c r="D15" s="6" t="s">
        <v>20</v>
      </c>
      <c r="E15" s="6" t="s">
        <v>12</v>
      </c>
      <c r="F15" s="6" t="s">
        <v>13</v>
      </c>
      <c r="G15" s="6" t="s">
        <v>21</v>
      </c>
      <c r="H15" s="8" t="s">
        <v>49</v>
      </c>
      <c r="I15" s="9">
        <v>2.00909E9</v>
      </c>
      <c r="J15" s="5" t="str">
        <f t="shared" ref="J15:K15" si="15">SUBSTITUTE(H15, ",", "")</f>
        <v>8074</v>
      </c>
      <c r="K15" s="5" t="str">
        <f t="shared" si="15"/>
        <v>Rp2009090000</v>
      </c>
      <c r="L15" s="5" t="str">
        <f t="shared" si="3"/>
        <v>2009090000</v>
      </c>
    </row>
    <row r="16">
      <c r="A16" s="6" t="s">
        <v>50</v>
      </c>
      <c r="B16" s="7" t="str">
        <f>HYPERLINK("https://shopee.co.id/Scarlett-Whitening-Glowtening-Serum-i.255365082.3059551066", "https://shopee.co.id/Scarlett-Whitening-Glowtening-Serum-i.255365082.3059551066")</f>
        <v>https://shopee.co.id/Scarlett-Whitening-Glowtening-Serum-i.255365082.3059551066</v>
      </c>
      <c r="C16" s="6" t="s">
        <v>19</v>
      </c>
      <c r="D16" s="6" t="s">
        <v>20</v>
      </c>
      <c r="E16" s="6" t="s">
        <v>12</v>
      </c>
      <c r="F16" s="6" t="s">
        <v>13</v>
      </c>
      <c r="G16" s="6" t="s">
        <v>21</v>
      </c>
      <c r="H16" s="8" t="s">
        <v>51</v>
      </c>
      <c r="I16" s="9">
        <v>1.76458E9</v>
      </c>
      <c r="J16" s="5" t="str">
        <f t="shared" ref="J16:K16" si="16">SUBSTITUTE(H16, ",", "")</f>
        <v>7093</v>
      </c>
      <c r="K16" s="5" t="str">
        <f t="shared" si="16"/>
        <v>Rp1764580000</v>
      </c>
      <c r="L16" s="5" t="str">
        <f t="shared" si="3"/>
        <v>1764580000</v>
      </c>
    </row>
    <row r="17">
      <c r="A17" s="6" t="s">
        <v>52</v>
      </c>
      <c r="B17" s="7" t="str">
        <f>HYPERLINK("https://shopee.co.id/SOMETHINC-10-Niacinamide-Moisture-Sabi-Beet-Max-Brightening-Serum-i.195455930.7777018058", "https://shopee.co.id/SOMETHINC-10-Niacinamide-Moisture-Sabi-Beet-Max-Brightening-Serum-i.195455930.7777018058")</f>
        <v>https://shopee.co.id/SOMETHINC-10-Niacinamide-Moisture-Sabi-Beet-Max-Brightening-Serum-i.195455930.7777018058</v>
      </c>
      <c r="C17" s="6" t="s">
        <v>45</v>
      </c>
      <c r="D17" s="6" t="s">
        <v>46</v>
      </c>
      <c r="E17" s="6" t="s">
        <v>12</v>
      </c>
      <c r="F17" s="6" t="s">
        <v>13</v>
      </c>
      <c r="G17" s="6" t="s">
        <v>21</v>
      </c>
      <c r="H17" s="8" t="s">
        <v>53</v>
      </c>
      <c r="I17" s="9">
        <v>1.36644E9</v>
      </c>
      <c r="J17" s="5" t="str">
        <f t="shared" ref="J17:K17" si="17">SUBSTITUTE(H17, ",", "")</f>
        <v>7044</v>
      </c>
      <c r="K17" s="5" t="str">
        <f t="shared" si="17"/>
        <v>Rp1366440000</v>
      </c>
      <c r="L17" s="5" t="str">
        <f t="shared" si="3"/>
        <v>1366440000</v>
      </c>
    </row>
    <row r="18">
      <c r="A18" s="6" t="s">
        <v>54</v>
      </c>
      <c r="B18" s="7" t="str">
        <f>HYPERLINK("https://shopee.co.id/White-Story-Paket-Wajah-Brightening-Serum-i.405973920.11508987621", "https://shopee.co.id/White-Story-Paket-Wajah-Brightening-Serum-i.405973920.11508987621")</f>
        <v>https://shopee.co.id/White-Story-Paket-Wajah-Brightening-Serum-i.405973920.11508987621</v>
      </c>
      <c r="C18" s="6" t="s">
        <v>55</v>
      </c>
      <c r="D18" s="6" t="s">
        <v>56</v>
      </c>
      <c r="E18" s="6" t="s">
        <v>12</v>
      </c>
      <c r="F18" s="6" t="s">
        <v>13</v>
      </c>
      <c r="G18" s="6" t="s">
        <v>36</v>
      </c>
      <c r="H18" s="8" t="s">
        <v>57</v>
      </c>
      <c r="I18" s="9">
        <v>2.01744E9</v>
      </c>
      <c r="J18" s="5" t="str">
        <f t="shared" ref="J18:K18" si="18">SUBSTITUTE(H18, ",", "")</f>
        <v>6799</v>
      </c>
      <c r="K18" s="5" t="str">
        <f t="shared" si="18"/>
        <v>Rp2017440000</v>
      </c>
      <c r="L18" s="5" t="str">
        <f t="shared" si="3"/>
        <v>2017440000</v>
      </c>
    </row>
    <row r="19">
      <c r="A19" s="6" t="s">
        <v>58</v>
      </c>
      <c r="B19" s="7" t="str">
        <f>HYPERLINK("https://shopee.co.id/Whitelab-Brightening-Face-Serum-i.201071840.5711696002", "https://shopee.co.id/Whitelab-Brightening-Face-Serum-i.201071840.5711696002")</f>
        <v>https://shopee.co.id/Whitelab-Brightening-Face-Serum-i.201071840.5711696002</v>
      </c>
      <c r="C19" s="6" t="s">
        <v>59</v>
      </c>
      <c r="D19" s="6" t="s">
        <v>60</v>
      </c>
      <c r="E19" s="6" t="s">
        <v>12</v>
      </c>
      <c r="F19" s="6" t="s">
        <v>13</v>
      </c>
      <c r="G19" s="6" t="s">
        <v>61</v>
      </c>
      <c r="H19" s="8" t="s">
        <v>62</v>
      </c>
      <c r="I19" s="9">
        <v>7.936795E8</v>
      </c>
      <c r="J19" s="5" t="str">
        <f t="shared" ref="J19:K19" si="19">SUBSTITUTE(H19, ",", "")</f>
        <v>6743</v>
      </c>
      <c r="K19" s="5" t="str">
        <f t="shared" si="19"/>
        <v>Rp793679500</v>
      </c>
      <c r="L19" s="5" t="str">
        <f t="shared" si="3"/>
        <v>793679500</v>
      </c>
    </row>
    <row r="20">
      <c r="A20" s="6" t="s">
        <v>63</v>
      </c>
      <c r="B20" s="7" t="str">
        <f>HYPERLINK("https://shopee.co.id/Scarlett-Whitening-Brightly-Ever-After-Serum-i.255365082.6140350826", "https://shopee.co.id/Scarlett-Whitening-Brightly-Ever-After-Serum-i.255365082.6140350826")</f>
        <v>https://shopee.co.id/Scarlett-Whitening-Brightly-Ever-After-Serum-i.255365082.6140350826</v>
      </c>
      <c r="C20" s="6" t="s">
        <v>19</v>
      </c>
      <c r="D20" s="6" t="s">
        <v>20</v>
      </c>
      <c r="E20" s="6" t="s">
        <v>12</v>
      </c>
      <c r="F20" s="6" t="s">
        <v>13</v>
      </c>
      <c r="G20" s="6" t="s">
        <v>21</v>
      </c>
      <c r="H20" s="8" t="s">
        <v>64</v>
      </c>
      <c r="I20" s="9">
        <v>1.26976875E9</v>
      </c>
      <c r="J20" s="5" t="str">
        <f t="shared" ref="J20:K20" si="20">SUBSTITUTE(H20, ",", "")</f>
        <v>6549</v>
      </c>
      <c r="K20" s="5" t="str">
        <f t="shared" si="20"/>
        <v>Rp1269768750</v>
      </c>
      <c r="L20" s="5" t="str">
        <f t="shared" si="3"/>
        <v>1269768750</v>
      </c>
    </row>
    <row r="21">
      <c r="A21" s="6" t="s">
        <v>65</v>
      </c>
      <c r="B21" s="7" t="str">
        <f>HYPERLINK("https://shopee.co.id/TRUEVE-BHA-CICA-Acne-Serum-30-ML-Serum-Wajah-i.310417610.5356773728", "https://shopee.co.id/TRUEVE-BHA-CICA-Acne-Serum-30-ML-Serum-Wajah-i.310417610.5356773728")</f>
        <v>https://shopee.co.id/TRUEVE-BHA-CICA-Acne-Serum-30-ML-Serum-Wajah-i.310417610.5356773728</v>
      </c>
      <c r="C21" s="6" t="s">
        <v>34</v>
      </c>
      <c r="D21" s="6" t="s">
        <v>35</v>
      </c>
      <c r="E21" s="6" t="s">
        <v>12</v>
      </c>
      <c r="F21" s="6" t="s">
        <v>13</v>
      </c>
      <c r="G21" s="6" t="s">
        <v>36</v>
      </c>
      <c r="H21" s="8" t="s">
        <v>66</v>
      </c>
      <c r="I21" s="9">
        <v>7.507155E8</v>
      </c>
      <c r="J21" s="5" t="str">
        <f t="shared" ref="J21:K21" si="21">SUBSTITUTE(H21, ",", "")</f>
        <v>5930</v>
      </c>
      <c r="K21" s="5" t="str">
        <f t="shared" si="21"/>
        <v>Rp750715500</v>
      </c>
      <c r="L21" s="5" t="str">
        <f t="shared" si="3"/>
        <v>750715500</v>
      </c>
    </row>
    <row r="22">
      <c r="A22" s="6" t="s">
        <v>67</v>
      </c>
      <c r="B22" s="7" t="str">
        <f>HYPERLINK("https://shopee.co.id/SOMETHINC-HYALuronic9-Advanced-B5-Serum-i.195455930.3213216369", "https://shopee.co.id/SOMETHINC-HYALuronic9-Advanced-B5-Serum-i.195455930.3213216369")</f>
        <v>https://shopee.co.id/SOMETHINC-HYALuronic9-Advanced-B5-Serum-i.195455930.3213216369</v>
      </c>
      <c r="C22" s="6" t="s">
        <v>45</v>
      </c>
      <c r="D22" s="6" t="s">
        <v>46</v>
      </c>
      <c r="E22" s="6" t="s">
        <v>12</v>
      </c>
      <c r="F22" s="6" t="s">
        <v>13</v>
      </c>
      <c r="G22" s="6" t="s">
        <v>21</v>
      </c>
      <c r="H22" s="8" t="s">
        <v>68</v>
      </c>
      <c r="I22" s="9">
        <v>3.02922E8</v>
      </c>
      <c r="J22" s="5" t="str">
        <f t="shared" ref="J22:K22" si="22">SUBSTITUTE(H22, ",", "")</f>
        <v>5766</v>
      </c>
      <c r="K22" s="5" t="str">
        <f t="shared" si="22"/>
        <v>Rp302922000</v>
      </c>
      <c r="L22" s="5" t="str">
        <f t="shared" si="3"/>
        <v>302922000</v>
      </c>
    </row>
    <row r="23">
      <c r="A23" s="6" t="s">
        <v>69</v>
      </c>
      <c r="B23" s="7" t="str">
        <f>HYPERLINK("https://shopee.co.id/Dear-Me-Beauty-Skin-Barrier-Water-Cream-i.45495764.9831544725", "https://shopee.co.id/Dear-Me-Beauty-Skin-Barrier-Water-Cream-i.45495764.9831544725")</f>
        <v>https://shopee.co.id/Dear-Me-Beauty-Skin-Barrier-Water-Cream-i.45495764.9831544725</v>
      </c>
      <c r="C23" s="6" t="s">
        <v>70</v>
      </c>
      <c r="D23" s="6" t="s">
        <v>71</v>
      </c>
      <c r="E23" s="6" t="s">
        <v>12</v>
      </c>
      <c r="F23" s="6" t="s">
        <v>13</v>
      </c>
      <c r="G23" s="6" t="s">
        <v>61</v>
      </c>
      <c r="H23" s="8" t="s">
        <v>72</v>
      </c>
      <c r="I23" s="9">
        <v>1.02285005E9</v>
      </c>
      <c r="J23" s="5" t="str">
        <f t="shared" ref="J23:K23" si="23">SUBSTITUTE(H23, ",", "")</f>
        <v>5577</v>
      </c>
      <c r="K23" s="5" t="str">
        <f t="shared" si="23"/>
        <v>Rp1022850050</v>
      </c>
      <c r="L23" s="5" t="str">
        <f t="shared" si="3"/>
        <v>1022850050</v>
      </c>
    </row>
    <row r="24">
      <c r="A24" s="6" t="s">
        <v>73</v>
      </c>
      <c r="B24" s="7" t="str">
        <f>HYPERLINK("https://shopee.co.id/Garnier-Light-Complete-Serum-Day-Night-Cream-Rangkaian-Garnier-Light-Complete-Serum-Cream-i.62583853.7841483163", "https://shopee.co.id/Garnier-Light-Complete-Serum-Day-Night-Cream-Rangkaian-Garnier-Light-Complete-Serum-Cream-i.62583853.7841483163")</f>
        <v>https://shopee.co.id/Garnier-Light-Complete-Serum-Day-Night-Cream-Rangkaian-Garnier-Light-Complete-Serum-Cream-i.62583853.7841483163</v>
      </c>
      <c r="C24" s="6" t="s">
        <v>74</v>
      </c>
      <c r="D24" s="6" t="s">
        <v>75</v>
      </c>
      <c r="E24" s="6" t="s">
        <v>12</v>
      </c>
      <c r="F24" s="6" t="s">
        <v>13</v>
      </c>
      <c r="G24" s="6" t="s">
        <v>61</v>
      </c>
      <c r="H24" s="8" t="s">
        <v>76</v>
      </c>
      <c r="I24" s="9">
        <v>8.361977E8</v>
      </c>
      <c r="J24" s="5" t="str">
        <f t="shared" ref="J24:K24" si="24">SUBSTITUTE(H24, ",", "")</f>
        <v>5460</v>
      </c>
      <c r="K24" s="5" t="str">
        <f t="shared" si="24"/>
        <v>Rp836197700</v>
      </c>
      <c r="L24" s="5" t="str">
        <f t="shared" si="3"/>
        <v>836197700</v>
      </c>
    </row>
    <row r="25">
      <c r="A25" s="6" t="s">
        <v>77</v>
      </c>
      <c r="B25" s="7" t="str">
        <f>HYPERLINK("https://shopee.co.id/MSBB-Lacoco-Dark-Spot-Essence-i.288588702.5444563049", "https://shopee.co.id/MSBB-Lacoco-Dark-Spot-Essence-i.288588702.5444563049")</f>
        <v>https://shopee.co.id/MSBB-Lacoco-Dark-Spot-Essence-i.288588702.5444563049</v>
      </c>
      <c r="C25" s="6" t="s">
        <v>78</v>
      </c>
      <c r="D25" s="6" t="s">
        <v>79</v>
      </c>
      <c r="E25" s="6" t="s">
        <v>12</v>
      </c>
      <c r="F25" s="6" t="s">
        <v>13</v>
      </c>
      <c r="G25" s="6" t="s">
        <v>80</v>
      </c>
      <c r="H25" s="8" t="s">
        <v>81</v>
      </c>
      <c r="I25" s="9">
        <v>2.1534082E8</v>
      </c>
      <c r="J25" s="5" t="str">
        <f t="shared" ref="J25:K25" si="25">SUBSTITUTE(H25, ",", "")</f>
        <v>5275</v>
      </c>
      <c r="K25" s="5" t="str">
        <f t="shared" si="25"/>
        <v>Rp215340820</v>
      </c>
      <c r="L25" s="5" t="str">
        <f t="shared" si="3"/>
        <v>215340820</v>
      </c>
    </row>
    <row r="26">
      <c r="A26" s="6" t="s">
        <v>82</v>
      </c>
      <c r="B26" s="7" t="str">
        <f>HYPERLINK("https://shopee.co.id/Avoskin-Your-Skin-Bae-Alpha-Arbutin-3-Grapeseed-i.154494405.6869175407", "https://shopee.co.id/Avoskin-Your-Skin-Bae-Alpha-Arbutin-3-Grapeseed-i.154494405.6869175407")</f>
        <v>https://shopee.co.id/Avoskin-Your-Skin-Bae-Alpha-Arbutin-3-Grapeseed-i.154494405.6869175407</v>
      </c>
      <c r="C26" s="6" t="s">
        <v>83</v>
      </c>
      <c r="D26" s="6" t="s">
        <v>84</v>
      </c>
      <c r="E26" s="6" t="s">
        <v>12</v>
      </c>
      <c r="F26" s="6" t="s">
        <v>13</v>
      </c>
      <c r="G26" s="6" t="s">
        <v>85</v>
      </c>
      <c r="H26" s="8" t="s">
        <v>86</v>
      </c>
      <c r="I26" s="9">
        <v>1.51455E9</v>
      </c>
      <c r="J26" s="5" t="str">
        <f t="shared" ref="J26:K26" si="26">SUBSTITUTE(H26, ",", "")</f>
        <v>5076</v>
      </c>
      <c r="K26" s="5" t="str">
        <f t="shared" si="26"/>
        <v>Rp1514550000</v>
      </c>
      <c r="L26" s="5" t="str">
        <f t="shared" si="3"/>
        <v>1514550000</v>
      </c>
    </row>
    <row r="27">
      <c r="A27" s="6" t="s">
        <v>87</v>
      </c>
      <c r="B27" s="7" t="str">
        <f>HYPERLINK("https://shopee.co.id/Garnier-Light-Complete-Vitamin-C-30x-Booster-Serum-Skin-Care-30-ml-x-2-pcs-Cerahkan-Noda-Hitam--i.62583853.3937850433", "https://shopee.co.id/Garnier-Light-Complete-Vitamin-C-30x-Booster-Serum-Skin-Care-30-ml-x-2-pcs-Cerahkan-Noda-Hitam--i.62583853.3937850433")</f>
        <v>https://shopee.co.id/Garnier-Light-Complete-Vitamin-C-30x-Booster-Serum-Skin-Care-30-ml-x-2-pcs-Cerahkan-Noda-Hitam--i.62583853.3937850433</v>
      </c>
      <c r="C27" s="6" t="s">
        <v>74</v>
      </c>
      <c r="D27" s="6" t="s">
        <v>75</v>
      </c>
      <c r="E27" s="6" t="s">
        <v>12</v>
      </c>
      <c r="F27" s="6" t="s">
        <v>13</v>
      </c>
      <c r="G27" s="6" t="s">
        <v>61</v>
      </c>
      <c r="H27" s="8" t="s">
        <v>88</v>
      </c>
      <c r="I27" s="9">
        <v>4.40639E8</v>
      </c>
      <c r="J27" s="5" t="str">
        <f t="shared" ref="J27:K27" si="27">SUBSTITUTE(H27, ",", "")</f>
        <v>4951</v>
      </c>
      <c r="K27" s="5" t="str">
        <f t="shared" si="27"/>
        <v>Rp440639000</v>
      </c>
      <c r="L27" s="5" t="str">
        <f t="shared" si="3"/>
        <v>440639000</v>
      </c>
    </row>
    <row r="28">
      <c r="A28" s="6" t="s">
        <v>89</v>
      </c>
      <c r="B28" s="7" t="str">
        <f>HYPERLINK("https://shopee.co.id/Aura-Bright-Glutathione-Vit-C-Serum--i.127215672.1920886212", "https://shopee.co.id/Aura-Bright-Glutathione-Vit-C-Serum--i.127215672.1920886212")</f>
        <v>https://shopee.co.id/Aura-Bright-Glutathione-Vit-C-Serum--i.127215672.1920886212</v>
      </c>
      <c r="C28" s="6" t="s">
        <v>90</v>
      </c>
      <c r="D28" s="6" t="s">
        <v>91</v>
      </c>
      <c r="E28" s="6" t="s">
        <v>12</v>
      </c>
      <c r="F28" s="6" t="s">
        <v>13</v>
      </c>
      <c r="G28" s="6" t="s">
        <v>21</v>
      </c>
      <c r="H28" s="8" t="s">
        <v>92</v>
      </c>
      <c r="I28" s="9">
        <v>1.4443845E8</v>
      </c>
      <c r="J28" s="5" t="str">
        <f t="shared" ref="J28:K28" si="28">SUBSTITUTE(H28, ",", "")</f>
        <v>4716</v>
      </c>
      <c r="K28" s="5" t="str">
        <f t="shared" si="28"/>
        <v>Rp144438450</v>
      </c>
      <c r="L28" s="5" t="str">
        <f t="shared" si="3"/>
        <v>144438450</v>
      </c>
    </row>
    <row r="29">
      <c r="A29" s="6" t="s">
        <v>93</v>
      </c>
      <c r="B29" s="7" t="str">
        <f>HYPERLINK("https://shopee.co.id/Avoskin-Miraculous-Retinol-Ampoule-i.154494405.4332472063", "https://shopee.co.id/Avoskin-Miraculous-Retinol-Ampoule-i.154494405.4332472063")</f>
        <v>https://shopee.co.id/Avoskin-Miraculous-Retinol-Ampoule-i.154494405.4332472063</v>
      </c>
      <c r="C29" s="6" t="s">
        <v>83</v>
      </c>
      <c r="D29" s="6" t="s">
        <v>84</v>
      </c>
      <c r="E29" s="6" t="s">
        <v>12</v>
      </c>
      <c r="F29" s="6" t="s">
        <v>13</v>
      </c>
      <c r="G29" s="6" t="s">
        <v>85</v>
      </c>
      <c r="H29" s="8" t="s">
        <v>94</v>
      </c>
      <c r="I29" s="9">
        <v>3.63732324E8</v>
      </c>
      <c r="J29" s="5" t="str">
        <f t="shared" ref="J29:K29" si="29">SUBSTITUTE(H29, ",", "")</f>
        <v>4655</v>
      </c>
      <c r="K29" s="5" t="str">
        <f t="shared" si="29"/>
        <v>Rp363732324</v>
      </c>
      <c r="L29" s="5" t="str">
        <f t="shared" si="3"/>
        <v>363732324</v>
      </c>
    </row>
    <row r="30">
      <c r="A30" s="6" t="s">
        <v>95</v>
      </c>
      <c r="B30" s="7" t="str">
        <f>HYPERLINK("https://shopee.co.id/Ms-Glow-whitening-Gold-Serum-bright-and-healthy-skin-i.17566419.7411481065", "https://shopee.co.id/Ms-Glow-whitening-Gold-Serum-bright-and-healthy-skin-i.17566419.7411481065")</f>
        <v>https://shopee.co.id/Ms-Glow-whitening-Gold-Serum-bright-and-healthy-skin-i.17566419.7411481065</v>
      </c>
      <c r="C30" s="6" t="s">
        <v>96</v>
      </c>
      <c r="D30" s="6" t="s">
        <v>97</v>
      </c>
      <c r="E30" s="6" t="s">
        <v>12</v>
      </c>
      <c r="F30" s="6" t="s">
        <v>13</v>
      </c>
      <c r="G30" s="6" t="s">
        <v>98</v>
      </c>
      <c r="H30" s="8" t="s">
        <v>99</v>
      </c>
      <c r="I30" s="9">
        <v>1.337727E8</v>
      </c>
      <c r="J30" s="5" t="str">
        <f t="shared" ref="J30:K30" si="30">SUBSTITUTE(H30, ",", "")</f>
        <v>4597</v>
      </c>
      <c r="K30" s="5" t="str">
        <f t="shared" si="30"/>
        <v>Rp133772700</v>
      </c>
      <c r="L30" s="5" t="str">
        <f t="shared" si="3"/>
        <v>133772700</v>
      </c>
    </row>
    <row r="31">
      <c r="A31" s="6" t="s">
        <v>100</v>
      </c>
      <c r="B31" s="7" t="str">
        <f>HYPERLINK("https://shopee.co.id/Avoskin-Perfect-Hydrating-Treatment-Essence-100ml-i.154494405.2303660667", "https://shopee.co.id/Avoskin-Perfect-Hydrating-Treatment-Essence-100ml-i.154494405.2303660667")</f>
        <v>https://shopee.co.id/Avoskin-Perfect-Hydrating-Treatment-Essence-100ml-i.154494405.2303660667</v>
      </c>
      <c r="C31" s="6" t="s">
        <v>83</v>
      </c>
      <c r="D31" s="6" t="s">
        <v>84</v>
      </c>
      <c r="E31" s="6" t="s">
        <v>12</v>
      </c>
      <c r="F31" s="6" t="s">
        <v>13</v>
      </c>
      <c r="G31" s="6" t="s">
        <v>85</v>
      </c>
      <c r="H31" s="8" t="s">
        <v>101</v>
      </c>
      <c r="I31" s="9">
        <v>6.883487E8</v>
      </c>
      <c r="J31" s="5" t="str">
        <f t="shared" ref="J31:K31" si="31">SUBSTITUTE(H31, ",", "")</f>
        <v>4550</v>
      </c>
      <c r="K31" s="5" t="str">
        <f t="shared" si="31"/>
        <v>Rp688348700</v>
      </c>
      <c r="L31" s="5" t="str">
        <f t="shared" si="3"/>
        <v>688348700</v>
      </c>
    </row>
    <row r="32">
      <c r="A32" s="6" t="s">
        <v>102</v>
      </c>
      <c r="B32" s="7" t="str">
        <f>HYPERLINK("https://shopee.co.id/Ms-glow-Serum-LUMINOUS-moist-bright-i.17566419.1104863702", "https://shopee.co.id/Ms-glow-Serum-LUMINOUS-moist-bright-i.17566419.1104863702")</f>
        <v>https://shopee.co.id/Ms-glow-Serum-LUMINOUS-moist-bright-i.17566419.1104863702</v>
      </c>
      <c r="C32" s="6" t="s">
        <v>96</v>
      </c>
      <c r="D32" s="6" t="s">
        <v>97</v>
      </c>
      <c r="E32" s="6" t="s">
        <v>12</v>
      </c>
      <c r="F32" s="6" t="s">
        <v>13</v>
      </c>
      <c r="G32" s="6" t="s">
        <v>98</v>
      </c>
      <c r="H32" s="8" t="s">
        <v>103</v>
      </c>
      <c r="I32" s="9">
        <v>4.007101E8</v>
      </c>
      <c r="J32" s="5" t="str">
        <f t="shared" ref="J32:K32" si="32">SUBSTITUTE(H32, ",", "")</f>
        <v>4287</v>
      </c>
      <c r="K32" s="5" t="str">
        <f t="shared" si="32"/>
        <v>Rp400710100</v>
      </c>
      <c r="L32" s="5" t="str">
        <f t="shared" si="3"/>
        <v>400710100</v>
      </c>
    </row>
    <row r="33">
      <c r="A33" s="6" t="s">
        <v>104</v>
      </c>
      <c r="B33" s="7" t="str">
        <f>HYPERLINK("https://shopee.co.id/L-Oreal-Paris-Revitalift-Serum-Radiance-Booster-Kit-Untuk-Kulit-Lembap-dan-Glowing--i.62579622.4149157168", "https://shopee.co.id/L-Oreal-Paris-Revitalift-Serum-Radiance-Booster-Kit-Untuk-Kulit-Lembap-dan-Glowing--i.62579622.4149157168")</f>
        <v>https://shopee.co.id/L-Oreal-Paris-Revitalift-Serum-Radiance-Booster-Kit-Untuk-Kulit-Lembap-dan-Glowing--i.62579622.4149157168</v>
      </c>
      <c r="C33" s="6" t="s">
        <v>105</v>
      </c>
      <c r="D33" s="6" t="s">
        <v>106</v>
      </c>
      <c r="E33" s="6" t="s">
        <v>12</v>
      </c>
      <c r="F33" s="6" t="s">
        <v>13</v>
      </c>
      <c r="G33" s="6" t="s">
        <v>61</v>
      </c>
      <c r="H33" s="8" t="s">
        <v>107</v>
      </c>
      <c r="I33" s="9">
        <v>5.9492E8</v>
      </c>
      <c r="J33" s="5" t="str">
        <f t="shared" ref="J33:K33" si="33">SUBSTITUTE(H33, ",", "")</f>
        <v>4280</v>
      </c>
      <c r="K33" s="5" t="str">
        <f t="shared" si="33"/>
        <v>Rp594920000</v>
      </c>
      <c r="L33" s="5" t="str">
        <f t="shared" si="3"/>
        <v>594920000</v>
      </c>
    </row>
    <row r="34">
      <c r="A34" s="6" t="s">
        <v>108</v>
      </c>
      <c r="B34" s="7" t="str">
        <f>HYPERLINK("https://shopee.co.id/L-Oreal-Paris-Revitalift-Crystal-Micro-Essence-Water-Serum-Skin-Care-65-ml-i.62579622.2379827390", "https://shopee.co.id/L-Oreal-Paris-Revitalift-Crystal-Micro-Essence-Water-Serum-Skin-Care-65-ml-i.62579622.2379827390")</f>
        <v>https://shopee.co.id/L-Oreal-Paris-Revitalift-Crystal-Micro-Essence-Water-Serum-Skin-Care-65-ml-i.62579622.2379827390</v>
      </c>
      <c r="C34" s="6" t="s">
        <v>105</v>
      </c>
      <c r="D34" s="6" t="s">
        <v>106</v>
      </c>
      <c r="E34" s="6" t="s">
        <v>12</v>
      </c>
      <c r="F34" s="6" t="s">
        <v>13</v>
      </c>
      <c r="G34" s="6" t="s">
        <v>61</v>
      </c>
      <c r="H34" s="8" t="s">
        <v>109</v>
      </c>
      <c r="I34" s="9">
        <v>3.73088E8</v>
      </c>
      <c r="J34" s="5" t="str">
        <f t="shared" ref="J34:K34" si="34">SUBSTITUTE(H34, ",", "")</f>
        <v>4192</v>
      </c>
      <c r="K34" s="5" t="str">
        <f t="shared" si="34"/>
        <v>Rp373088000</v>
      </c>
      <c r="L34" s="5" t="str">
        <f t="shared" si="3"/>
        <v>373088000</v>
      </c>
    </row>
    <row r="35">
      <c r="A35" s="6" t="s">
        <v>110</v>
      </c>
      <c r="B35" s="7" t="str">
        <f>HYPERLINK("https://shopee.co.id/Ms-glow-Deep-TREATMENT-ESSENCE-i.17566419.7711389261", "https://shopee.co.id/Ms-glow-Deep-TREATMENT-ESSENCE-i.17566419.7711389261")</f>
        <v>https://shopee.co.id/Ms-glow-Deep-TREATMENT-ESSENCE-i.17566419.7711389261</v>
      </c>
      <c r="C35" s="6" t="s">
        <v>96</v>
      </c>
      <c r="D35" s="6" t="s">
        <v>97</v>
      </c>
      <c r="E35" s="6" t="s">
        <v>12</v>
      </c>
      <c r="F35" s="6" t="s">
        <v>13</v>
      </c>
      <c r="G35" s="6" t="s">
        <v>98</v>
      </c>
      <c r="H35" s="8" t="s">
        <v>111</v>
      </c>
      <c r="I35" s="9">
        <v>2.451875E8</v>
      </c>
      <c r="J35" s="5" t="str">
        <f t="shared" ref="J35:K35" si="35">SUBSTITUTE(H35, ",", "")</f>
        <v>4044</v>
      </c>
      <c r="K35" s="5" t="str">
        <f t="shared" si="35"/>
        <v>Rp245187500</v>
      </c>
      <c r="L35" s="5" t="str">
        <f t="shared" si="3"/>
        <v>245187500</v>
      </c>
    </row>
    <row r="36">
      <c r="A36" s="6" t="s">
        <v>112</v>
      </c>
      <c r="B36" s="7" t="str">
        <f>HYPERLINK("https://shopee.co.id/Implora-Promo-Buy-3-Serum-Wajah-20ML-Free-Pouch-i.10960132.7294689671", "https://shopee.co.id/Implora-Promo-Buy-3-Serum-Wajah-20ML-Free-Pouch-i.10960132.7294689671")</f>
        <v>https://shopee.co.id/Implora-Promo-Buy-3-Serum-Wajah-20ML-Free-Pouch-i.10960132.7294689671</v>
      </c>
      <c r="C36" s="6" t="s">
        <v>113</v>
      </c>
      <c r="D36" s="6" t="s">
        <v>114</v>
      </c>
      <c r="E36" s="6" t="s">
        <v>12</v>
      </c>
      <c r="F36" s="6" t="s">
        <v>13</v>
      </c>
      <c r="G36" s="6" t="s">
        <v>115</v>
      </c>
      <c r="H36" s="8" t="s">
        <v>116</v>
      </c>
      <c r="I36" s="9">
        <v>2.733647E8</v>
      </c>
      <c r="J36" s="5" t="str">
        <f t="shared" ref="J36:K36" si="36">SUBSTITUTE(H36, ",", "")</f>
        <v>3883</v>
      </c>
      <c r="K36" s="5" t="str">
        <f t="shared" si="36"/>
        <v>Rp273364700</v>
      </c>
      <c r="L36" s="5" t="str">
        <f t="shared" si="3"/>
        <v>273364700</v>
      </c>
    </row>
    <row r="37">
      <c r="A37" s="6" t="s">
        <v>117</v>
      </c>
      <c r="B37" s="7" t="str">
        <f>HYPERLINK("https://shopee.co.id/SOMETHINC-Bakuchiol-Skinpair-Oil-Serum-20ml-i.195455930.7068614970", "https://shopee.co.id/SOMETHINC-Bakuchiol-Skinpair-Oil-Serum-20ml-i.195455930.7068614970")</f>
        <v>https://shopee.co.id/SOMETHINC-Bakuchiol-Skinpair-Oil-Serum-20ml-i.195455930.7068614970</v>
      </c>
      <c r="C37" s="6" t="s">
        <v>45</v>
      </c>
      <c r="D37" s="6" t="s">
        <v>46</v>
      </c>
      <c r="E37" s="6" t="s">
        <v>12</v>
      </c>
      <c r="F37" s="6" t="s">
        <v>13</v>
      </c>
      <c r="G37" s="6" t="s">
        <v>21</v>
      </c>
      <c r="H37" s="8" t="s">
        <v>118</v>
      </c>
      <c r="I37" s="9">
        <v>1.92324E8</v>
      </c>
      <c r="J37" s="5" t="str">
        <f t="shared" ref="J37:K37" si="37">SUBSTITUTE(H37, ",", "")</f>
        <v>3856</v>
      </c>
      <c r="K37" s="5" t="str">
        <f t="shared" si="37"/>
        <v>Rp192324000</v>
      </c>
      <c r="L37" s="5" t="str">
        <f t="shared" si="3"/>
        <v>192324000</v>
      </c>
    </row>
    <row r="38">
      <c r="A38" s="6" t="s">
        <v>119</v>
      </c>
      <c r="B38" s="7" t="str">
        <f>HYPERLINK("https://shopee.co.id/Phyto-Power-Essence-Biobeautylab-50ml-i.127156054.9432436450", "https://shopee.co.id/Phyto-Power-Essence-Biobeautylab-50ml-i.127156054.9432436450")</f>
        <v>https://shopee.co.id/Phyto-Power-Essence-Biobeautylab-50ml-i.127156054.9432436450</v>
      </c>
      <c r="C38" s="6" t="s">
        <v>120</v>
      </c>
      <c r="D38" s="6" t="s">
        <v>121</v>
      </c>
      <c r="E38" s="6" t="s">
        <v>12</v>
      </c>
      <c r="F38" s="6" t="s">
        <v>13</v>
      </c>
      <c r="G38" s="6" t="s">
        <v>21</v>
      </c>
      <c r="H38" s="8" t="s">
        <v>122</v>
      </c>
      <c r="I38" s="9">
        <v>6.652109E8</v>
      </c>
      <c r="J38" s="5" t="str">
        <f t="shared" ref="J38:K38" si="38">SUBSTITUTE(H38, ",", "")</f>
        <v>3749</v>
      </c>
      <c r="K38" s="5" t="str">
        <f t="shared" si="38"/>
        <v>Rp665210900</v>
      </c>
      <c r="L38" s="5" t="str">
        <f t="shared" si="3"/>
        <v>665210900</v>
      </c>
    </row>
    <row r="39">
      <c r="A39" s="6" t="s">
        <v>123</v>
      </c>
      <c r="B39" s="7" t="str">
        <f>HYPERLINK("https://shopee.co.id/Somethinc-Age-Don-t-Care-Exclusive-Bundle-i.195455930.11301205139", "https://shopee.co.id/Somethinc-Age-Don-t-Care-Exclusive-Bundle-i.195455930.11301205139")</f>
        <v>https://shopee.co.id/Somethinc-Age-Don-t-Care-Exclusive-Bundle-i.195455930.11301205139</v>
      </c>
      <c r="C39" s="6" t="s">
        <v>45</v>
      </c>
      <c r="D39" s="6" t="s">
        <v>46</v>
      </c>
      <c r="E39" s="6" t="s">
        <v>12</v>
      </c>
      <c r="F39" s="6" t="s">
        <v>13</v>
      </c>
      <c r="G39" s="6" t="s">
        <v>21</v>
      </c>
      <c r="H39" s="8" t="s">
        <v>124</v>
      </c>
      <c r="I39" s="9">
        <v>3.21201E8</v>
      </c>
      <c r="J39" s="5" t="str">
        <f t="shared" ref="J39:K39" si="39">SUBSTITUTE(H39, ",", "")</f>
        <v>3609</v>
      </c>
      <c r="K39" s="5" t="str">
        <f t="shared" si="39"/>
        <v>Rp321201000</v>
      </c>
      <c r="L39" s="5" t="str">
        <f t="shared" si="3"/>
        <v>321201000</v>
      </c>
    </row>
    <row r="40">
      <c r="A40" s="6" t="s">
        <v>125</v>
      </c>
      <c r="B40" s="7" t="str">
        <f>HYPERLINK("https://shopee.co.id/SOMETHINC-Repair-Your-Skinbarrier-i.195455930.8663871286", "https://shopee.co.id/SOMETHINC-Repair-Your-Skinbarrier-i.195455930.8663871286")</f>
        <v>https://shopee.co.id/SOMETHINC-Repair-Your-Skinbarrier-i.195455930.8663871286</v>
      </c>
      <c r="C40" s="6" t="s">
        <v>45</v>
      </c>
      <c r="D40" s="6" t="s">
        <v>46</v>
      </c>
      <c r="E40" s="6" t="s">
        <v>12</v>
      </c>
      <c r="F40" s="6" t="s">
        <v>13</v>
      </c>
      <c r="G40" s="6" t="s">
        <v>21</v>
      </c>
      <c r="H40" s="8" t="s">
        <v>126</v>
      </c>
      <c r="I40" s="9">
        <v>5.607885E8</v>
      </c>
      <c r="J40" s="5" t="str">
        <f t="shared" ref="J40:K40" si="40">SUBSTITUTE(H40, ",", "")</f>
        <v>3599</v>
      </c>
      <c r="K40" s="5" t="str">
        <f t="shared" si="40"/>
        <v>Rp560788500</v>
      </c>
      <c r="L40" s="5" t="str">
        <f t="shared" si="3"/>
        <v>560788500</v>
      </c>
    </row>
    <row r="41">
      <c r="A41" s="6" t="s">
        <v>127</v>
      </c>
      <c r="B41" s="7" t="str">
        <f>HYPERLINK("https://shopee.co.id/YOU-Golden-Age-Refining-Serum-20ml-i.72375863.5211874700", "https://shopee.co.id/YOU-Golden-Age-Refining-Serum-20ml-i.72375863.5211874700")</f>
        <v>https://shopee.co.id/YOU-Golden-Age-Refining-Serum-20ml-i.72375863.5211874700</v>
      </c>
      <c r="C41" s="6" t="s">
        <v>128</v>
      </c>
      <c r="D41" s="6" t="s">
        <v>129</v>
      </c>
      <c r="E41" s="6" t="s">
        <v>12</v>
      </c>
      <c r="F41" s="6" t="s">
        <v>13</v>
      </c>
      <c r="G41" s="6" t="s">
        <v>130</v>
      </c>
      <c r="H41" s="8" t="s">
        <v>131</v>
      </c>
      <c r="I41" s="9">
        <v>2.022398E8</v>
      </c>
      <c r="J41" s="5" t="str">
        <f t="shared" ref="J41:K41" si="41">SUBSTITUTE(H41, ",", "")</f>
        <v>3551</v>
      </c>
      <c r="K41" s="5" t="str">
        <f t="shared" si="41"/>
        <v>Rp202239800</v>
      </c>
      <c r="L41" s="5" t="str">
        <f t="shared" si="3"/>
        <v>202239800</v>
      </c>
    </row>
    <row r="42">
      <c r="A42" s="6" t="s">
        <v>132</v>
      </c>
      <c r="B42" s="7" t="str">
        <f>HYPERLINK("https://shopee.co.id/MS-GLOW-Lifting-Serum-i.17566419.640598068", "https://shopee.co.id/MS-GLOW-Lifting-Serum-i.17566419.640598068")</f>
        <v>https://shopee.co.id/MS-GLOW-Lifting-Serum-i.17566419.640598068</v>
      </c>
      <c r="C42" s="6" t="s">
        <v>96</v>
      </c>
      <c r="D42" s="6" t="s">
        <v>97</v>
      </c>
      <c r="E42" s="6" t="s">
        <v>12</v>
      </c>
      <c r="F42" s="6" t="s">
        <v>13</v>
      </c>
      <c r="G42" s="6" t="s">
        <v>98</v>
      </c>
      <c r="H42" s="8" t="s">
        <v>133</v>
      </c>
      <c r="I42" s="9">
        <v>5.031E8</v>
      </c>
      <c r="J42" s="5" t="str">
        <f t="shared" ref="J42:K42" si="42">SUBSTITUTE(H42, ",", "")</f>
        <v>3354</v>
      </c>
      <c r="K42" s="5" t="str">
        <f t="shared" si="42"/>
        <v>Rp503100000</v>
      </c>
      <c r="L42" s="5" t="str">
        <f t="shared" si="3"/>
        <v>503100000</v>
      </c>
    </row>
    <row r="43">
      <c r="A43" s="6" t="s">
        <v>134</v>
      </c>
      <c r="B43" s="7" t="str">
        <f>HYPERLINK("https://shopee.co.id/-GIFT-ElsheSkin-Serum-Sample-3ml-i.9035345.11727337001", "https://shopee.co.id/-GIFT-ElsheSkin-Serum-Sample-3ml-i.9035345.11727337001")</f>
        <v>https://shopee.co.id/-GIFT-ElsheSkin-Serum-Sample-3ml-i.9035345.11727337001</v>
      </c>
      <c r="C43" s="6" t="s">
        <v>135</v>
      </c>
      <c r="D43" s="6" t="s">
        <v>136</v>
      </c>
      <c r="E43" s="6" t="s">
        <v>12</v>
      </c>
      <c r="F43" s="6" t="s">
        <v>13</v>
      </c>
      <c r="G43" s="6" t="s">
        <v>80</v>
      </c>
      <c r="H43" s="8" t="s">
        <v>137</v>
      </c>
      <c r="I43" s="9">
        <v>4.759981E8</v>
      </c>
      <c r="J43" s="5" t="str">
        <f t="shared" ref="J43:K43" si="43">SUBSTITUTE(H43, ",", "")</f>
        <v>3206</v>
      </c>
      <c r="K43" s="5" t="str">
        <f t="shared" si="43"/>
        <v>Rp475998100</v>
      </c>
      <c r="L43" s="5" t="str">
        <f t="shared" si="3"/>
        <v>475998100</v>
      </c>
    </row>
    <row r="44">
      <c r="A44" s="6" t="s">
        <v>138</v>
      </c>
      <c r="B44" s="7" t="str">
        <f>HYPERLINK("https://shopee.co.id/Bio-Beauty-Lab-Bundling-Phyto-10ml-Luxurious-i.127156054.9474963341", "https://shopee.co.id/Bio-Beauty-Lab-Bundling-Phyto-10ml-Luxurious-i.127156054.9474963341")</f>
        <v>https://shopee.co.id/Bio-Beauty-Lab-Bundling-Phyto-10ml-Luxurious-i.127156054.9474963341</v>
      </c>
      <c r="C44" s="6" t="s">
        <v>120</v>
      </c>
      <c r="D44" s="6" t="s">
        <v>121</v>
      </c>
      <c r="E44" s="6" t="s">
        <v>12</v>
      </c>
      <c r="F44" s="6" t="s">
        <v>13</v>
      </c>
      <c r="G44" s="6" t="s">
        <v>21</v>
      </c>
      <c r="H44" s="8" t="s">
        <v>139</v>
      </c>
      <c r="I44" s="9">
        <v>5.40225E8</v>
      </c>
      <c r="J44" s="5" t="str">
        <f t="shared" ref="J44:K44" si="44">SUBSTITUTE(H44, ",", "")</f>
        <v>3087</v>
      </c>
      <c r="K44" s="5" t="str">
        <f t="shared" si="44"/>
        <v>Rp540225000</v>
      </c>
      <c r="L44" s="5" t="str">
        <f t="shared" si="3"/>
        <v>540225000</v>
      </c>
    </row>
    <row r="45">
      <c r="A45" s="6" t="s">
        <v>140</v>
      </c>
      <c r="B45" s="7" t="str">
        <f>HYPERLINK("https://shopee.co.id/SOMETHINC-BRIGHT-SKINPAIR-Bakuchiol-10-Niacinamide-Sabi-20ml--i.195455930.8216176295", "https://shopee.co.id/SOMETHINC-BRIGHT-SKINPAIR-Bakuchiol-10-Niacinamide-Sabi-20ml--i.195455930.8216176295")</f>
        <v>https://shopee.co.id/SOMETHINC-BRIGHT-SKINPAIR-Bakuchiol-10-Niacinamide-Sabi-20ml--i.195455930.8216176295</v>
      </c>
      <c r="C45" s="6" t="s">
        <v>45</v>
      </c>
      <c r="D45" s="6" t="s">
        <v>46</v>
      </c>
      <c r="E45" s="6" t="s">
        <v>12</v>
      </c>
      <c r="F45" s="6" t="s">
        <v>13</v>
      </c>
      <c r="G45" s="6" t="s">
        <v>21</v>
      </c>
      <c r="H45" s="8" t="s">
        <v>141</v>
      </c>
      <c r="I45" s="9">
        <v>5.59276625E8</v>
      </c>
      <c r="J45" s="5" t="str">
        <f t="shared" ref="J45:K45" si="45">SUBSTITUTE(H45, ",", "")</f>
        <v>3046</v>
      </c>
      <c r="K45" s="5" t="str">
        <f t="shared" si="45"/>
        <v>Rp559276625</v>
      </c>
      <c r="L45" s="5" t="str">
        <f t="shared" si="3"/>
        <v>559276625</v>
      </c>
    </row>
    <row r="46">
      <c r="A46" s="6" t="s">
        <v>142</v>
      </c>
      <c r="B46" s="7" t="str">
        <f>HYPERLINK("https://shopee.co.id/SOMETHINC-SUPPLE-POWER-Hyaluronic9-Onsen-Essence-Toner-i.195455930.8226984074", "https://shopee.co.id/SOMETHINC-SUPPLE-POWER-Hyaluronic9-Onsen-Essence-Toner-i.195455930.8226984074")</f>
        <v>https://shopee.co.id/SOMETHINC-SUPPLE-POWER-Hyaluronic9-Onsen-Essence-Toner-i.195455930.8226984074</v>
      </c>
      <c r="C46" s="6" t="s">
        <v>45</v>
      </c>
      <c r="D46" s="6" t="s">
        <v>46</v>
      </c>
      <c r="E46" s="6" t="s">
        <v>12</v>
      </c>
      <c r="F46" s="6" t="s">
        <v>13</v>
      </c>
      <c r="G46" s="6" t="s">
        <v>21</v>
      </c>
      <c r="H46" s="8" t="s">
        <v>143</v>
      </c>
      <c r="I46" s="9">
        <v>3.380655E8</v>
      </c>
      <c r="J46" s="5" t="str">
        <f t="shared" ref="J46:K46" si="46">SUBSTITUTE(H46, ",", "")</f>
        <v>2829</v>
      </c>
      <c r="K46" s="5" t="str">
        <f t="shared" si="46"/>
        <v>Rp338065500</v>
      </c>
      <c r="L46" s="5" t="str">
        <f t="shared" si="3"/>
        <v>338065500</v>
      </c>
    </row>
    <row r="47">
      <c r="A47" s="6" t="s">
        <v>144</v>
      </c>
      <c r="B47" s="7" t="str">
        <f>HYPERLINK("https://shopee.co.id/Whitelab-Acne-Calming-Serum-i.201071840.7661397539", "https://shopee.co.id/Whitelab-Acne-Calming-Serum-i.201071840.7661397539")</f>
        <v>https://shopee.co.id/Whitelab-Acne-Calming-Serum-i.201071840.7661397539</v>
      </c>
      <c r="C47" s="6" t="s">
        <v>59</v>
      </c>
      <c r="D47" s="6" t="s">
        <v>60</v>
      </c>
      <c r="E47" s="6" t="s">
        <v>12</v>
      </c>
      <c r="F47" s="6" t="s">
        <v>13</v>
      </c>
      <c r="G47" s="6" t="s">
        <v>61</v>
      </c>
      <c r="H47" s="8" t="s">
        <v>145</v>
      </c>
      <c r="I47" s="9">
        <v>1.734523E8</v>
      </c>
      <c r="J47" s="5" t="str">
        <f t="shared" ref="J47:K47" si="47">SUBSTITUTE(H47, ",", "")</f>
        <v>2787</v>
      </c>
      <c r="K47" s="5" t="str">
        <f t="shared" si="47"/>
        <v>Rp173452300</v>
      </c>
      <c r="L47" s="5" t="str">
        <f t="shared" si="3"/>
        <v>173452300</v>
      </c>
    </row>
    <row r="48">
      <c r="A48" s="6" t="s">
        <v>146</v>
      </c>
      <c r="B48" s="7" t="str">
        <f>HYPERLINK("https://shopee.co.id/La-Roche-Posay-Hyalu-B5-50ml-Bundle-FREE-Kerastase-i.433144176.10349225959", "https://shopee.co.id/La-Roche-Posay-Hyalu-B5-50ml-Bundle-FREE-Kerastase-i.433144176.10349225959")</f>
        <v>https://shopee.co.id/La-Roche-Posay-Hyalu-B5-50ml-Bundle-FREE-Kerastase-i.433144176.10349225959</v>
      </c>
      <c r="C48" s="6" t="s">
        <v>147</v>
      </c>
      <c r="D48" s="6" t="s">
        <v>148</v>
      </c>
      <c r="E48" s="6" t="s">
        <v>12</v>
      </c>
      <c r="F48" s="6" t="s">
        <v>13</v>
      </c>
      <c r="G48" s="6" t="s">
        <v>61</v>
      </c>
      <c r="H48" s="8" t="s">
        <v>149</v>
      </c>
      <c r="I48" s="9">
        <v>3.2684375E8</v>
      </c>
      <c r="J48" s="5" t="str">
        <f t="shared" ref="J48:K48" si="48">SUBSTITUTE(H48, ",", "")</f>
        <v>2782</v>
      </c>
      <c r="K48" s="5" t="str">
        <f t="shared" si="48"/>
        <v>Rp326843750</v>
      </c>
      <c r="L48" s="5" t="str">
        <f t="shared" si="3"/>
        <v>326843750</v>
      </c>
    </row>
    <row r="49">
      <c r="A49" s="6" t="s">
        <v>150</v>
      </c>
      <c r="B49" s="7" t="str">
        <f>HYPERLINK("https://shopee.co.id/TRUEVE-VITAMIN-C-CERAMIDE-Brightening-Serum-30-ML-Serum-Wajah-i.310417610.5956774605", "https://shopee.co.id/TRUEVE-VITAMIN-C-CERAMIDE-Brightening-Serum-30-ML-Serum-Wajah-i.310417610.5956774605")</f>
        <v>https://shopee.co.id/TRUEVE-VITAMIN-C-CERAMIDE-Brightening-Serum-30-ML-Serum-Wajah-i.310417610.5956774605</v>
      </c>
      <c r="C49" s="6" t="s">
        <v>34</v>
      </c>
      <c r="D49" s="6" t="s">
        <v>35</v>
      </c>
      <c r="E49" s="6" t="s">
        <v>12</v>
      </c>
      <c r="F49" s="6" t="s">
        <v>13</v>
      </c>
      <c r="G49" s="6" t="s">
        <v>36</v>
      </c>
      <c r="H49" s="8" t="s">
        <v>151</v>
      </c>
      <c r="I49" s="9">
        <v>2.06485E8</v>
      </c>
      <c r="J49" s="5" t="str">
        <f t="shared" ref="J49:K49" si="49">SUBSTITUTE(H49, ",", "")</f>
        <v>2761</v>
      </c>
      <c r="K49" s="5" t="str">
        <f t="shared" si="49"/>
        <v>Rp206485000</v>
      </c>
      <c r="L49" s="5" t="str">
        <f t="shared" si="3"/>
        <v>206485000</v>
      </c>
    </row>
    <row r="50">
      <c r="A50" s="6" t="s">
        <v>152</v>
      </c>
      <c r="B50" s="7" t="str">
        <f>HYPERLINK("https://shopee.co.id/SOMETHINC-CRIOUSLY-24K-GOLD-Essence-i.195455930.4118420674", "https://shopee.co.id/SOMETHINC-CRIOUSLY-24K-GOLD-Essence-i.195455930.4118420674")</f>
        <v>https://shopee.co.id/SOMETHINC-CRIOUSLY-24K-GOLD-Essence-i.195455930.4118420674</v>
      </c>
      <c r="C50" s="6" t="s">
        <v>45</v>
      </c>
      <c r="D50" s="6" t="s">
        <v>46</v>
      </c>
      <c r="E50" s="6" t="s">
        <v>12</v>
      </c>
      <c r="F50" s="6" t="s">
        <v>13</v>
      </c>
      <c r="G50" s="6" t="s">
        <v>21</v>
      </c>
      <c r="H50" s="8" t="s">
        <v>153</v>
      </c>
      <c r="I50" s="9">
        <v>1.3114325E8</v>
      </c>
      <c r="J50" s="5" t="str">
        <f t="shared" ref="J50:K50" si="50">SUBSTITUTE(H50, ",", "")</f>
        <v>2735</v>
      </c>
      <c r="K50" s="5" t="str">
        <f t="shared" si="50"/>
        <v>Rp131143250</v>
      </c>
      <c r="L50" s="5" t="str">
        <f t="shared" si="3"/>
        <v>131143250</v>
      </c>
    </row>
    <row r="51">
      <c r="A51" s="6" t="s">
        <v>154</v>
      </c>
      <c r="B51" s="7" t="str">
        <f>HYPERLINK("https://shopee.co.id/Avoskin-Miraculous-Refining-Serum-i.154494405.2898934249", "https://shopee.co.id/Avoskin-Miraculous-Refining-Serum-i.154494405.2898934249")</f>
        <v>https://shopee.co.id/Avoskin-Miraculous-Refining-Serum-i.154494405.2898934249</v>
      </c>
      <c r="C51" s="6" t="s">
        <v>83</v>
      </c>
      <c r="D51" s="6" t="s">
        <v>84</v>
      </c>
      <c r="E51" s="6" t="s">
        <v>12</v>
      </c>
      <c r="F51" s="6" t="s">
        <v>13</v>
      </c>
      <c r="G51" s="6" t="s">
        <v>85</v>
      </c>
      <c r="H51" s="8" t="s">
        <v>155</v>
      </c>
      <c r="I51" s="9">
        <v>3.022658E8</v>
      </c>
      <c r="J51" s="5" t="str">
        <f t="shared" ref="J51:K51" si="51">SUBSTITUTE(H51, ",", "")</f>
        <v>2685</v>
      </c>
      <c r="K51" s="5" t="str">
        <f t="shared" si="51"/>
        <v>Rp302265800</v>
      </c>
      <c r="L51" s="5" t="str">
        <f t="shared" si="3"/>
        <v>302265800</v>
      </c>
    </row>
    <row r="52">
      <c r="A52" s="6" t="s">
        <v>156</v>
      </c>
      <c r="B52" s="7" t="str">
        <f>HYPERLINK("https://shopee.co.id/Everwhite-Brightening-Essence-Serum-ChromaBright-i.85451896.2061262166", "https://shopee.co.id/Everwhite-Brightening-Essence-Serum-ChromaBright-i.85451896.2061262166")</f>
        <v>https://shopee.co.id/Everwhite-Brightening-Essence-Serum-ChromaBright-i.85451896.2061262166</v>
      </c>
      <c r="C52" s="6" t="s">
        <v>157</v>
      </c>
      <c r="D52" s="6" t="s">
        <v>158</v>
      </c>
      <c r="E52" s="6" t="s">
        <v>12</v>
      </c>
      <c r="F52" s="6" t="s">
        <v>13</v>
      </c>
      <c r="G52" s="6" t="s">
        <v>61</v>
      </c>
      <c r="H52" s="8" t="s">
        <v>159</v>
      </c>
      <c r="I52" s="9">
        <v>1.99555E8</v>
      </c>
      <c r="J52" s="5" t="str">
        <f t="shared" ref="J52:K52" si="52">SUBSTITUTE(H52, ",", "")</f>
        <v>2671</v>
      </c>
      <c r="K52" s="5" t="str">
        <f t="shared" si="52"/>
        <v>Rp199555000</v>
      </c>
      <c r="L52" s="5" t="str">
        <f t="shared" si="3"/>
        <v>199555000</v>
      </c>
    </row>
    <row r="53">
      <c r="A53" s="6" t="s">
        <v>160</v>
      </c>
      <c r="B53" s="7" t="str">
        <f>HYPERLINK("https://shopee.co.id/SOMETHINC-5-Niacinamide-Barrier-Serum-i.195455930.6277022560", "https://shopee.co.id/SOMETHINC-5-Niacinamide-Barrier-Serum-i.195455930.6277022560")</f>
        <v>https://shopee.co.id/SOMETHINC-5-Niacinamide-Barrier-Serum-i.195455930.6277022560</v>
      </c>
      <c r="C53" s="6" t="s">
        <v>45</v>
      </c>
      <c r="D53" s="6" t="s">
        <v>46</v>
      </c>
      <c r="E53" s="6" t="s">
        <v>12</v>
      </c>
      <c r="F53" s="6" t="s">
        <v>13</v>
      </c>
      <c r="G53" s="6" t="s">
        <v>21</v>
      </c>
      <c r="H53" s="8" t="s">
        <v>161</v>
      </c>
      <c r="I53" s="9">
        <v>3.9975E8</v>
      </c>
      <c r="J53" s="5" t="str">
        <f t="shared" ref="J53:K53" si="53">SUBSTITUTE(H53, ",", "")</f>
        <v>2665</v>
      </c>
      <c r="K53" s="5" t="str">
        <f t="shared" si="53"/>
        <v>Rp399750000</v>
      </c>
      <c r="L53" s="5" t="str">
        <f t="shared" si="3"/>
        <v>399750000</v>
      </c>
    </row>
    <row r="54">
      <c r="A54" s="6" t="s">
        <v>162</v>
      </c>
      <c r="B54" s="7" t="str">
        <f>HYPERLINK("https://shopee.co.id/Scarlett-Whitening-Brightly-Kit-Package-i.255365082.11629863892", "https://shopee.co.id/Scarlett-Whitening-Brightly-Kit-Package-i.255365082.11629863892")</f>
        <v>https://shopee.co.id/Scarlett-Whitening-Brightly-Kit-Package-i.255365082.11629863892</v>
      </c>
      <c r="C54" s="6" t="s">
        <v>19</v>
      </c>
      <c r="D54" s="6" t="s">
        <v>20</v>
      </c>
      <c r="E54" s="6" t="s">
        <v>12</v>
      </c>
      <c r="F54" s="6" t="s">
        <v>13</v>
      </c>
      <c r="G54" s="6" t="s">
        <v>21</v>
      </c>
      <c r="H54" s="8" t="s">
        <v>163</v>
      </c>
      <c r="I54" s="9">
        <v>7.486274E7</v>
      </c>
      <c r="J54" s="5" t="str">
        <f t="shared" ref="J54:K54" si="54">SUBSTITUTE(H54, ",", "")</f>
        <v>2656</v>
      </c>
      <c r="K54" s="5" t="str">
        <f t="shared" si="54"/>
        <v>Rp74862740</v>
      </c>
      <c r="L54" s="5" t="str">
        <f t="shared" si="3"/>
        <v>74862740</v>
      </c>
    </row>
    <row r="55">
      <c r="A55" s="6" t="s">
        <v>164</v>
      </c>
      <c r="B55" s="7" t="str">
        <f>HYPERLINK("https://shopee.co.id/La-Roche-Posay-Hyalu-Serum-Bundle-BUY-60ML-GET-120ML-FREE-GIFTS-Senilai-Rp-1-680-000-i.433144176.6695949030", "https://shopee.co.id/La-Roche-Posay-Hyalu-Serum-Bundle-BUY-60ML-GET-120ML-FREE-GIFTS-Senilai-Rp-1-680-000-i.433144176.6695949030")</f>
        <v>https://shopee.co.id/La-Roche-Posay-Hyalu-Serum-Bundle-BUY-60ML-GET-120ML-FREE-GIFTS-Senilai-Rp-1-680-000-i.433144176.6695949030</v>
      </c>
      <c r="C55" s="6" t="s">
        <v>147</v>
      </c>
      <c r="D55" s="6" t="s">
        <v>148</v>
      </c>
      <c r="E55" s="6" t="s">
        <v>12</v>
      </c>
      <c r="F55" s="6" t="s">
        <v>13</v>
      </c>
      <c r="G55" s="6" t="s">
        <v>61</v>
      </c>
      <c r="H55" s="8" t="s">
        <v>165</v>
      </c>
      <c r="I55" s="9">
        <v>4.63575E8</v>
      </c>
      <c r="J55" s="5" t="str">
        <f t="shared" ref="J55:K55" si="55">SUBSTITUTE(H55, ",", "")</f>
        <v>2649</v>
      </c>
      <c r="K55" s="5" t="str">
        <f t="shared" si="55"/>
        <v>Rp463575000</v>
      </c>
      <c r="L55" s="5" t="str">
        <f t="shared" si="3"/>
        <v>463575000</v>
      </c>
    </row>
    <row r="56">
      <c r="A56" s="6" t="s">
        <v>166</v>
      </c>
      <c r="B56" s="7" t="str">
        <f>HYPERLINK("https://shopee.co.id/Scarlett-Whitening-Acne-Kit-Package-i.255365082.11629873705", "https://shopee.co.id/Scarlett-Whitening-Acne-Kit-Package-i.255365082.11629873705")</f>
        <v>https://shopee.co.id/Scarlett-Whitening-Acne-Kit-Package-i.255365082.11629873705</v>
      </c>
      <c r="C56" s="6" t="s">
        <v>19</v>
      </c>
      <c r="D56" s="6" t="s">
        <v>20</v>
      </c>
      <c r="E56" s="6" t="s">
        <v>12</v>
      </c>
      <c r="F56" s="6" t="s">
        <v>13</v>
      </c>
      <c r="G56" s="6" t="s">
        <v>21</v>
      </c>
      <c r="H56" s="8" t="s">
        <v>167</v>
      </c>
      <c r="I56" s="9">
        <v>4.9502E7</v>
      </c>
      <c r="J56" s="5" t="str">
        <f t="shared" ref="J56:K56" si="56">SUBSTITUTE(H56, ",", "")</f>
        <v>2634</v>
      </c>
      <c r="K56" s="5" t="str">
        <f t="shared" si="56"/>
        <v>Rp49502000</v>
      </c>
      <c r="L56" s="5" t="str">
        <f t="shared" si="3"/>
        <v>49502000</v>
      </c>
    </row>
    <row r="57">
      <c r="A57" s="6" t="s">
        <v>168</v>
      </c>
      <c r="B57" s="7" t="str">
        <f>HYPERLINK("https://shopee.co.id/Wardah-Lightening-Serum-Ampoule-30-ml-Serum-dengan-10X-Advanced-Niacinamide-dan-Bisabolol-i.59763733.11102025036", "https://shopee.co.id/Wardah-Lightening-Serum-Ampoule-30-ml-Serum-dengan-10X-Advanced-Niacinamide-dan-Bisabolol-i.59763733.11102025036")</f>
        <v>https://shopee.co.id/Wardah-Lightening-Serum-Ampoule-30-ml-Serum-dengan-10X-Advanced-Niacinamide-dan-Bisabolol-i.59763733.11102025036</v>
      </c>
      <c r="C57" s="6" t="s">
        <v>169</v>
      </c>
      <c r="D57" s="6" t="s">
        <v>170</v>
      </c>
      <c r="E57" s="6" t="s">
        <v>12</v>
      </c>
      <c r="F57" s="6" t="s">
        <v>13</v>
      </c>
      <c r="G57" s="6" t="s">
        <v>98</v>
      </c>
      <c r="H57" s="8" t="s">
        <v>171</v>
      </c>
      <c r="I57" s="9">
        <v>2.348343E8</v>
      </c>
      <c r="J57" s="5" t="str">
        <f t="shared" ref="J57:K57" si="57">SUBSTITUTE(H57, ",", "")</f>
        <v>2620</v>
      </c>
      <c r="K57" s="5" t="str">
        <f t="shared" si="57"/>
        <v>Rp234834300</v>
      </c>
      <c r="L57" s="5" t="str">
        <f t="shared" si="3"/>
        <v>234834300</v>
      </c>
    </row>
    <row r="58">
      <c r="A58" s="6" t="s">
        <v>172</v>
      </c>
      <c r="B58" s="7" t="str">
        <f>HYPERLINK("https://shopee.co.id/L-Oreal-Paris-Revitalift-Hyaluronic-Acid-Serum-Skin-Care-Untuk-Kulit-Lembap-Tampak-Muda-Bercahaya--i.62579622.4847458933", "https://shopee.co.id/L-Oreal-Paris-Revitalift-Hyaluronic-Acid-Serum-Skin-Care-Untuk-Kulit-Lembap-Tampak-Muda-Bercahaya--i.62579622.4847458933")</f>
        <v>https://shopee.co.id/L-Oreal-Paris-Revitalift-Hyaluronic-Acid-Serum-Skin-Care-Untuk-Kulit-Lembap-Tampak-Muda-Bercahaya--i.62579622.4847458933</v>
      </c>
      <c r="C58" s="6" t="s">
        <v>105</v>
      </c>
      <c r="D58" s="6" t="s">
        <v>106</v>
      </c>
      <c r="E58" s="6" t="s">
        <v>12</v>
      </c>
      <c r="F58" s="6" t="s">
        <v>13</v>
      </c>
      <c r="G58" s="6" t="s">
        <v>61</v>
      </c>
      <c r="H58" s="8" t="s">
        <v>173</v>
      </c>
      <c r="I58" s="9">
        <v>2.358376E8</v>
      </c>
      <c r="J58" s="5" t="str">
        <f t="shared" ref="J58:K58" si="58">SUBSTITUTE(H58, ",", "")</f>
        <v>2580</v>
      </c>
      <c r="K58" s="5" t="str">
        <f t="shared" si="58"/>
        <v>Rp235837600</v>
      </c>
      <c r="L58" s="5" t="str">
        <f t="shared" si="3"/>
        <v>235837600</v>
      </c>
    </row>
    <row r="59">
      <c r="A59" s="6" t="s">
        <v>174</v>
      </c>
      <c r="B59" s="7" t="str">
        <f>HYPERLINK("https://shopee.co.id/Avoskin-Your-Skin-Bae-Marine-Collagen-10-Ginseng-Root-i.154494405.5169177930", "https://shopee.co.id/Avoskin-Your-Skin-Bae-Marine-Collagen-10-Ginseng-Root-i.154494405.5169177930")</f>
        <v>https://shopee.co.id/Avoskin-Your-Skin-Bae-Marine-Collagen-10-Ginseng-Root-i.154494405.5169177930</v>
      </c>
      <c r="C59" s="6" t="s">
        <v>83</v>
      </c>
      <c r="D59" s="6" t="s">
        <v>84</v>
      </c>
      <c r="E59" s="6" t="s">
        <v>12</v>
      </c>
      <c r="F59" s="6" t="s">
        <v>13</v>
      </c>
      <c r="G59" s="6" t="s">
        <v>85</v>
      </c>
      <c r="H59" s="8" t="s">
        <v>175</v>
      </c>
      <c r="I59" s="9">
        <v>2.946405E8</v>
      </c>
      <c r="J59" s="5" t="str">
        <f t="shared" ref="J59:K59" si="59">SUBSTITUTE(H59, ",", "")</f>
        <v>2551</v>
      </c>
      <c r="K59" s="5" t="str">
        <f t="shared" si="59"/>
        <v>Rp294640500</v>
      </c>
      <c r="L59" s="5" t="str">
        <f t="shared" si="3"/>
        <v>294640500</v>
      </c>
    </row>
    <row r="60">
      <c r="A60" s="6" t="s">
        <v>176</v>
      </c>
      <c r="B60" s="7" t="str">
        <f>HYPERLINK("https://shopee.co.id/SOMETHINC-10-Niacinamide-Barrier-Serum-i.195455930.6677023326", "https://shopee.co.id/SOMETHINC-10-Niacinamide-Barrier-Serum-i.195455930.6677023326")</f>
        <v>https://shopee.co.id/SOMETHINC-10-Niacinamide-Barrier-Serum-i.195455930.6677023326</v>
      </c>
      <c r="C60" s="6" t="s">
        <v>45</v>
      </c>
      <c r="D60" s="6" t="s">
        <v>46</v>
      </c>
      <c r="E60" s="6" t="s">
        <v>12</v>
      </c>
      <c r="F60" s="6" t="s">
        <v>13</v>
      </c>
      <c r="G60" s="6" t="s">
        <v>21</v>
      </c>
      <c r="H60" s="8" t="s">
        <v>177</v>
      </c>
      <c r="I60" s="9">
        <v>1.21594E8</v>
      </c>
      <c r="J60" s="5" t="str">
        <f t="shared" ref="J60:K60" si="60">SUBSTITUTE(H60, ",", "")</f>
        <v>2396</v>
      </c>
      <c r="K60" s="5" t="str">
        <f t="shared" si="60"/>
        <v>Rp121594000</v>
      </c>
      <c r="L60" s="5" t="str">
        <f t="shared" si="3"/>
        <v>121594000</v>
      </c>
    </row>
    <row r="61">
      <c r="A61" s="6" t="s">
        <v>178</v>
      </c>
      <c r="B61" s="7" t="str">
        <f>HYPERLINK("https://shopee.co.id/Avoskin-Your-Skin-Bae-Vitamin-C-3-Niacinamide-2-Mandarin-Orange-Fruit-Extract-Serum-i.154494405.8518514302", "https://shopee.co.id/Avoskin-Your-Skin-Bae-Vitamin-C-3-Niacinamide-2-Mandarin-Orange-Fruit-Extract-Serum-i.154494405.8518514302")</f>
        <v>https://shopee.co.id/Avoskin-Your-Skin-Bae-Vitamin-C-3-Niacinamide-2-Mandarin-Orange-Fruit-Extract-Serum-i.154494405.8518514302</v>
      </c>
      <c r="C61" s="6" t="s">
        <v>83</v>
      </c>
      <c r="D61" s="6" t="s">
        <v>84</v>
      </c>
      <c r="E61" s="6" t="s">
        <v>12</v>
      </c>
      <c r="F61" s="6" t="s">
        <v>13</v>
      </c>
      <c r="G61" s="6" t="s">
        <v>85</v>
      </c>
      <c r="H61" s="8" t="s">
        <v>179</v>
      </c>
      <c r="I61" s="9">
        <v>1.096369E8</v>
      </c>
      <c r="J61" s="5" t="str">
        <f t="shared" ref="J61:K61" si="61">SUBSTITUTE(H61, ",", "")</f>
        <v>2338</v>
      </c>
      <c r="K61" s="5" t="str">
        <f t="shared" si="61"/>
        <v>Rp109636900</v>
      </c>
      <c r="L61" s="5" t="str">
        <f t="shared" si="3"/>
        <v>109636900</v>
      </c>
    </row>
    <row r="62">
      <c r="A62" s="6" t="s">
        <v>180</v>
      </c>
      <c r="B62" s="7" t="str">
        <f>HYPERLINK("https://shopee.co.id/Erha-Truwhite-VIT-C-Peptides-Brightening-Serum-20-mL-Serum-Pencerah-Wajah-i.129153987.3747532781", "https://shopee.co.id/Erha-Truwhite-VIT-C-Peptides-Brightening-Serum-20-mL-Serum-Pencerah-Wajah-i.129153987.3747532781")</f>
        <v>https://shopee.co.id/Erha-Truwhite-VIT-C-Peptides-Brightening-Serum-20-mL-Serum-Pencerah-Wajah-i.129153987.3747532781</v>
      </c>
      <c r="C62" s="6" t="s">
        <v>181</v>
      </c>
      <c r="D62" s="6" t="s">
        <v>182</v>
      </c>
      <c r="E62" s="6" t="s">
        <v>12</v>
      </c>
      <c r="F62" s="6" t="s">
        <v>13</v>
      </c>
      <c r="G62" s="6" t="s">
        <v>61</v>
      </c>
      <c r="H62" s="8" t="s">
        <v>183</v>
      </c>
      <c r="I62" s="9">
        <v>5.5560362E8</v>
      </c>
      <c r="J62" s="5" t="str">
        <f t="shared" ref="J62:K62" si="62">SUBSTITUTE(H62, ",", "")</f>
        <v>2289</v>
      </c>
      <c r="K62" s="5" t="str">
        <f t="shared" si="62"/>
        <v>Rp555603620</v>
      </c>
      <c r="L62" s="5" t="str">
        <f t="shared" si="3"/>
        <v>555603620</v>
      </c>
    </row>
    <row r="63">
      <c r="A63" s="6" t="s">
        <v>184</v>
      </c>
      <c r="B63" s="7" t="str">
        <f>HYPERLINK("https://shopee.co.id/Avoskin-Perfect-Hydrating-Treatment-Essence-30ml-Travel-Size-i.154494405.2898700343", "https://shopee.co.id/Avoskin-Perfect-Hydrating-Treatment-Essence-30ml-Travel-Size-i.154494405.2898700343")</f>
        <v>https://shopee.co.id/Avoskin-Perfect-Hydrating-Treatment-Essence-30ml-Travel-Size-i.154494405.2898700343</v>
      </c>
      <c r="C63" s="6" t="s">
        <v>83</v>
      </c>
      <c r="D63" s="6" t="s">
        <v>84</v>
      </c>
      <c r="E63" s="6" t="s">
        <v>12</v>
      </c>
      <c r="F63" s="6" t="s">
        <v>13</v>
      </c>
      <c r="G63" s="6" t="s">
        <v>85</v>
      </c>
      <c r="H63" s="8" t="s">
        <v>185</v>
      </c>
      <c r="I63" s="9">
        <v>4.191023E8</v>
      </c>
      <c r="J63" s="5" t="str">
        <f t="shared" ref="J63:K63" si="63">SUBSTITUTE(H63, ",", "")</f>
        <v>2263</v>
      </c>
      <c r="K63" s="5" t="str">
        <f t="shared" si="63"/>
        <v>Rp419102300</v>
      </c>
      <c r="L63" s="5" t="str">
        <f t="shared" si="3"/>
        <v>419102300</v>
      </c>
    </row>
    <row r="64">
      <c r="A64" s="6" t="s">
        <v>186</v>
      </c>
      <c r="B64" s="7" t="str">
        <f>HYPERLINK("https://shopee.co.id/Garnier-Light-Complete-Daily-Kit-Krim-Pagi-dan-Malam-Untuk-Kulit-Cerah-Cepat--i.62583853.3732810439", "https://shopee.co.id/Garnier-Light-Complete-Daily-Kit-Krim-Pagi-dan-Malam-Untuk-Kulit-Cerah-Cepat--i.62583853.3732810439")</f>
        <v>https://shopee.co.id/Garnier-Light-Complete-Daily-Kit-Krim-Pagi-dan-Malam-Untuk-Kulit-Cerah-Cepat--i.62583853.3732810439</v>
      </c>
      <c r="C64" s="6" t="s">
        <v>74</v>
      </c>
      <c r="D64" s="6" t="s">
        <v>75</v>
      </c>
      <c r="E64" s="6" t="s">
        <v>12</v>
      </c>
      <c r="F64" s="6" t="s">
        <v>13</v>
      </c>
      <c r="G64" s="6" t="s">
        <v>61</v>
      </c>
      <c r="H64" s="8" t="s">
        <v>187</v>
      </c>
      <c r="I64" s="9">
        <v>1.321061E8</v>
      </c>
      <c r="J64" s="5" t="str">
        <f t="shared" ref="J64:K64" si="64">SUBSTITUTE(H64, ",", "")</f>
        <v>2252</v>
      </c>
      <c r="K64" s="5" t="str">
        <f t="shared" si="64"/>
        <v>Rp132106100</v>
      </c>
      <c r="L64" s="5" t="str">
        <f t="shared" si="3"/>
        <v>132106100</v>
      </c>
    </row>
    <row r="65">
      <c r="A65" s="6" t="s">
        <v>188</v>
      </c>
      <c r="B65" s="7" t="str">
        <f>HYPERLINK("https://shopee.co.id/Bening-s-Ultimate-Serum-i.190390143.4702968571", "https://shopee.co.id/Bening-s-Ultimate-Serum-i.190390143.4702968571")</f>
        <v>https://shopee.co.id/Bening-s-Ultimate-Serum-i.190390143.4702968571</v>
      </c>
      <c r="C65" s="6" t="s">
        <v>10</v>
      </c>
      <c r="D65" s="6" t="s">
        <v>11</v>
      </c>
      <c r="E65" s="6" t="s">
        <v>12</v>
      </c>
      <c r="F65" s="6" t="s">
        <v>13</v>
      </c>
      <c r="G65" s="6" t="s">
        <v>14</v>
      </c>
      <c r="H65" s="8" t="s">
        <v>189</v>
      </c>
      <c r="I65" s="9">
        <v>2.0118706E8</v>
      </c>
      <c r="J65" s="5" t="str">
        <f t="shared" ref="J65:K65" si="65">SUBSTITUTE(H65, ",", "")</f>
        <v>2200</v>
      </c>
      <c r="K65" s="5" t="str">
        <f t="shared" si="65"/>
        <v>Rp201187060</v>
      </c>
      <c r="L65" s="5" t="str">
        <f t="shared" si="3"/>
        <v>201187060</v>
      </c>
    </row>
    <row r="66">
      <c r="A66" s="6" t="s">
        <v>190</v>
      </c>
      <c r="B66" s="7" t="str">
        <f>HYPERLINK("https://shopee.co.id/MS-glow-ACNE-Serum-i.17566419.1192483406", "https://shopee.co.id/MS-glow-ACNE-Serum-i.17566419.1192483406")</f>
        <v>https://shopee.co.id/MS-glow-ACNE-Serum-i.17566419.1192483406</v>
      </c>
      <c r="C66" s="6" t="s">
        <v>96</v>
      </c>
      <c r="D66" s="6" t="s">
        <v>97</v>
      </c>
      <c r="E66" s="6" t="s">
        <v>12</v>
      </c>
      <c r="F66" s="6" t="s">
        <v>13</v>
      </c>
      <c r="G66" s="6" t="s">
        <v>98</v>
      </c>
      <c r="H66" s="8" t="s">
        <v>191</v>
      </c>
      <c r="I66" s="9">
        <v>1.5413814E8</v>
      </c>
      <c r="J66" s="5" t="str">
        <f t="shared" ref="J66:K66" si="66">SUBSTITUTE(H66, ",", "")</f>
        <v>2190</v>
      </c>
      <c r="K66" s="5" t="str">
        <f t="shared" si="66"/>
        <v>Rp154138140</v>
      </c>
      <c r="L66" s="5" t="str">
        <f t="shared" si="3"/>
        <v>154138140</v>
      </c>
    </row>
    <row r="67">
      <c r="A67" s="6" t="s">
        <v>192</v>
      </c>
      <c r="B67" s="7" t="str">
        <f>HYPERLINK("https://shopee.co.id/Garnier-Sakura-White-Hyaluron-30x-Booster-Serum-Skin-Care-30-ml-x-2-pcs-Kulit-Glowing-Dalam-7-Hari--i.62583853.6538434960", "https://shopee.co.id/Garnier-Sakura-White-Hyaluron-30x-Booster-Serum-Skin-Care-30-ml-x-2-pcs-Kulit-Glowing-Dalam-7-Hari--i.62583853.6538434960")</f>
        <v>https://shopee.co.id/Garnier-Sakura-White-Hyaluron-30x-Booster-Serum-Skin-Care-30-ml-x-2-pcs-Kulit-Glowing-Dalam-7-Hari--i.62583853.6538434960</v>
      </c>
      <c r="C67" s="6" t="s">
        <v>74</v>
      </c>
      <c r="D67" s="6" t="s">
        <v>75</v>
      </c>
      <c r="E67" s="6" t="s">
        <v>12</v>
      </c>
      <c r="F67" s="6" t="s">
        <v>13</v>
      </c>
      <c r="G67" s="6" t="s">
        <v>61</v>
      </c>
      <c r="H67" s="8" t="s">
        <v>193</v>
      </c>
      <c r="I67" s="9">
        <v>2.51433E8</v>
      </c>
      <c r="J67" s="5" t="str">
        <f t="shared" ref="J67:K67" si="67">SUBSTITUTE(H67, ",", "")</f>
        <v>2149</v>
      </c>
      <c r="K67" s="5" t="str">
        <f t="shared" si="67"/>
        <v>Rp251433000</v>
      </c>
      <c r="L67" s="5" t="str">
        <f t="shared" si="3"/>
        <v>251433000</v>
      </c>
    </row>
    <row r="68">
      <c r="A68" s="6" t="s">
        <v>194</v>
      </c>
      <c r="B68" s="7" t="str">
        <f>HYPERLINK("https://shopee.co.id/Nutrishe-Intensive-Bright-Glow-Serum-i.593789.4546230356", "https://shopee.co.id/Nutrishe-Intensive-Bright-Glow-Serum-i.593789.4546230356")</f>
        <v>https://shopee.co.id/Nutrishe-Intensive-Bright-Glow-Serum-i.593789.4546230356</v>
      </c>
      <c r="C68" s="6" t="s">
        <v>195</v>
      </c>
      <c r="D68" s="6" t="s">
        <v>196</v>
      </c>
      <c r="E68" s="6" t="s">
        <v>12</v>
      </c>
      <c r="F68" s="6" t="s">
        <v>13</v>
      </c>
      <c r="G68" s="6" t="s">
        <v>85</v>
      </c>
      <c r="H68" s="8" t="s">
        <v>197</v>
      </c>
      <c r="I68" s="9">
        <v>1.01971625E8</v>
      </c>
      <c r="J68" s="5" t="str">
        <f t="shared" ref="J68:K68" si="68">SUBSTITUTE(H68, ",", "")</f>
        <v>2130</v>
      </c>
      <c r="K68" s="5" t="str">
        <f t="shared" si="68"/>
        <v>Rp101971625</v>
      </c>
      <c r="L68" s="5" t="str">
        <f t="shared" si="3"/>
        <v>101971625</v>
      </c>
    </row>
    <row r="69">
      <c r="A69" s="6" t="s">
        <v>198</v>
      </c>
      <c r="B69" s="7" t="str">
        <f>HYPERLINK("https://shopee.co.id/Garnier-Bright-Complete-Vitamin-C-30x-Booster-Serum-Skin-Care-Cepat-Cerahkan-Noda-Hitam-15-ml--i.62583853.7015652399", "https://shopee.co.id/Garnier-Bright-Complete-Vitamin-C-30x-Booster-Serum-Skin-Care-Cepat-Cerahkan-Noda-Hitam-15-ml--i.62583853.7015652399")</f>
        <v>https://shopee.co.id/Garnier-Bright-Complete-Vitamin-C-30x-Booster-Serum-Skin-Care-Cepat-Cerahkan-Noda-Hitam-15-ml--i.62583853.7015652399</v>
      </c>
      <c r="C69" s="6" t="s">
        <v>74</v>
      </c>
      <c r="D69" s="6" t="s">
        <v>75</v>
      </c>
      <c r="E69" s="6" t="s">
        <v>12</v>
      </c>
      <c r="F69" s="6" t="s">
        <v>13</v>
      </c>
      <c r="G69" s="6" t="s">
        <v>61</v>
      </c>
      <c r="H69" s="8" t="s">
        <v>199</v>
      </c>
      <c r="I69" s="9">
        <v>2.94819E8</v>
      </c>
      <c r="J69" s="5" t="str">
        <f t="shared" ref="J69:K69" si="69">SUBSTITUTE(H69, ",", "")</f>
        <v>2121</v>
      </c>
      <c r="K69" s="5" t="str">
        <f t="shared" si="69"/>
        <v>Rp294819000</v>
      </c>
      <c r="L69" s="5" t="str">
        <f t="shared" si="3"/>
        <v>294819000</v>
      </c>
    </row>
    <row r="70">
      <c r="A70" s="6" t="s">
        <v>200</v>
      </c>
      <c r="B70" s="7" t="str">
        <f>HYPERLINK("https://shopee.co.id/ElsheSkin-Radiant-Skin-Serum-i.9035345.787533497", "https://shopee.co.id/ElsheSkin-Radiant-Skin-Serum-i.9035345.787533497")</f>
        <v>https://shopee.co.id/ElsheSkin-Radiant-Skin-Serum-i.9035345.787533497</v>
      </c>
      <c r="C70" s="6" t="s">
        <v>135</v>
      </c>
      <c r="D70" s="6" t="s">
        <v>136</v>
      </c>
      <c r="E70" s="6" t="s">
        <v>12</v>
      </c>
      <c r="F70" s="6" t="s">
        <v>13</v>
      </c>
      <c r="G70" s="6" t="s">
        <v>80</v>
      </c>
      <c r="H70" s="8" t="s">
        <v>201</v>
      </c>
      <c r="I70" s="9">
        <v>2.94263E8</v>
      </c>
      <c r="J70" s="5" t="str">
        <f t="shared" ref="J70:K70" si="70">SUBSTITUTE(H70, ",", "")</f>
        <v>2117</v>
      </c>
      <c r="K70" s="5" t="str">
        <f t="shared" si="70"/>
        <v>Rp294263000</v>
      </c>
      <c r="L70" s="5" t="str">
        <f t="shared" si="3"/>
        <v>294263000</v>
      </c>
    </row>
    <row r="71">
      <c r="A71" s="6" t="s">
        <v>202</v>
      </c>
      <c r="B71" s="7" t="str">
        <f>HYPERLINK("https://shopee.co.id/Garnier-Sakura-White-Daily-Kit-Krim-Pagi-dan-Malam-Untuk-Kulit-Cerah-Merona--i.62583853.3932809781", "https://shopee.co.id/Garnier-Sakura-White-Daily-Kit-Krim-Pagi-dan-Malam-Untuk-Kulit-Cerah-Merona--i.62583853.3932809781")</f>
        <v>https://shopee.co.id/Garnier-Sakura-White-Daily-Kit-Krim-Pagi-dan-Malam-Untuk-Kulit-Cerah-Merona--i.62583853.3932809781</v>
      </c>
      <c r="C71" s="6" t="s">
        <v>74</v>
      </c>
      <c r="D71" s="6" t="s">
        <v>75</v>
      </c>
      <c r="E71" s="6" t="s">
        <v>12</v>
      </c>
      <c r="F71" s="6" t="s">
        <v>13</v>
      </c>
      <c r="G71" s="6" t="s">
        <v>61</v>
      </c>
      <c r="H71" s="8" t="s">
        <v>203</v>
      </c>
      <c r="I71" s="9">
        <v>2.82719E8</v>
      </c>
      <c r="J71" s="5" t="str">
        <f t="shared" ref="J71:K71" si="71">SUBSTITUTE(H71, ",", "")</f>
        <v>2065</v>
      </c>
      <c r="K71" s="5" t="str">
        <f t="shared" si="71"/>
        <v>Rp282719000</v>
      </c>
      <c r="L71" s="5" t="str">
        <f t="shared" si="3"/>
        <v>282719000</v>
      </c>
    </row>
    <row r="72">
      <c r="A72" s="6" t="s">
        <v>204</v>
      </c>
      <c r="B72" s="7" t="str">
        <f>HYPERLINK("https://shopee.co.id/Garnier-Sakura-White-Hyaluron-30x-Booster-Serum-Skin-Care-30-ml-Untuk-Kulit-Glowing-Dalam-7-Hari--i.62583853.3723054486", "https://shopee.co.id/Garnier-Sakura-White-Hyaluron-30x-Booster-Serum-Skin-Care-30-ml-Untuk-Kulit-Glowing-Dalam-7-Hari--i.62583853.3723054486")</f>
        <v>https://shopee.co.id/Garnier-Sakura-White-Hyaluron-30x-Booster-Serum-Skin-Care-30-ml-Untuk-Kulit-Glowing-Dalam-7-Hari--i.62583853.3723054486</v>
      </c>
      <c r="C72" s="6" t="s">
        <v>74</v>
      </c>
      <c r="D72" s="6" t="s">
        <v>75</v>
      </c>
      <c r="E72" s="6" t="s">
        <v>12</v>
      </c>
      <c r="F72" s="6" t="s">
        <v>13</v>
      </c>
      <c r="G72" s="6" t="s">
        <v>61</v>
      </c>
      <c r="H72" s="8" t="s">
        <v>205</v>
      </c>
      <c r="I72" s="9">
        <v>3.763618E8</v>
      </c>
      <c r="J72" s="5" t="str">
        <f t="shared" ref="J72:K72" si="72">SUBSTITUTE(H72, ",", "")</f>
        <v>2038</v>
      </c>
      <c r="K72" s="5" t="str">
        <f t="shared" si="72"/>
        <v>Rp376361800</v>
      </c>
      <c r="L72" s="5" t="str">
        <f t="shared" si="3"/>
        <v>376361800</v>
      </c>
    </row>
    <row r="73">
      <c r="A73" s="6" t="s">
        <v>206</v>
      </c>
      <c r="B73" s="7" t="str">
        <f>HYPERLINK("https://shopee.co.id/L-Oreal-Paris-White-Perfect-Clinical-Essence-Vit-C-Serum-Niacinamide-Skin-Care-30-ml-i.62579622.1022738994", "https://shopee.co.id/L-Oreal-Paris-White-Perfect-Clinical-Essence-Vit-C-Serum-Niacinamide-Skin-Care-30-ml-i.62579622.1022738994")</f>
        <v>https://shopee.co.id/L-Oreal-Paris-White-Perfect-Clinical-Essence-Vit-C-Serum-Niacinamide-Skin-Care-30-ml-i.62579622.1022738994</v>
      </c>
      <c r="C73" s="6" t="s">
        <v>105</v>
      </c>
      <c r="D73" s="6" t="s">
        <v>106</v>
      </c>
      <c r="E73" s="6" t="s">
        <v>12</v>
      </c>
      <c r="F73" s="6" t="s">
        <v>13</v>
      </c>
      <c r="G73" s="6" t="s">
        <v>61</v>
      </c>
      <c r="H73" s="8" t="s">
        <v>207</v>
      </c>
      <c r="I73" s="9">
        <v>2.72865E8</v>
      </c>
      <c r="J73" s="5" t="str">
        <f t="shared" ref="J73:K73" si="73">SUBSTITUTE(H73, ",", "")</f>
        <v>2013</v>
      </c>
      <c r="K73" s="5" t="str">
        <f t="shared" si="73"/>
        <v>Rp272865000</v>
      </c>
      <c r="L73" s="5" t="str">
        <f t="shared" si="3"/>
        <v>272865000</v>
      </c>
    </row>
    <row r="74">
      <c r="A74" s="6" t="s">
        <v>208</v>
      </c>
      <c r="B74" s="7" t="str">
        <f>HYPERLINK("https://shopee.co.id/Emina-Bright-Stuff-Face-Serum-30-ml-i.63983008.3017944185", "https://shopee.co.id/Emina-Bright-Stuff-Face-Serum-30-ml-i.63983008.3017944185")</f>
        <v>https://shopee.co.id/Emina-Bright-Stuff-Face-Serum-30-ml-i.63983008.3017944185</v>
      </c>
      <c r="C74" s="6" t="s">
        <v>209</v>
      </c>
      <c r="D74" s="6" t="s">
        <v>210</v>
      </c>
      <c r="E74" s="6" t="s">
        <v>12</v>
      </c>
      <c r="F74" s="6" t="s">
        <v>13</v>
      </c>
      <c r="G74" s="6" t="s">
        <v>98</v>
      </c>
      <c r="H74" s="8" t="s">
        <v>211</v>
      </c>
      <c r="I74" s="9">
        <v>3.46369105E8</v>
      </c>
      <c r="J74" s="5" t="str">
        <f t="shared" ref="J74:K74" si="74">SUBSTITUTE(H74, ",", "")</f>
        <v>2005</v>
      </c>
      <c r="K74" s="5" t="str">
        <f t="shared" si="74"/>
        <v>Rp346369105</v>
      </c>
      <c r="L74" s="5" t="str">
        <f t="shared" si="3"/>
        <v>346369105</v>
      </c>
    </row>
    <row r="75">
      <c r="A75" s="6" t="s">
        <v>212</v>
      </c>
      <c r="B75" s="7" t="str">
        <f>HYPERLINK("https://shopee.co.id/Some-By-Mi-Snail-Truecica-Miracle-Repair-Serum-i.455311481.3991399405", "https://shopee.co.id/Some-By-Mi-Snail-Truecica-Miracle-Repair-Serum-i.455311481.3991399405")</f>
        <v>https://shopee.co.id/Some-By-Mi-Snail-Truecica-Miracle-Repair-Serum-i.455311481.3991399405</v>
      </c>
      <c r="C75" s="6" t="s">
        <v>213</v>
      </c>
      <c r="D75" s="6" t="s">
        <v>214</v>
      </c>
      <c r="E75" s="6" t="s">
        <v>12</v>
      </c>
      <c r="F75" s="6" t="s">
        <v>13</v>
      </c>
      <c r="G75" s="6" t="s">
        <v>130</v>
      </c>
      <c r="H75" s="8" t="s">
        <v>215</v>
      </c>
      <c r="I75" s="9">
        <v>2.672648E8</v>
      </c>
      <c r="J75" s="5" t="str">
        <f t="shared" ref="J75:K75" si="75">SUBSTITUTE(H75, ",", "")</f>
        <v>1987</v>
      </c>
      <c r="K75" s="5" t="str">
        <f t="shared" si="75"/>
        <v>Rp267264800</v>
      </c>
      <c r="L75" s="5" t="str">
        <f t="shared" si="3"/>
        <v>267264800</v>
      </c>
    </row>
    <row r="76">
      <c r="A76" s="6" t="s">
        <v>216</v>
      </c>
      <c r="B76" s="7" t="str">
        <f>HYPERLINK("https://shopee.co.id/SOMETHINC-Salmon-DNA-Marine-Collagen-Elixir-i.195455930.11801204134", "https://shopee.co.id/SOMETHINC-Salmon-DNA-Marine-Collagen-Elixir-i.195455930.11801204134")</f>
        <v>https://shopee.co.id/SOMETHINC-Salmon-DNA-Marine-Collagen-Elixir-i.195455930.11801204134</v>
      </c>
      <c r="C76" s="6" t="s">
        <v>45</v>
      </c>
      <c r="D76" s="6" t="s">
        <v>46</v>
      </c>
      <c r="E76" s="6" t="s">
        <v>12</v>
      </c>
      <c r="F76" s="6" t="s">
        <v>13</v>
      </c>
      <c r="G76" s="6" t="s">
        <v>21</v>
      </c>
      <c r="H76" s="8" t="s">
        <v>217</v>
      </c>
      <c r="I76" s="9">
        <v>3.574764E7</v>
      </c>
      <c r="J76" s="5" t="str">
        <f t="shared" ref="J76:K76" si="76">SUBSTITUTE(H76, ",", "")</f>
        <v>1983</v>
      </c>
      <c r="K76" s="5" t="str">
        <f t="shared" si="76"/>
        <v>Rp35747640</v>
      </c>
      <c r="L76" s="5" t="str">
        <f t="shared" si="3"/>
        <v>35747640</v>
      </c>
    </row>
    <row r="77">
      <c r="A77" s="6" t="s">
        <v>218</v>
      </c>
      <c r="B77" s="7" t="str">
        <f>HYPERLINK("https://shopee.co.id/Everwhite-Cica-Soothing-Serum-i.85451896.3244126017", "https://shopee.co.id/Everwhite-Cica-Soothing-Serum-i.85451896.3244126017")</f>
        <v>https://shopee.co.id/Everwhite-Cica-Soothing-Serum-i.85451896.3244126017</v>
      </c>
      <c r="C77" s="6" t="s">
        <v>157</v>
      </c>
      <c r="D77" s="6" t="s">
        <v>158</v>
      </c>
      <c r="E77" s="6" t="s">
        <v>12</v>
      </c>
      <c r="F77" s="6" t="s">
        <v>13</v>
      </c>
      <c r="G77" s="6" t="s">
        <v>61</v>
      </c>
      <c r="H77" s="8" t="s">
        <v>219</v>
      </c>
      <c r="I77" s="9">
        <v>4.3170205E7</v>
      </c>
      <c r="J77" s="5" t="str">
        <f t="shared" ref="J77:K77" si="77">SUBSTITUTE(H77, ",", "")</f>
        <v>1894</v>
      </c>
      <c r="K77" s="5" t="str">
        <f t="shared" si="77"/>
        <v>Rp43170205</v>
      </c>
      <c r="L77" s="5" t="str">
        <f t="shared" si="3"/>
        <v>43170205</v>
      </c>
    </row>
    <row r="78">
      <c r="A78" s="6" t="s">
        <v>220</v>
      </c>
      <c r="B78" s="7" t="str">
        <f>HYPERLINK("https://shopee.co.id/The-Body-Shop-Drops-Of-Light-Brigthening-Serum-30ml-i.28053737.1381710783", "https://shopee.co.id/The-Body-Shop-Drops-Of-Light-Brigthening-Serum-30ml-i.28053737.1381710783")</f>
        <v>https://shopee.co.id/The-Body-Shop-Drops-Of-Light-Brigthening-Serum-30ml-i.28053737.1381710783</v>
      </c>
      <c r="C78" s="6" t="s">
        <v>221</v>
      </c>
      <c r="D78" s="6" t="s">
        <v>222</v>
      </c>
      <c r="E78" s="6" t="s">
        <v>12</v>
      </c>
      <c r="F78" s="6" t="s">
        <v>13</v>
      </c>
      <c r="G78" s="6" t="s">
        <v>80</v>
      </c>
      <c r="H78" s="8" t="s">
        <v>223</v>
      </c>
      <c r="I78" s="9">
        <v>1.29338566E8</v>
      </c>
      <c r="J78" s="5" t="str">
        <f t="shared" ref="J78:K78" si="78">SUBSTITUTE(H78, ",", "")</f>
        <v>1858</v>
      </c>
      <c r="K78" s="5" t="str">
        <f t="shared" si="78"/>
        <v>Rp129338566</v>
      </c>
      <c r="L78" s="5" t="str">
        <f t="shared" si="3"/>
        <v>129338566</v>
      </c>
    </row>
    <row r="79">
      <c r="A79" s="6" t="s">
        <v>224</v>
      </c>
      <c r="B79" s="7" t="str">
        <f>HYPERLINK("https://shopee.co.id/Scarlett-Whitening-Acne-to-Glow-Mini-Series-i.255365082.5793510263", "https://shopee.co.id/Scarlett-Whitening-Acne-to-Glow-Mini-Series-i.255365082.5793510263")</f>
        <v>https://shopee.co.id/Scarlett-Whitening-Acne-to-Glow-Mini-Series-i.255365082.5793510263</v>
      </c>
      <c r="C79" s="6" t="s">
        <v>19</v>
      </c>
      <c r="D79" s="6" t="s">
        <v>20</v>
      </c>
      <c r="E79" s="6" t="s">
        <v>12</v>
      </c>
      <c r="F79" s="6" t="s">
        <v>13</v>
      </c>
      <c r="G79" s="6" t="s">
        <v>21</v>
      </c>
      <c r="H79" s="8" t="s">
        <v>225</v>
      </c>
      <c r="I79" s="9">
        <v>5.3282E8</v>
      </c>
      <c r="J79" s="5" t="str">
        <f t="shared" ref="J79:K79" si="79">SUBSTITUTE(H79, ",", "")</f>
        <v>1852</v>
      </c>
      <c r="K79" s="5" t="str">
        <f t="shared" si="79"/>
        <v>Rp532820000</v>
      </c>
      <c r="L79" s="5" t="str">
        <f t="shared" si="3"/>
        <v>532820000</v>
      </c>
    </row>
    <row r="80">
      <c r="A80" s="6" t="s">
        <v>226</v>
      </c>
      <c r="B80" s="7" t="str">
        <f>HYPERLINK("https://shopee.co.id/Scarlett-Acne-Serum-i.110573301.4455344555", "https://shopee.co.id/Scarlett-Acne-Serum-i.110573301.4455344555")</f>
        <v>https://shopee.co.id/Scarlett-Acne-Serum-i.110573301.4455344555</v>
      </c>
      <c r="C80" s="6" t="s">
        <v>19</v>
      </c>
      <c r="D80" s="6" t="s">
        <v>227</v>
      </c>
      <c r="E80" s="6" t="s">
        <v>12</v>
      </c>
      <c r="F80" s="6" t="s">
        <v>13</v>
      </c>
      <c r="G80" s="6" t="s">
        <v>61</v>
      </c>
      <c r="H80" s="8" t="s">
        <v>228</v>
      </c>
      <c r="I80" s="9">
        <v>2.1153015E8</v>
      </c>
      <c r="J80" s="5" t="str">
        <f t="shared" ref="J80:K80" si="80">SUBSTITUTE(H80, ",", "")</f>
        <v>1819</v>
      </c>
      <c r="K80" s="5" t="str">
        <f t="shared" si="80"/>
        <v>Rp211530150</v>
      </c>
      <c r="L80" s="5" t="str">
        <f t="shared" si="3"/>
        <v>211530150</v>
      </c>
    </row>
    <row r="81">
      <c r="A81" s="6" t="s">
        <v>229</v>
      </c>
      <c r="B81" s="7" t="str">
        <f>HYPERLINK("https://shopee.co.id/YOU-The-Radiance-White-Nourishing-Serum-20ml-i.72375863.7655069323", "https://shopee.co.id/YOU-The-Radiance-White-Nourishing-Serum-20ml-i.72375863.7655069323")</f>
        <v>https://shopee.co.id/YOU-The-Radiance-White-Nourishing-Serum-20ml-i.72375863.7655069323</v>
      </c>
      <c r="C81" s="6" t="s">
        <v>128</v>
      </c>
      <c r="D81" s="6" t="s">
        <v>129</v>
      </c>
      <c r="E81" s="6" t="s">
        <v>12</v>
      </c>
      <c r="F81" s="6" t="s">
        <v>13</v>
      </c>
      <c r="G81" s="6" t="s">
        <v>130</v>
      </c>
      <c r="H81" s="8" t="s">
        <v>228</v>
      </c>
      <c r="I81" s="9">
        <v>2.7285E8</v>
      </c>
      <c r="J81" s="5" t="str">
        <f t="shared" ref="J81:K81" si="81">SUBSTITUTE(H81, ",", "")</f>
        <v>1819</v>
      </c>
      <c r="K81" s="5" t="str">
        <f t="shared" si="81"/>
        <v>Rp272850000</v>
      </c>
      <c r="L81" s="5" t="str">
        <f t="shared" si="3"/>
        <v>272850000</v>
      </c>
    </row>
    <row r="82">
      <c r="A82" s="6" t="s">
        <v>230</v>
      </c>
      <c r="B82" s="7" t="str">
        <f>HYPERLINK("https://shopee.co.id/Scarlett-Whitening-Brightly-to-Glow-Mini-Series-i.255365082.9373885211", "https://shopee.co.id/Scarlett-Whitening-Brightly-to-Glow-Mini-Series-i.255365082.9373885211")</f>
        <v>https://shopee.co.id/Scarlett-Whitening-Brightly-to-Glow-Mini-Series-i.255365082.9373885211</v>
      </c>
      <c r="C82" s="6" t="s">
        <v>19</v>
      </c>
      <c r="D82" s="6" t="s">
        <v>20</v>
      </c>
      <c r="E82" s="6" t="s">
        <v>12</v>
      </c>
      <c r="F82" s="6" t="s">
        <v>13</v>
      </c>
      <c r="G82" s="6" t="s">
        <v>21</v>
      </c>
      <c r="H82" s="8" t="s">
        <v>231</v>
      </c>
      <c r="I82" s="9">
        <v>1.10122E8</v>
      </c>
      <c r="J82" s="5" t="str">
        <f t="shared" ref="J82:K82" si="82">SUBSTITUTE(H82, ",", "")</f>
        <v>1793</v>
      </c>
      <c r="K82" s="5" t="str">
        <f t="shared" si="82"/>
        <v>Rp110122000</v>
      </c>
      <c r="L82" s="5" t="str">
        <f t="shared" si="3"/>
        <v>110122000</v>
      </c>
    </row>
    <row r="83">
      <c r="A83" s="6" t="s">
        <v>232</v>
      </c>
      <c r="B83" s="7" t="str">
        <f>HYPERLINK("https://shopee.co.id/Azarine-C-White-Lightening-Serum-20ml-i.80036545.1347370981", "https://shopee.co.id/Azarine-C-White-Lightening-Serum-20ml-i.80036545.1347370981")</f>
        <v>https://shopee.co.id/Azarine-C-White-Lightening-Serum-20ml-i.80036545.1347370981</v>
      </c>
      <c r="C83" s="6" t="s">
        <v>233</v>
      </c>
      <c r="D83" s="6" t="s">
        <v>234</v>
      </c>
      <c r="E83" s="6" t="s">
        <v>12</v>
      </c>
      <c r="F83" s="6" t="s">
        <v>13</v>
      </c>
      <c r="G83" s="6" t="s">
        <v>115</v>
      </c>
      <c r="H83" s="8" t="s">
        <v>235</v>
      </c>
      <c r="I83" s="9">
        <v>8.48622E7</v>
      </c>
      <c r="J83" s="5" t="str">
        <f t="shared" ref="J83:K83" si="83">SUBSTITUTE(H83, ",", "")</f>
        <v>1717</v>
      </c>
      <c r="K83" s="5" t="str">
        <f t="shared" si="83"/>
        <v>Rp84862200</v>
      </c>
      <c r="L83" s="5" t="str">
        <f t="shared" si="3"/>
        <v>84862200</v>
      </c>
    </row>
    <row r="84">
      <c r="A84" s="6" t="s">
        <v>236</v>
      </c>
      <c r="B84" s="7" t="str">
        <f>HYPERLINK("https://shopee.co.id/TRUEVE-Galactomyces-Peptide-Anti-Aging-Serum-30-ML-Serum-Wajah-i.310417610.5156774790", "https://shopee.co.id/TRUEVE-Galactomyces-Peptide-Anti-Aging-Serum-30-ML-Serum-Wajah-i.310417610.5156774790")</f>
        <v>https://shopee.co.id/TRUEVE-Galactomyces-Peptide-Anti-Aging-Serum-30-ML-Serum-Wajah-i.310417610.5156774790</v>
      </c>
      <c r="C84" s="6" t="s">
        <v>34</v>
      </c>
      <c r="D84" s="6" t="s">
        <v>35</v>
      </c>
      <c r="E84" s="6" t="s">
        <v>12</v>
      </c>
      <c r="F84" s="6" t="s">
        <v>13</v>
      </c>
      <c r="G84" s="6" t="s">
        <v>36</v>
      </c>
      <c r="H84" s="8" t="s">
        <v>237</v>
      </c>
      <c r="I84" s="9">
        <v>7.77464E7</v>
      </c>
      <c r="J84" s="5" t="str">
        <f t="shared" ref="J84:K84" si="84">SUBSTITUTE(H84, ",", "")</f>
        <v>1716</v>
      </c>
      <c r="K84" s="5" t="str">
        <f t="shared" si="84"/>
        <v>Rp77746400</v>
      </c>
      <c r="L84" s="5" t="str">
        <f t="shared" si="3"/>
        <v>77746400</v>
      </c>
    </row>
    <row r="85">
      <c r="A85" s="6" t="s">
        <v>238</v>
      </c>
      <c r="B85" s="7" t="str">
        <f>HYPERLINK("https://shopee.co.id/Airnderm-Aesthetic-Radiant-Serum-by-AIRIN-BEAUTY--i.112372548.2239633539", "https://shopee.co.id/Airnderm-Aesthetic-Radiant-Serum-by-AIRIN-BEAUTY--i.112372548.2239633539")</f>
        <v>https://shopee.co.id/Airnderm-Aesthetic-Radiant-Serum-by-AIRIN-BEAUTY--i.112372548.2239633539</v>
      </c>
      <c r="C85" s="6" t="s">
        <v>239</v>
      </c>
      <c r="D85" s="6" t="s">
        <v>240</v>
      </c>
      <c r="E85" s="6" t="s">
        <v>12</v>
      </c>
      <c r="F85" s="6" t="s">
        <v>13</v>
      </c>
      <c r="G85" s="6" t="s">
        <v>241</v>
      </c>
      <c r="H85" s="8" t="s">
        <v>242</v>
      </c>
      <c r="I85" s="9">
        <v>4.341792E8</v>
      </c>
      <c r="J85" s="5" t="str">
        <f t="shared" ref="J85:K85" si="85">SUBSTITUTE(H85, ",", "")</f>
        <v>1707</v>
      </c>
      <c r="K85" s="5" t="str">
        <f t="shared" si="85"/>
        <v>Rp434179200</v>
      </c>
      <c r="L85" s="5" t="str">
        <f t="shared" si="3"/>
        <v>434179200</v>
      </c>
    </row>
    <row r="86">
      <c r="A86" s="6" t="s">
        <v>243</v>
      </c>
      <c r="B86" s="7" t="str">
        <f>HYPERLINK("https://shopee.co.id/Niacid-by-Slurp-Laboratories-Korea-All-in-One-Face-Serum-i.349084850.5077926017", "https://shopee.co.id/Niacid-by-Slurp-Laboratories-Korea-All-in-One-Face-Serum-i.349084850.5077926017")</f>
        <v>https://shopee.co.id/Niacid-by-Slurp-Laboratories-Korea-All-in-One-Face-Serum-i.349084850.5077926017</v>
      </c>
      <c r="C86" s="6" t="s">
        <v>244</v>
      </c>
      <c r="D86" s="6" t="s">
        <v>245</v>
      </c>
      <c r="E86" s="6" t="s">
        <v>12</v>
      </c>
      <c r="F86" s="6" t="s">
        <v>13</v>
      </c>
      <c r="G86" s="6" t="s">
        <v>61</v>
      </c>
      <c r="H86" s="8" t="s">
        <v>246</v>
      </c>
      <c r="I86" s="9">
        <v>4.877757E8</v>
      </c>
      <c r="J86" s="5" t="str">
        <f t="shared" ref="J86:K86" si="86">SUBSTITUTE(H86, ",", "")</f>
        <v>1692</v>
      </c>
      <c r="K86" s="5" t="str">
        <f t="shared" si="86"/>
        <v>Rp487775700</v>
      </c>
      <c r="L86" s="5" t="str">
        <f t="shared" si="3"/>
        <v>487775700</v>
      </c>
    </row>
    <row r="87">
      <c r="A87" s="6" t="s">
        <v>247</v>
      </c>
      <c r="B87" s="7" t="str">
        <f>HYPERLINK("https://shopee.co.id/Scarlett-Whitening-Paket-Reseller-48-Item-i.255365082.5332031961", "https://shopee.co.id/Scarlett-Whitening-Paket-Reseller-48-Item-i.255365082.5332031961")</f>
        <v>https://shopee.co.id/Scarlett-Whitening-Paket-Reseller-48-Item-i.255365082.5332031961</v>
      </c>
      <c r="C87" s="6" t="s">
        <v>19</v>
      </c>
      <c r="D87" s="6" t="s">
        <v>20</v>
      </c>
      <c r="E87" s="6" t="s">
        <v>12</v>
      </c>
      <c r="F87" s="6" t="s">
        <v>13</v>
      </c>
      <c r="G87" s="6" t="s">
        <v>21</v>
      </c>
      <c r="H87" s="8" t="s">
        <v>248</v>
      </c>
      <c r="I87" s="9">
        <v>2.34201E7</v>
      </c>
      <c r="J87" s="5" t="str">
        <f t="shared" ref="J87:K87" si="87">SUBSTITUTE(H87, ",", "")</f>
        <v>1615</v>
      </c>
      <c r="K87" s="5" t="str">
        <f t="shared" si="87"/>
        <v>Rp23420100</v>
      </c>
      <c r="L87" s="5" t="str">
        <f t="shared" si="3"/>
        <v>23420100</v>
      </c>
    </row>
    <row r="88">
      <c r="A88" s="6" t="s">
        <v>249</v>
      </c>
      <c r="B88" s="7" t="str">
        <f>HYPERLINK("https://shopee.co.id/Bening-s-Brightening-Night-Cream-K1-Cream-Malam-Pencerah-dan-Glowing-i.190390143.7204038822", "https://shopee.co.id/Bening-s-Brightening-Night-Cream-K1-Cream-Malam-Pencerah-dan-Glowing-i.190390143.7204038822")</f>
        <v>https://shopee.co.id/Bening-s-Brightening-Night-Cream-K1-Cream-Malam-Pencerah-dan-Glowing-i.190390143.7204038822</v>
      </c>
      <c r="C88" s="6" t="s">
        <v>10</v>
      </c>
      <c r="D88" s="6" t="s">
        <v>11</v>
      </c>
      <c r="E88" s="6" t="s">
        <v>12</v>
      </c>
      <c r="F88" s="6" t="s">
        <v>13</v>
      </c>
      <c r="G88" s="6" t="s">
        <v>14</v>
      </c>
      <c r="H88" s="8" t="s">
        <v>250</v>
      </c>
      <c r="I88" s="9">
        <v>3.103875E8</v>
      </c>
      <c r="J88" s="5" t="str">
        <f t="shared" ref="J88:K88" si="88">SUBSTITUTE(H88, ",", "")</f>
        <v>1613</v>
      </c>
      <c r="K88" s="5" t="str">
        <f t="shared" si="88"/>
        <v>Rp310387500</v>
      </c>
      <c r="L88" s="5" t="str">
        <f t="shared" si="3"/>
        <v>310387500</v>
      </c>
    </row>
    <row r="89">
      <c r="A89" s="6" t="s">
        <v>251</v>
      </c>
      <c r="B89" s="7" t="str">
        <f>HYPERLINK("https://shopee.co.id/Hyalu-B5-Serum-30ml-Bundle-FREE-Hyalu-B5-10ml-Uvidea-Anthelios-50-Spf-Sunscreen-3ml-Senilai-330K-i.433144176.11511752557", "https://shopee.co.id/Hyalu-B5-Serum-30ml-Bundle-FREE-Hyalu-B5-10ml-Uvidea-Anthelios-50-Spf-Sunscreen-3ml-Senilai-330K-i.433144176.11511752557")</f>
        <v>https://shopee.co.id/Hyalu-B5-Serum-30ml-Bundle-FREE-Hyalu-B5-10ml-Uvidea-Anthelios-50-Spf-Sunscreen-3ml-Senilai-330K-i.433144176.11511752557</v>
      </c>
      <c r="C89" s="6" t="s">
        <v>147</v>
      </c>
      <c r="D89" s="6" t="s">
        <v>148</v>
      </c>
      <c r="E89" s="6" t="s">
        <v>12</v>
      </c>
      <c r="F89" s="6" t="s">
        <v>13</v>
      </c>
      <c r="G89" s="6" t="s">
        <v>61</v>
      </c>
      <c r="H89" s="8" t="s">
        <v>252</v>
      </c>
      <c r="I89" s="9">
        <v>1.208299E8</v>
      </c>
      <c r="J89" s="5" t="str">
        <f t="shared" ref="J89:K89" si="89">SUBSTITUTE(H89, ",", "")</f>
        <v>1611</v>
      </c>
      <c r="K89" s="5" t="str">
        <f t="shared" si="89"/>
        <v>Rp120829900</v>
      </c>
      <c r="L89" s="5" t="str">
        <f t="shared" si="3"/>
        <v>120829900</v>
      </c>
    </row>
    <row r="90">
      <c r="A90" s="6" t="s">
        <v>253</v>
      </c>
      <c r="B90" s="7" t="str">
        <f>HYPERLINK("https://shopee.co.id/Premiere-Beaute-Niacinamide-Centella-Serum-Luminous-White-Glow-Brightening-Serum-30ml-i.237204571.4794043147", "https://shopee.co.id/Premiere-Beaute-Niacinamide-Centella-Serum-Luminous-White-Glow-Brightening-Serum-30ml-i.237204571.4794043147")</f>
        <v>https://shopee.co.id/Premiere-Beaute-Niacinamide-Centella-Serum-Luminous-White-Glow-Brightening-Serum-30ml-i.237204571.4794043147</v>
      </c>
      <c r="C90" s="6" t="s">
        <v>254</v>
      </c>
      <c r="D90" s="6" t="s">
        <v>255</v>
      </c>
      <c r="E90" s="6" t="s">
        <v>12</v>
      </c>
      <c r="F90" s="6" t="s">
        <v>13</v>
      </c>
      <c r="G90" s="6" t="s">
        <v>61</v>
      </c>
      <c r="H90" s="8" t="s">
        <v>256</v>
      </c>
      <c r="I90" s="9">
        <v>4.351032E8</v>
      </c>
      <c r="J90" s="5" t="str">
        <f t="shared" ref="J90:K90" si="90">SUBSTITUTE(H90, ",", "")</f>
        <v>1582</v>
      </c>
      <c r="K90" s="5" t="str">
        <f t="shared" si="90"/>
        <v>Rp435103200</v>
      </c>
      <c r="L90" s="5" t="str">
        <f t="shared" si="3"/>
        <v>435103200</v>
      </c>
    </row>
    <row r="91">
      <c r="A91" s="6" t="s">
        <v>257</v>
      </c>
      <c r="B91" s="7" t="str">
        <f>HYPERLINK("https://shopee.co.id/Wardah-Lightening-Serum-Ampoule-8-ml-Serum-dengan-10X-Advanced-Niacinamide-dan-Bisabolol-i.59763733.7978730355", "https://shopee.co.id/Wardah-Lightening-Serum-Ampoule-8-ml-Serum-dengan-10X-Advanced-Niacinamide-dan-Bisabolol-i.59763733.7978730355")</f>
        <v>https://shopee.co.id/Wardah-Lightening-Serum-Ampoule-8-ml-Serum-dengan-10X-Advanced-Niacinamide-dan-Bisabolol-i.59763733.7978730355</v>
      </c>
      <c r="C91" s="6" t="s">
        <v>169</v>
      </c>
      <c r="D91" s="6" t="s">
        <v>170</v>
      </c>
      <c r="E91" s="6" t="s">
        <v>12</v>
      </c>
      <c r="F91" s="6" t="s">
        <v>13</v>
      </c>
      <c r="G91" s="6" t="s">
        <v>98</v>
      </c>
      <c r="H91" s="8" t="s">
        <v>258</v>
      </c>
      <c r="I91" s="9">
        <v>3.03435E8</v>
      </c>
      <c r="J91" s="5" t="str">
        <f t="shared" ref="J91:K91" si="91">SUBSTITUTE(H91, ",", "")</f>
        <v>1578</v>
      </c>
      <c r="K91" s="5" t="str">
        <f t="shared" si="91"/>
        <v>Rp303435000</v>
      </c>
      <c r="L91" s="5" t="str">
        <f t="shared" si="3"/>
        <v>303435000</v>
      </c>
    </row>
    <row r="92">
      <c r="A92" s="6" t="s">
        <v>259</v>
      </c>
      <c r="B92" s="7" t="str">
        <f>HYPERLINK("https://shopee.co.id/La-Roche-Posay-Hyalu-B5-Anti-Aging-Serum-30ml-Serum-Hyaluronic-Acid-Kulit-Sensitif-Kering-Kerutan-i.433144176.8551394134", "https://shopee.co.id/La-Roche-Posay-Hyalu-B5-Anti-Aging-Serum-30ml-Serum-Hyaluronic-Acid-Kulit-Sensitif-Kering-Kerutan-i.433144176.8551394134")</f>
        <v>https://shopee.co.id/La-Roche-Posay-Hyalu-B5-Anti-Aging-Serum-30ml-Serum-Hyaluronic-Acid-Kulit-Sensitif-Kering-Kerutan-i.433144176.8551394134</v>
      </c>
      <c r="C92" s="6" t="s">
        <v>147</v>
      </c>
      <c r="D92" s="6" t="s">
        <v>148</v>
      </c>
      <c r="E92" s="6" t="s">
        <v>12</v>
      </c>
      <c r="F92" s="6" t="s">
        <v>13</v>
      </c>
      <c r="G92" s="6" t="s">
        <v>61</v>
      </c>
      <c r="H92" s="8" t="s">
        <v>260</v>
      </c>
      <c r="I92" s="9">
        <v>1.55056425E8</v>
      </c>
      <c r="J92" s="5" t="str">
        <f t="shared" ref="J92:K92" si="92">SUBSTITUTE(H92, ",", "")</f>
        <v>1575</v>
      </c>
      <c r="K92" s="5" t="str">
        <f t="shared" si="92"/>
        <v>Rp155056425</v>
      </c>
      <c r="L92" s="5" t="str">
        <f t="shared" si="3"/>
        <v>155056425</v>
      </c>
    </row>
    <row r="93">
      <c r="A93" s="6" t="s">
        <v>261</v>
      </c>
      <c r="B93" s="7" t="str">
        <f>HYPERLINK("https://shopee.co.id/La-Roche-Posay-Effaclar-Salicylic-Acid-Serum-30ml-Serum-Wajah-Kulit-Jerawat-Berminyak-i.433144176.10521129148", "https://shopee.co.id/La-Roche-Posay-Effaclar-Salicylic-Acid-Serum-30ml-Serum-Wajah-Kulit-Jerawat-Berminyak-i.433144176.10521129148")</f>
        <v>https://shopee.co.id/La-Roche-Posay-Effaclar-Salicylic-Acid-Serum-30ml-Serum-Wajah-Kulit-Jerawat-Berminyak-i.433144176.10521129148</v>
      </c>
      <c r="C93" s="6" t="s">
        <v>147</v>
      </c>
      <c r="D93" s="6" t="s">
        <v>148</v>
      </c>
      <c r="E93" s="6" t="s">
        <v>12</v>
      </c>
      <c r="F93" s="6" t="s">
        <v>13</v>
      </c>
      <c r="G93" s="6" t="s">
        <v>61</v>
      </c>
      <c r="H93" s="8" t="s">
        <v>262</v>
      </c>
      <c r="I93" s="9">
        <v>2.87126815E8</v>
      </c>
      <c r="J93" s="5" t="str">
        <f t="shared" ref="J93:K93" si="93">SUBSTITUTE(H93, ",", "")</f>
        <v>1561</v>
      </c>
      <c r="K93" s="5" t="str">
        <f t="shared" si="93"/>
        <v>Rp287126815</v>
      </c>
      <c r="L93" s="5" t="str">
        <f t="shared" si="3"/>
        <v>287126815</v>
      </c>
    </row>
    <row r="94">
      <c r="A94" s="6" t="s">
        <v>263</v>
      </c>
      <c r="B94" s="7" t="str">
        <f>HYPERLINK("https://shopee.co.id/Bening-s-Brightening-Night-Cream-H-K2new-Cream-Malam-Pencerah-dan-Glowing-i.190390143.3804134468", "https://shopee.co.id/Bening-s-Brightening-Night-Cream-H-K2new-Cream-Malam-Pencerah-dan-Glowing-i.190390143.3804134468")</f>
        <v>https://shopee.co.id/Bening-s-Brightening-Night-Cream-H-K2new-Cream-Malam-Pencerah-dan-Glowing-i.190390143.3804134468</v>
      </c>
      <c r="C94" s="6" t="s">
        <v>10</v>
      </c>
      <c r="D94" s="6" t="s">
        <v>11</v>
      </c>
      <c r="E94" s="6" t="s">
        <v>12</v>
      </c>
      <c r="F94" s="6" t="s">
        <v>13</v>
      </c>
      <c r="G94" s="6" t="s">
        <v>14</v>
      </c>
      <c r="H94" s="8" t="s">
        <v>264</v>
      </c>
      <c r="I94" s="9">
        <v>1.90925E8</v>
      </c>
      <c r="J94" s="5" t="str">
        <f t="shared" ref="J94:K94" si="94">SUBSTITUTE(H94, ",", "")</f>
        <v>1533</v>
      </c>
      <c r="K94" s="5" t="str">
        <f t="shared" si="94"/>
        <v>Rp190925000</v>
      </c>
      <c r="L94" s="5" t="str">
        <f t="shared" si="3"/>
        <v>190925000</v>
      </c>
    </row>
    <row r="95">
      <c r="A95" s="6" t="s">
        <v>265</v>
      </c>
      <c r="B95" s="7" t="str">
        <f>HYPERLINK("https://shopee.co.id/NPURE-Face-Essence-Centella-Asiatica-Acne-Care-Cica-Series--i.115276607.7432028999", "https://shopee.co.id/NPURE-Face-Essence-Centella-Asiatica-Acne-Care-Cica-Series--i.115276607.7432028999")</f>
        <v>https://shopee.co.id/NPURE-Face-Essence-Centella-Asiatica-Acne-Care-Cica-Series--i.115276607.7432028999</v>
      </c>
      <c r="C95" s="6" t="s">
        <v>266</v>
      </c>
      <c r="D95" s="6" t="s">
        <v>267</v>
      </c>
      <c r="E95" s="6" t="s">
        <v>12</v>
      </c>
      <c r="F95" s="6" t="s">
        <v>13</v>
      </c>
      <c r="G95" s="6" t="s">
        <v>61</v>
      </c>
      <c r="H95" s="8" t="s">
        <v>268</v>
      </c>
      <c r="I95" s="9">
        <v>6.17568E7</v>
      </c>
      <c r="J95" s="5" t="str">
        <f t="shared" ref="J95:K95" si="95">SUBSTITUTE(H95, ",", "")</f>
        <v>1519</v>
      </c>
      <c r="K95" s="5" t="str">
        <f t="shared" si="95"/>
        <v>Rp61756800</v>
      </c>
      <c r="L95" s="5" t="str">
        <f t="shared" si="3"/>
        <v>61756800</v>
      </c>
    </row>
    <row r="96">
      <c r="A96" s="6" t="s">
        <v>269</v>
      </c>
      <c r="B96" s="7" t="str">
        <f>HYPERLINK("https://shopee.co.id/Whitelab-Granactive-Retinoid-Intensive-Care-Serum-i.201071840.2924946282", "https://shopee.co.id/Whitelab-Granactive-Retinoid-Intensive-Care-Serum-i.201071840.2924946282")</f>
        <v>https://shopee.co.id/Whitelab-Granactive-Retinoid-Intensive-Care-Serum-i.201071840.2924946282</v>
      </c>
      <c r="C96" s="6" t="s">
        <v>59</v>
      </c>
      <c r="D96" s="6" t="s">
        <v>60</v>
      </c>
      <c r="E96" s="6" t="s">
        <v>12</v>
      </c>
      <c r="F96" s="6" t="s">
        <v>13</v>
      </c>
      <c r="G96" s="6" t="s">
        <v>61</v>
      </c>
      <c r="H96" s="8" t="s">
        <v>270</v>
      </c>
      <c r="I96" s="9">
        <v>5.22683E7</v>
      </c>
      <c r="J96" s="5" t="str">
        <f t="shared" ref="J96:K96" si="96">SUBSTITUTE(H96, ",", "")</f>
        <v>1477</v>
      </c>
      <c r="K96" s="5" t="str">
        <f t="shared" si="96"/>
        <v>Rp52268300</v>
      </c>
      <c r="L96" s="5" t="str">
        <f t="shared" si="3"/>
        <v>52268300</v>
      </c>
    </row>
    <row r="97">
      <c r="A97" s="6" t="s">
        <v>271</v>
      </c>
      <c r="B97" s="7" t="str">
        <f>HYPERLINK("https://shopee.co.id/Wardah-Renew-You-Anti-Aging-Intensive-Serum-17-ml-Serum-Anti-Aging-Samarkan-Garis-Halus-i.59763733.1080218030", "https://shopee.co.id/Wardah-Renew-You-Anti-Aging-Intensive-Serum-17-ml-Serum-Anti-Aging-Samarkan-Garis-Halus-i.59763733.1080218030")</f>
        <v>https://shopee.co.id/Wardah-Renew-You-Anti-Aging-Intensive-Serum-17-ml-Serum-Anti-Aging-Samarkan-Garis-Halus-i.59763733.1080218030</v>
      </c>
      <c r="C97" s="6" t="s">
        <v>169</v>
      </c>
      <c r="D97" s="6" t="s">
        <v>170</v>
      </c>
      <c r="E97" s="6" t="s">
        <v>12</v>
      </c>
      <c r="F97" s="6" t="s">
        <v>13</v>
      </c>
      <c r="G97" s="6" t="s">
        <v>98</v>
      </c>
      <c r="H97" s="8" t="s">
        <v>272</v>
      </c>
      <c r="I97" s="9">
        <v>4.80356E7</v>
      </c>
      <c r="J97" s="5" t="str">
        <f t="shared" ref="J97:K97" si="97">SUBSTITUTE(H97, ",", "")</f>
        <v>1461</v>
      </c>
      <c r="K97" s="5" t="str">
        <f t="shared" si="97"/>
        <v>Rp48035600</v>
      </c>
      <c r="L97" s="5" t="str">
        <f t="shared" si="3"/>
        <v>48035600</v>
      </c>
    </row>
    <row r="98">
      <c r="A98" s="6" t="s">
        <v>273</v>
      </c>
      <c r="B98" s="7" t="str">
        <f>HYPERLINK("https://shopee.co.id/MSBB-Avoskin-Your-Skin-Bae-Alpha-Arbutin-3-Grapeseed-i.288588702.5369143153", "https://shopee.co.id/MSBB-Avoskin-Your-Skin-Bae-Alpha-Arbutin-3-Grapeseed-i.288588702.5369143153")</f>
        <v>https://shopee.co.id/MSBB-Avoskin-Your-Skin-Bae-Alpha-Arbutin-3-Grapeseed-i.288588702.5369143153</v>
      </c>
      <c r="C98" s="6" t="s">
        <v>83</v>
      </c>
      <c r="D98" s="6" t="s">
        <v>79</v>
      </c>
      <c r="E98" s="6" t="s">
        <v>12</v>
      </c>
      <c r="F98" s="6" t="s">
        <v>13</v>
      </c>
      <c r="G98" s="6" t="s">
        <v>80</v>
      </c>
      <c r="H98" s="8" t="s">
        <v>274</v>
      </c>
      <c r="I98" s="9">
        <v>3.35309247E8</v>
      </c>
      <c r="J98" s="5" t="str">
        <f t="shared" ref="J98:K98" si="98">SUBSTITUTE(H98, ",", "")</f>
        <v>1442</v>
      </c>
      <c r="K98" s="5" t="str">
        <f t="shared" si="98"/>
        <v>Rp335309247</v>
      </c>
      <c r="L98" s="5" t="str">
        <f t="shared" si="3"/>
        <v>335309247</v>
      </c>
    </row>
    <row r="99">
      <c r="A99" s="6" t="s">
        <v>275</v>
      </c>
      <c r="B99" s="7" t="str">
        <f>HYPERLINK("https://shopee.co.id/Everwhite-Niacinamide-Brightening-Serum-i.85451896.6657101035", "https://shopee.co.id/Everwhite-Niacinamide-Brightening-Serum-i.85451896.6657101035")</f>
        <v>https://shopee.co.id/Everwhite-Niacinamide-Brightening-Serum-i.85451896.6657101035</v>
      </c>
      <c r="C99" s="6" t="s">
        <v>157</v>
      </c>
      <c r="D99" s="6" t="s">
        <v>158</v>
      </c>
      <c r="E99" s="6" t="s">
        <v>12</v>
      </c>
      <c r="F99" s="6" t="s">
        <v>13</v>
      </c>
      <c r="G99" s="6" t="s">
        <v>61</v>
      </c>
      <c r="H99" s="8" t="s">
        <v>276</v>
      </c>
      <c r="I99" s="9">
        <v>1.4211E8</v>
      </c>
      <c r="J99" s="5" t="str">
        <f t="shared" ref="J99:K99" si="99">SUBSTITUTE(H99, ",", "")</f>
        <v>1440</v>
      </c>
      <c r="K99" s="5" t="str">
        <f t="shared" si="99"/>
        <v>Rp142110000</v>
      </c>
      <c r="L99" s="5" t="str">
        <f t="shared" si="3"/>
        <v>142110000</v>
      </c>
    </row>
    <row r="100">
      <c r="A100" s="6" t="s">
        <v>277</v>
      </c>
      <c r="B100" s="7" t="str">
        <f>HYPERLINK("https://shopee.co.id/Safi-Age-Defy-Anti-Aging-Youth-Elixir-Serum-15ml-Perawatan-Wajah-i.63823668.4301599794", "https://shopee.co.id/Safi-Age-Defy-Anti-Aging-Youth-Elixir-Serum-15ml-Perawatan-Wajah-i.63823668.4301599794")</f>
        <v>https://shopee.co.id/Safi-Age-Defy-Anti-Aging-Youth-Elixir-Serum-15ml-Perawatan-Wajah-i.63823668.4301599794</v>
      </c>
      <c r="C100" s="6" t="s">
        <v>278</v>
      </c>
      <c r="D100" s="6" t="s">
        <v>279</v>
      </c>
      <c r="E100" s="6" t="s">
        <v>12</v>
      </c>
      <c r="F100" s="6" t="s">
        <v>13</v>
      </c>
      <c r="G100" s="6" t="s">
        <v>61</v>
      </c>
      <c r="H100" s="8" t="s">
        <v>280</v>
      </c>
      <c r="I100" s="9">
        <v>2.14365E8</v>
      </c>
      <c r="J100" s="5" t="str">
        <f t="shared" ref="J100:K100" si="100">SUBSTITUTE(H100, ",", "")</f>
        <v>1383</v>
      </c>
      <c r="K100" s="5" t="str">
        <f t="shared" si="100"/>
        <v>Rp214365000</v>
      </c>
      <c r="L100" s="5" t="str">
        <f t="shared" si="3"/>
        <v>214365000</v>
      </c>
    </row>
    <row r="101">
      <c r="A101" s="6" t="s">
        <v>281</v>
      </c>
      <c r="B101" s="7" t="str">
        <f>HYPERLINK("https://shopee.co.id/Sulwhasoo-First-Care-Best-Seller-Trial-Kit-i.274949344.9450972801", "https://shopee.co.id/Sulwhasoo-First-Care-Best-Seller-Trial-Kit-i.274949344.9450972801")</f>
        <v>https://shopee.co.id/Sulwhasoo-First-Care-Best-Seller-Trial-Kit-i.274949344.9450972801</v>
      </c>
      <c r="C101" s="6" t="s">
        <v>282</v>
      </c>
      <c r="D101" s="6" t="s">
        <v>283</v>
      </c>
      <c r="E101" s="6" t="s">
        <v>12</v>
      </c>
      <c r="F101" s="6" t="s">
        <v>13</v>
      </c>
      <c r="G101" s="6" t="s">
        <v>61</v>
      </c>
      <c r="H101" s="8" t="s">
        <v>284</v>
      </c>
      <c r="I101" s="9">
        <v>3.73728E7</v>
      </c>
      <c r="J101" s="5" t="str">
        <f t="shared" ref="J101:K101" si="101">SUBSTITUTE(H101, ",", "")</f>
        <v>1372</v>
      </c>
      <c r="K101" s="5" t="str">
        <f t="shared" si="101"/>
        <v>Rp37372800</v>
      </c>
      <c r="L101" s="5" t="str">
        <f t="shared" si="3"/>
        <v>37372800</v>
      </c>
    </row>
    <row r="102">
      <c r="A102" s="6" t="s">
        <v>285</v>
      </c>
      <c r="B102" s="7" t="str">
        <f>HYPERLINK("https://shopee.co.id/Madame-Gie-Madame-Serum-Skin-Care-Face-Serum-i.94309880.7866764988", "https://shopee.co.id/Madame-Gie-Madame-Serum-Skin-Care-Face-Serum-i.94309880.7866764988")</f>
        <v>https://shopee.co.id/Madame-Gie-Madame-Serum-Skin-Care-Face-Serum-i.94309880.7866764988</v>
      </c>
      <c r="C102" s="6" t="s">
        <v>286</v>
      </c>
      <c r="D102" s="6" t="s">
        <v>287</v>
      </c>
      <c r="E102" s="6" t="s">
        <v>12</v>
      </c>
      <c r="F102" s="6" t="s">
        <v>13</v>
      </c>
      <c r="G102" s="6" t="s">
        <v>21</v>
      </c>
      <c r="H102" s="8" t="s">
        <v>288</v>
      </c>
      <c r="I102" s="9">
        <v>8.0849912E7</v>
      </c>
      <c r="J102" s="5" t="str">
        <f t="shared" ref="J102:K102" si="102">SUBSTITUTE(H102, ",", "")</f>
        <v>1329</v>
      </c>
      <c r="K102" s="5" t="str">
        <f t="shared" si="102"/>
        <v>Rp80849912</v>
      </c>
      <c r="L102" s="5" t="str">
        <f t="shared" si="3"/>
        <v>80849912</v>
      </c>
    </row>
    <row r="103">
      <c r="A103" s="6" t="s">
        <v>289</v>
      </c>
      <c r="B103" s="7" t="str">
        <f>HYPERLINK("https://shopee.co.id/MAKE-OVER-Hydration-Serum-33-ml-Hydrating-Makeup-Primer-i.63984475.1058801221", "https://shopee.co.id/MAKE-OVER-Hydration-Serum-33-ml-Hydrating-Makeup-Primer-i.63984475.1058801221")</f>
        <v>https://shopee.co.id/MAKE-OVER-Hydration-Serum-33-ml-Hydrating-Makeup-Primer-i.63984475.1058801221</v>
      </c>
      <c r="C103" s="6" t="s">
        <v>290</v>
      </c>
      <c r="D103" s="6" t="s">
        <v>291</v>
      </c>
      <c r="E103" s="6" t="s">
        <v>12</v>
      </c>
      <c r="F103" s="6" t="s">
        <v>13</v>
      </c>
      <c r="G103" s="6" t="s">
        <v>98</v>
      </c>
      <c r="H103" s="8" t="s">
        <v>292</v>
      </c>
      <c r="I103" s="9">
        <v>1.256112E8</v>
      </c>
      <c r="J103" s="5" t="str">
        <f t="shared" ref="J103:K103" si="103">SUBSTITUTE(H103, ",", "")</f>
        <v>1314</v>
      </c>
      <c r="K103" s="5" t="str">
        <f t="shared" si="103"/>
        <v>Rp125611200</v>
      </c>
      <c r="L103" s="5" t="str">
        <f t="shared" si="3"/>
        <v>125611200</v>
      </c>
    </row>
    <row r="104">
      <c r="A104" s="6" t="s">
        <v>293</v>
      </c>
      <c r="B104" s="7" t="str">
        <f>HYPERLINK("https://shopee.co.id/-innisfree-Green-Tea-Seed-Serum-Niacinamide-Hyaluronic-Acid-Hydration-Serum-Wajah-Skincare-i.61504589.1005136681", "https://shopee.co.id/-innisfree-Green-Tea-Seed-Serum-Niacinamide-Hyaluronic-Acid-Hydration-Serum-Wajah-Skincare-i.61504589.1005136681")</f>
        <v>https://shopee.co.id/-innisfree-Green-Tea-Seed-Serum-Niacinamide-Hyaluronic-Acid-Hydration-Serum-Wajah-Skincare-i.61504589.1005136681</v>
      </c>
      <c r="C104" s="6" t="s">
        <v>294</v>
      </c>
      <c r="D104" s="6" t="s">
        <v>295</v>
      </c>
      <c r="E104" s="6" t="s">
        <v>12</v>
      </c>
      <c r="F104" s="6" t="s">
        <v>13</v>
      </c>
      <c r="G104" s="6" t="s">
        <v>296</v>
      </c>
      <c r="H104" s="8" t="s">
        <v>297</v>
      </c>
      <c r="I104" s="9">
        <v>3.86924E7</v>
      </c>
      <c r="J104" s="5" t="str">
        <f t="shared" ref="J104:K104" si="104">SUBSTITUTE(H104, ",", "")</f>
        <v>1307</v>
      </c>
      <c r="K104" s="5" t="str">
        <f t="shared" si="104"/>
        <v>Rp38692400</v>
      </c>
      <c r="L104" s="5" t="str">
        <f t="shared" si="3"/>
        <v>38692400</v>
      </c>
    </row>
    <row r="105">
      <c r="A105" s="6" t="s">
        <v>298</v>
      </c>
      <c r="B105" s="7" t="str">
        <f>HYPERLINK("https://shopee.co.id/La-Roche-Posay-Effaclar-Acne-Serum-Routine-FREE-GIFTS-senilai-Rp-680-000-i.433144176.9887147243", "https://shopee.co.id/La-Roche-Posay-Effaclar-Acne-Serum-Routine-FREE-GIFTS-senilai-Rp-680-000-i.433144176.9887147243")</f>
        <v>https://shopee.co.id/La-Roche-Posay-Effaclar-Acne-Serum-Routine-FREE-GIFTS-senilai-Rp-680-000-i.433144176.9887147243</v>
      </c>
      <c r="C105" s="6" t="s">
        <v>147</v>
      </c>
      <c r="D105" s="6" t="s">
        <v>148</v>
      </c>
      <c r="E105" s="6" t="s">
        <v>12</v>
      </c>
      <c r="F105" s="6" t="s">
        <v>13</v>
      </c>
      <c r="G105" s="6" t="s">
        <v>61</v>
      </c>
      <c r="H105" s="8" t="s">
        <v>299</v>
      </c>
      <c r="I105" s="9">
        <v>1.84545E8</v>
      </c>
      <c r="J105" s="5" t="str">
        <f t="shared" ref="J105:K105" si="105">SUBSTITUTE(H105, ",", "")</f>
        <v>1295</v>
      </c>
      <c r="K105" s="5" t="str">
        <f t="shared" si="105"/>
        <v>Rp184545000</v>
      </c>
      <c r="L105" s="5" t="str">
        <f t="shared" si="3"/>
        <v>184545000</v>
      </c>
    </row>
    <row r="106">
      <c r="A106" s="6" t="s">
        <v>300</v>
      </c>
      <c r="B106" s="7" t="str">
        <f>HYPERLINK("https://shopee.co.id/Sulwhasoo-Concentrated-Ginseng-Renewing-Serum-Trial-Kit-i.274949344.6963764722", "https://shopee.co.id/Sulwhasoo-Concentrated-Ginseng-Renewing-Serum-Trial-Kit-i.274949344.6963764722")</f>
        <v>https://shopee.co.id/Sulwhasoo-Concentrated-Ginseng-Renewing-Serum-Trial-Kit-i.274949344.6963764722</v>
      </c>
      <c r="C106" s="6" t="s">
        <v>282</v>
      </c>
      <c r="D106" s="6" t="s">
        <v>283</v>
      </c>
      <c r="E106" s="6" t="s">
        <v>12</v>
      </c>
      <c r="F106" s="6" t="s">
        <v>13</v>
      </c>
      <c r="G106" s="6" t="s">
        <v>61</v>
      </c>
      <c r="H106" s="8" t="s">
        <v>301</v>
      </c>
      <c r="I106" s="9">
        <v>2.95908E7</v>
      </c>
      <c r="J106" s="5" t="str">
        <f t="shared" ref="J106:K106" si="106">SUBSTITUTE(H106, ",", "")</f>
        <v>1293</v>
      </c>
      <c r="K106" s="5" t="str">
        <f t="shared" si="106"/>
        <v>Rp29590800</v>
      </c>
      <c r="L106" s="5" t="str">
        <f t="shared" si="3"/>
        <v>29590800</v>
      </c>
    </row>
    <row r="107">
      <c r="A107" s="6" t="s">
        <v>302</v>
      </c>
      <c r="B107" s="7" t="str">
        <f>HYPERLINK("https://shopee.co.id/Azarine-Anti-Acne-Brightening-Serum-20ml-i.80036545.3865358281", "https://shopee.co.id/Azarine-Anti-Acne-Brightening-Serum-20ml-i.80036545.3865358281")</f>
        <v>https://shopee.co.id/Azarine-Anti-Acne-Brightening-Serum-20ml-i.80036545.3865358281</v>
      </c>
      <c r="C107" s="6" t="s">
        <v>233</v>
      </c>
      <c r="D107" s="6" t="s">
        <v>234</v>
      </c>
      <c r="E107" s="6" t="s">
        <v>12</v>
      </c>
      <c r="F107" s="6" t="s">
        <v>13</v>
      </c>
      <c r="G107" s="6" t="s">
        <v>115</v>
      </c>
      <c r="H107" s="8" t="s">
        <v>303</v>
      </c>
      <c r="I107" s="9">
        <v>1.5025725E8</v>
      </c>
      <c r="J107" s="5" t="str">
        <f t="shared" ref="J107:K107" si="107">SUBSTITUTE(H107, ",", "")</f>
        <v>1292</v>
      </c>
      <c r="K107" s="5" t="str">
        <f t="shared" si="107"/>
        <v>Rp150257250</v>
      </c>
      <c r="L107" s="5" t="str">
        <f t="shared" si="3"/>
        <v>150257250</v>
      </c>
    </row>
    <row r="108">
      <c r="A108" s="6" t="s">
        <v>304</v>
      </c>
      <c r="B108" s="7" t="str">
        <f>HYPERLINK("https://shopee.co.id/COSRX-Advanced-Snail-Mucin-96-Power-Essence-Skin-Care-100-ML-Esense-wajah-untuk-anti-penuaan--i.404429429.2957199164", "https://shopee.co.id/COSRX-Advanced-Snail-Mucin-96-Power-Essence-Skin-Care-100-ML-Esense-wajah-untuk-anti-penuaan--i.404429429.2957199164")</f>
        <v>https://shopee.co.id/COSRX-Advanced-Snail-Mucin-96-Power-Essence-Skin-Care-100-ML-Esense-wajah-untuk-anti-penuaan--i.404429429.2957199164</v>
      </c>
      <c r="C108" s="6" t="s">
        <v>305</v>
      </c>
      <c r="D108" s="6" t="s">
        <v>306</v>
      </c>
      <c r="E108" s="6" t="s">
        <v>12</v>
      </c>
      <c r="F108" s="6" t="s">
        <v>13</v>
      </c>
      <c r="G108" s="6" t="s">
        <v>21</v>
      </c>
      <c r="H108" s="8" t="s">
        <v>307</v>
      </c>
      <c r="I108" s="9">
        <v>8.674875E7</v>
      </c>
      <c r="J108" s="5" t="str">
        <f t="shared" ref="J108:K108" si="108">SUBSTITUTE(H108, ",", "")</f>
        <v>1214</v>
      </c>
      <c r="K108" s="5" t="str">
        <f t="shared" si="108"/>
        <v>Rp86748750</v>
      </c>
      <c r="L108" s="5" t="str">
        <f t="shared" si="3"/>
        <v>86748750</v>
      </c>
    </row>
    <row r="109">
      <c r="A109" s="6" t="s">
        <v>308</v>
      </c>
      <c r="B109" s="7" t="str">
        <f>HYPERLINK("https://shopee.co.id/Scarlett-Brightly-Ever-After-Serum-i.110573301.6455045424", "https://shopee.co.id/Scarlett-Brightly-Ever-After-Serum-i.110573301.6455045424")</f>
        <v>https://shopee.co.id/Scarlett-Brightly-Ever-After-Serum-i.110573301.6455045424</v>
      </c>
      <c r="C109" s="6" t="s">
        <v>19</v>
      </c>
      <c r="D109" s="6" t="s">
        <v>227</v>
      </c>
      <c r="E109" s="6" t="s">
        <v>12</v>
      </c>
      <c r="F109" s="6" t="s">
        <v>13</v>
      </c>
      <c r="G109" s="6" t="s">
        <v>61</v>
      </c>
      <c r="H109" s="8" t="s">
        <v>309</v>
      </c>
      <c r="I109" s="9">
        <v>2.3736E8</v>
      </c>
      <c r="J109" s="5" t="str">
        <f t="shared" ref="J109:K109" si="109">SUBSTITUTE(H109, ",", "")</f>
        <v>1213</v>
      </c>
      <c r="K109" s="5" t="str">
        <f t="shared" si="109"/>
        <v>Rp237360000</v>
      </c>
      <c r="L109" s="5" t="str">
        <f t="shared" si="3"/>
        <v>237360000</v>
      </c>
    </row>
    <row r="110">
      <c r="A110" s="6" t="s">
        <v>310</v>
      </c>
      <c r="B110" s="7" t="str">
        <f>HYPERLINK("https://shopee.co.id/Garnier-Bright-Complete-White-Speed-Serum-Day-Cream-Extra-SPF-36-PA-Skin-Care-50-ml-i.62583853.1022726857", "https://shopee.co.id/Garnier-Bright-Complete-White-Speed-Serum-Day-Cream-Extra-SPF-36-PA-Skin-Care-50-ml-i.62583853.1022726857")</f>
        <v>https://shopee.co.id/Garnier-Bright-Complete-White-Speed-Serum-Day-Cream-Extra-SPF-36-PA-Skin-Care-50-ml-i.62583853.1022726857</v>
      </c>
      <c r="C110" s="6" t="s">
        <v>74</v>
      </c>
      <c r="D110" s="6" t="s">
        <v>75</v>
      </c>
      <c r="E110" s="6" t="s">
        <v>12</v>
      </c>
      <c r="F110" s="6" t="s">
        <v>13</v>
      </c>
      <c r="G110" s="6" t="s">
        <v>61</v>
      </c>
      <c r="H110" s="8" t="s">
        <v>311</v>
      </c>
      <c r="I110" s="9">
        <v>1.58421304E8</v>
      </c>
      <c r="J110" s="5" t="str">
        <f t="shared" ref="J110:K110" si="110">SUBSTITUTE(H110, ",", "")</f>
        <v>1177</v>
      </c>
      <c r="K110" s="5" t="str">
        <f t="shared" si="110"/>
        <v>Rp158421304</v>
      </c>
      <c r="L110" s="5" t="str">
        <f t="shared" si="3"/>
        <v>158421304</v>
      </c>
    </row>
    <row r="111">
      <c r="A111" s="6" t="s">
        <v>312</v>
      </c>
      <c r="B111" s="7" t="str">
        <f>HYPERLINK("https://shopee.co.id/Whitelab-Hydrating-Face-Essence-i.201071840.3170161664", "https://shopee.co.id/Whitelab-Hydrating-Face-Essence-i.201071840.3170161664")</f>
        <v>https://shopee.co.id/Whitelab-Hydrating-Face-Essence-i.201071840.3170161664</v>
      </c>
      <c r="C111" s="6" t="s">
        <v>59</v>
      </c>
      <c r="D111" s="6" t="s">
        <v>60</v>
      </c>
      <c r="E111" s="6" t="s">
        <v>12</v>
      </c>
      <c r="F111" s="6" t="s">
        <v>13</v>
      </c>
      <c r="G111" s="6" t="s">
        <v>61</v>
      </c>
      <c r="H111" s="8" t="s">
        <v>313</v>
      </c>
      <c r="I111" s="9">
        <v>2.169897E8</v>
      </c>
      <c r="J111" s="5" t="str">
        <f t="shared" ref="J111:K111" si="111">SUBSTITUTE(H111, ",", "")</f>
        <v>1153</v>
      </c>
      <c r="K111" s="5" t="str">
        <f t="shared" si="111"/>
        <v>Rp216989700</v>
      </c>
      <c r="L111" s="5" t="str">
        <f t="shared" si="3"/>
        <v>216989700</v>
      </c>
    </row>
    <row r="112">
      <c r="A112" s="6" t="s">
        <v>314</v>
      </c>
      <c r="B112" s="7" t="str">
        <f>HYPERLINK("https://shopee.co.id/Dear-Me-Beauty-2-Salicylic-Acid-BHA-Lemon-Extract-Face-Serum-12ml-i.45495764.9248396765", "https://shopee.co.id/Dear-Me-Beauty-2-Salicylic-Acid-BHA-Lemon-Extract-Face-Serum-12ml-i.45495764.9248396765")</f>
        <v>https://shopee.co.id/Dear-Me-Beauty-2-Salicylic-Acid-BHA-Lemon-Extract-Face-Serum-12ml-i.45495764.9248396765</v>
      </c>
      <c r="C112" s="6" t="s">
        <v>70</v>
      </c>
      <c r="D112" s="6" t="s">
        <v>71</v>
      </c>
      <c r="E112" s="6" t="s">
        <v>12</v>
      </c>
      <c r="F112" s="6" t="s">
        <v>13</v>
      </c>
      <c r="G112" s="6" t="s">
        <v>61</v>
      </c>
      <c r="H112" s="8" t="s">
        <v>315</v>
      </c>
      <c r="I112" s="9">
        <v>1.58475E8</v>
      </c>
      <c r="J112" s="5" t="str">
        <f t="shared" ref="J112:K112" si="112">SUBSTITUTE(H112, ",", "")</f>
        <v>1105</v>
      </c>
      <c r="K112" s="5" t="str">
        <f t="shared" si="112"/>
        <v>Rp158475000</v>
      </c>
      <c r="L112" s="5" t="str">
        <f t="shared" si="3"/>
        <v>158475000</v>
      </c>
    </row>
    <row r="113">
      <c r="A113" s="6" t="s">
        <v>316</v>
      </c>
      <c r="B113" s="7" t="str">
        <f>HYPERLINK("https://shopee.co.id/Olay-Serum-Wajah-Regenerist-Anti-Aging-Skincare-50ml-i.11487927.95468637", "https://shopee.co.id/Olay-Serum-Wajah-Regenerist-Anti-Aging-Skincare-50ml-i.11487927.95468637")</f>
        <v>https://shopee.co.id/Olay-Serum-Wajah-Regenerist-Anti-Aging-Skincare-50ml-i.11487927.95468637</v>
      </c>
      <c r="C113" s="6" t="s">
        <v>317</v>
      </c>
      <c r="D113" s="6" t="s">
        <v>318</v>
      </c>
      <c r="E113" s="6" t="s">
        <v>12</v>
      </c>
      <c r="F113" s="6" t="s">
        <v>13</v>
      </c>
      <c r="G113" s="6" t="s">
        <v>296</v>
      </c>
      <c r="H113" s="8" t="s">
        <v>319</v>
      </c>
      <c r="I113" s="9">
        <v>1.51232E8</v>
      </c>
      <c r="J113" s="5" t="str">
        <f t="shared" ref="J113:K113" si="113">SUBSTITUTE(H113, ",", "")</f>
        <v>1088</v>
      </c>
      <c r="K113" s="5" t="str">
        <f t="shared" si="113"/>
        <v>Rp151232000</v>
      </c>
      <c r="L113" s="5" t="str">
        <f t="shared" si="3"/>
        <v>151232000</v>
      </c>
    </row>
    <row r="114">
      <c r="A114" s="6" t="s">
        <v>320</v>
      </c>
      <c r="B114" s="7" t="str">
        <f>HYPERLINK("https://shopee.co.id/Sulwhasoo-First-Care-Activating-Serum-Amber-Set-i.274949344.11910298258", "https://shopee.co.id/Sulwhasoo-First-Care-Activating-Serum-Amber-Set-i.274949344.11910298258")</f>
        <v>https://shopee.co.id/Sulwhasoo-First-Care-Activating-Serum-Amber-Set-i.274949344.11910298258</v>
      </c>
      <c r="C114" s="6" t="s">
        <v>282</v>
      </c>
      <c r="D114" s="6" t="s">
        <v>283</v>
      </c>
      <c r="E114" s="6" t="s">
        <v>12</v>
      </c>
      <c r="F114" s="6" t="s">
        <v>13</v>
      </c>
      <c r="G114" s="6" t="s">
        <v>61</v>
      </c>
      <c r="H114" s="8" t="s">
        <v>321</v>
      </c>
      <c r="I114" s="9">
        <v>2.45678E7</v>
      </c>
      <c r="J114" s="5" t="str">
        <f t="shared" ref="J114:K114" si="114">SUBSTITUTE(H114, ",", "")</f>
        <v>1073</v>
      </c>
      <c r="K114" s="5" t="str">
        <f t="shared" si="114"/>
        <v>Rp24567800</v>
      </c>
      <c r="L114" s="5" t="str">
        <f t="shared" si="3"/>
        <v>24567800</v>
      </c>
    </row>
    <row r="115">
      <c r="A115" s="6" t="s">
        <v>322</v>
      </c>
      <c r="B115" s="7" t="str">
        <f>HYPERLINK("https://shopee.co.id/Garnier-Sakura-White-Serum-Day-Cream-SPF30-PA-Skin-Care-50-ml-Untuk-Kulit-Cerah-Merona--i.62583853.1022757645", "https://shopee.co.id/Garnier-Sakura-White-Serum-Day-Cream-SPF30-PA-Skin-Care-50-ml-Untuk-Kulit-Cerah-Merona--i.62583853.1022757645")</f>
        <v>https://shopee.co.id/Garnier-Sakura-White-Serum-Day-Cream-SPF30-PA-Skin-Care-50-ml-Untuk-Kulit-Cerah-Merona--i.62583853.1022757645</v>
      </c>
      <c r="C115" s="6" t="s">
        <v>74</v>
      </c>
      <c r="D115" s="6" t="s">
        <v>75</v>
      </c>
      <c r="E115" s="6" t="s">
        <v>12</v>
      </c>
      <c r="F115" s="6" t="s">
        <v>13</v>
      </c>
      <c r="G115" s="6" t="s">
        <v>61</v>
      </c>
      <c r="H115" s="8" t="s">
        <v>323</v>
      </c>
      <c r="I115" s="9">
        <v>2.49623E7</v>
      </c>
      <c r="J115" s="5" t="str">
        <f t="shared" ref="J115:K115" si="115">SUBSTITUTE(H115, ",", "")</f>
        <v>1063</v>
      </c>
      <c r="K115" s="5" t="str">
        <f t="shared" si="115"/>
        <v>Rp24962300</v>
      </c>
      <c r="L115" s="5" t="str">
        <f t="shared" si="3"/>
        <v>24962300</v>
      </c>
    </row>
    <row r="116">
      <c r="A116" s="6" t="s">
        <v>324</v>
      </c>
      <c r="B116" s="7" t="str">
        <f>HYPERLINK("https://shopee.co.id/Ponds-Bright-Beauty-Power-Serum-30G-i.14318452.8335269295", "https://shopee.co.id/Ponds-Bright-Beauty-Power-Serum-30G-i.14318452.8335269295")</f>
        <v>https://shopee.co.id/Ponds-Bright-Beauty-Power-Serum-30G-i.14318452.8335269295</v>
      </c>
      <c r="C116" s="6" t="s">
        <v>325</v>
      </c>
      <c r="D116" s="6" t="s">
        <v>326</v>
      </c>
      <c r="E116" s="6" t="s">
        <v>12</v>
      </c>
      <c r="F116" s="6" t="s">
        <v>13</v>
      </c>
      <c r="G116" s="6" t="s">
        <v>296</v>
      </c>
      <c r="H116" s="8" t="s">
        <v>327</v>
      </c>
      <c r="I116" s="9">
        <v>3.15744E7</v>
      </c>
      <c r="J116" s="5" t="str">
        <f t="shared" ref="J116:K116" si="116">SUBSTITUTE(H116, ",", "")</f>
        <v>1056</v>
      </c>
      <c r="K116" s="5" t="str">
        <f t="shared" si="116"/>
        <v>Rp31574400</v>
      </c>
      <c r="L116" s="5" t="str">
        <f t="shared" si="3"/>
        <v>31574400</v>
      </c>
    </row>
    <row r="117">
      <c r="A117" s="6" t="s">
        <v>328</v>
      </c>
      <c r="B117" s="7" t="str">
        <f>HYPERLINK("https://shopee.co.id/Bio-Beauty-Lab-Bundling-Phyto-10ml-Acne-Treatment-i.127156054.6393775610", "https://shopee.co.id/Bio-Beauty-Lab-Bundling-Phyto-10ml-Acne-Treatment-i.127156054.6393775610")</f>
        <v>https://shopee.co.id/Bio-Beauty-Lab-Bundling-Phyto-10ml-Acne-Treatment-i.127156054.6393775610</v>
      </c>
      <c r="C117" s="6" t="s">
        <v>120</v>
      </c>
      <c r="D117" s="6" t="s">
        <v>121</v>
      </c>
      <c r="E117" s="6" t="s">
        <v>12</v>
      </c>
      <c r="F117" s="6" t="s">
        <v>13</v>
      </c>
      <c r="G117" s="6" t="s">
        <v>21</v>
      </c>
      <c r="H117" s="8" t="s">
        <v>329</v>
      </c>
      <c r="I117" s="9">
        <v>1.484364E8</v>
      </c>
      <c r="J117" s="5" t="str">
        <f t="shared" ref="J117:K117" si="117">SUBSTITUTE(H117, ",", "")</f>
        <v>1009</v>
      </c>
      <c r="K117" s="5" t="str">
        <f t="shared" si="117"/>
        <v>Rp148436400</v>
      </c>
      <c r="L117" s="5" t="str">
        <f t="shared" si="3"/>
        <v>148436400</v>
      </c>
    </row>
    <row r="118">
      <c r="A118" s="6" t="s">
        <v>330</v>
      </c>
      <c r="B118" s="7" t="str">
        <f>HYPERLINK("https://shopee.co.id/YOU-Golden-Age-Special-Glowing-Complete-Bundle-Free-Gift-i.72375863.4585388741", "https://shopee.co.id/YOU-Golden-Age-Special-Glowing-Complete-Bundle-Free-Gift-i.72375863.4585388741")</f>
        <v>https://shopee.co.id/YOU-Golden-Age-Special-Glowing-Complete-Bundle-Free-Gift-i.72375863.4585388741</v>
      </c>
      <c r="C118" s="6" t="s">
        <v>128</v>
      </c>
      <c r="D118" s="6" t="s">
        <v>129</v>
      </c>
      <c r="E118" s="6" t="s">
        <v>12</v>
      </c>
      <c r="F118" s="6" t="s">
        <v>13</v>
      </c>
      <c r="G118" s="6" t="s">
        <v>130</v>
      </c>
      <c r="H118" s="8" t="s">
        <v>331</v>
      </c>
      <c r="I118" s="9">
        <v>8.8466E7</v>
      </c>
      <c r="J118" s="5" t="str">
        <f t="shared" ref="J118:K118" si="118">SUBSTITUTE(H118, ",", "")</f>
        <v>994</v>
      </c>
      <c r="K118" s="5" t="str">
        <f t="shared" si="118"/>
        <v>Rp88466000</v>
      </c>
      <c r="L118" s="5" t="str">
        <f t="shared" si="3"/>
        <v>88466000</v>
      </c>
    </row>
    <row r="119">
      <c r="A119" s="6" t="s">
        <v>332</v>
      </c>
      <c r="B119" s="7" t="str">
        <f>HYPERLINK("https://shopee.co.id/Trueve-Paket-Glowing-Anti-Jerawat-i.310417610.4763876792", "https://shopee.co.id/Trueve-Paket-Glowing-Anti-Jerawat-i.310417610.4763876792")</f>
        <v>https://shopee.co.id/Trueve-Paket-Glowing-Anti-Jerawat-i.310417610.4763876792</v>
      </c>
      <c r="C119" s="6" t="s">
        <v>34</v>
      </c>
      <c r="D119" s="6" t="s">
        <v>35</v>
      </c>
      <c r="E119" s="6" t="s">
        <v>12</v>
      </c>
      <c r="F119" s="6" t="s">
        <v>13</v>
      </c>
      <c r="G119" s="6" t="s">
        <v>36</v>
      </c>
      <c r="H119" s="8" t="s">
        <v>333</v>
      </c>
      <c r="I119" s="9">
        <v>1.0165265E8</v>
      </c>
      <c r="J119" s="5" t="str">
        <f t="shared" ref="J119:K119" si="119">SUBSTITUTE(H119, ",", "")</f>
        <v>971</v>
      </c>
      <c r="K119" s="5" t="str">
        <f t="shared" si="119"/>
        <v>Rp101652650</v>
      </c>
      <c r="L119" s="5" t="str">
        <f t="shared" si="3"/>
        <v>101652650</v>
      </c>
    </row>
    <row r="120">
      <c r="A120" s="6" t="s">
        <v>334</v>
      </c>
      <c r="B120" s="7" t="str">
        <f>HYPERLINK("https://shopee.co.id/Wardah-White-Secret-Intense-Brightening-Essence-i.30736001.2792895001", "https://shopee.co.id/Wardah-White-Secret-Intense-Brightening-Essence-i.30736001.2792895001")</f>
        <v>https://shopee.co.id/Wardah-White-Secret-Intense-Brightening-Essence-i.30736001.2792895001</v>
      </c>
      <c r="C120" s="6" t="s">
        <v>169</v>
      </c>
      <c r="D120" s="6" t="s">
        <v>335</v>
      </c>
      <c r="E120" s="6" t="s">
        <v>12</v>
      </c>
      <c r="F120" s="6" t="s">
        <v>13</v>
      </c>
      <c r="G120" s="6" t="s">
        <v>36</v>
      </c>
      <c r="H120" s="8" t="s">
        <v>336</v>
      </c>
      <c r="I120" s="9">
        <v>5.5308E7</v>
      </c>
      <c r="J120" s="5" t="str">
        <f t="shared" ref="J120:K120" si="120">SUBSTITUTE(H120, ",", "")</f>
        <v>963</v>
      </c>
      <c r="K120" s="5" t="str">
        <f t="shared" si="120"/>
        <v>Rp55308000</v>
      </c>
      <c r="L120" s="5" t="str">
        <f t="shared" si="3"/>
        <v>55308000</v>
      </c>
    </row>
    <row r="121">
      <c r="A121" s="6" t="s">
        <v>337</v>
      </c>
      <c r="B121" s="7" t="str">
        <f>HYPERLINK("https://shopee.co.id/Sulwhasoo-First-Care-Activating-Serum-Trial-Set-i.274949344.9420308144", "https://shopee.co.id/Sulwhasoo-First-Care-Activating-Serum-Trial-Set-i.274949344.9420308144")</f>
        <v>https://shopee.co.id/Sulwhasoo-First-Care-Activating-Serum-Trial-Set-i.274949344.9420308144</v>
      </c>
      <c r="C121" s="6" t="s">
        <v>282</v>
      </c>
      <c r="D121" s="6" t="s">
        <v>283</v>
      </c>
      <c r="E121" s="6" t="s">
        <v>12</v>
      </c>
      <c r="F121" s="6" t="s">
        <v>13</v>
      </c>
      <c r="G121" s="6" t="s">
        <v>61</v>
      </c>
      <c r="H121" s="8" t="s">
        <v>338</v>
      </c>
      <c r="I121" s="9">
        <v>9.60365E7</v>
      </c>
      <c r="J121" s="5" t="str">
        <f t="shared" ref="J121:K121" si="121">SUBSTITUTE(H121, ",", "")</f>
        <v>958</v>
      </c>
      <c r="K121" s="5" t="str">
        <f t="shared" si="121"/>
        <v>Rp96036500</v>
      </c>
      <c r="L121" s="5" t="str">
        <f t="shared" si="3"/>
        <v>96036500</v>
      </c>
    </row>
    <row r="122">
      <c r="A122" s="6" t="s">
        <v>339</v>
      </c>
      <c r="B122" s="7" t="str">
        <f>HYPERLINK("https://shopee.co.id/White-Story-Brightening-Face-Serum-i.405973920.7686399978", "https://shopee.co.id/White-Story-Brightening-Face-Serum-i.405973920.7686399978")</f>
        <v>https://shopee.co.id/White-Story-Brightening-Face-Serum-i.405973920.7686399978</v>
      </c>
      <c r="C122" s="6" t="s">
        <v>55</v>
      </c>
      <c r="D122" s="6" t="s">
        <v>56</v>
      </c>
      <c r="E122" s="6" t="s">
        <v>12</v>
      </c>
      <c r="F122" s="6" t="s">
        <v>13</v>
      </c>
      <c r="G122" s="6" t="s">
        <v>36</v>
      </c>
      <c r="H122" s="8" t="s">
        <v>340</v>
      </c>
      <c r="I122" s="9">
        <v>1.918062E8</v>
      </c>
      <c r="J122" s="5" t="str">
        <f t="shared" ref="J122:K122" si="122">SUBSTITUTE(H122, ",", "")</f>
        <v>951</v>
      </c>
      <c r="K122" s="5" t="str">
        <f t="shared" si="122"/>
        <v>Rp191806200</v>
      </c>
      <c r="L122" s="5" t="str">
        <f t="shared" si="3"/>
        <v>191806200</v>
      </c>
    </row>
    <row r="123">
      <c r="A123" s="6" t="s">
        <v>341</v>
      </c>
      <c r="B123" s="7" t="str">
        <f>HYPERLINK("https://shopee.co.id/SOMETHINC-Holygrail-Multipeptide-Youth-Elixir-i.195455930.4887791536", "https://shopee.co.id/SOMETHINC-Holygrail-Multipeptide-Youth-Elixir-i.195455930.4887791536")</f>
        <v>https://shopee.co.id/SOMETHINC-Holygrail-Multipeptide-Youth-Elixir-i.195455930.4887791536</v>
      </c>
      <c r="C123" s="6" t="s">
        <v>45</v>
      </c>
      <c r="D123" s="6" t="s">
        <v>46</v>
      </c>
      <c r="E123" s="6" t="s">
        <v>12</v>
      </c>
      <c r="F123" s="6" t="s">
        <v>13</v>
      </c>
      <c r="G123" s="6" t="s">
        <v>21</v>
      </c>
      <c r="H123" s="8" t="s">
        <v>342</v>
      </c>
      <c r="I123" s="9">
        <v>5.3931E7</v>
      </c>
      <c r="J123" s="5" t="str">
        <f t="shared" ref="J123:K123" si="123">SUBSTITUTE(H123, ",", "")</f>
        <v>945</v>
      </c>
      <c r="K123" s="5" t="str">
        <f t="shared" si="123"/>
        <v>Rp53931000</v>
      </c>
      <c r="L123" s="5" t="str">
        <f t="shared" si="3"/>
        <v>53931000</v>
      </c>
    </row>
    <row r="124">
      <c r="A124" s="6" t="s">
        <v>343</v>
      </c>
      <c r="B124" s="7" t="str">
        <f>HYPERLINK("https://shopee.co.id/Nacific-Fresh-Herb-Origin-Serum-50ml--i.238379974.5192586864", "https://shopee.co.id/Nacific-Fresh-Herb-Origin-Serum-50ml--i.238379974.5192586864")</f>
        <v>https://shopee.co.id/Nacific-Fresh-Herb-Origin-Serum-50ml--i.238379974.5192586864</v>
      </c>
      <c r="C124" s="6" t="s">
        <v>344</v>
      </c>
      <c r="D124" s="6" t="s">
        <v>345</v>
      </c>
      <c r="E124" s="6" t="s">
        <v>12</v>
      </c>
      <c r="F124" s="6" t="s">
        <v>13</v>
      </c>
      <c r="G124" s="6" t="s">
        <v>130</v>
      </c>
      <c r="H124" s="8" t="s">
        <v>346</v>
      </c>
      <c r="I124" s="9">
        <v>5.4075E7</v>
      </c>
      <c r="J124" s="5" t="str">
        <f t="shared" ref="J124:K124" si="124">SUBSTITUTE(H124, ",", "")</f>
        <v>927</v>
      </c>
      <c r="K124" s="5" t="str">
        <f t="shared" si="124"/>
        <v>Rp54075000</v>
      </c>
      <c r="L124" s="5" t="str">
        <f t="shared" si="3"/>
        <v>54075000</v>
      </c>
    </row>
    <row r="125">
      <c r="A125" s="6" t="s">
        <v>347</v>
      </c>
      <c r="B125" s="7" t="str">
        <f>HYPERLINK("https://shopee.co.id/Aish-Darkspot-Serum-Korea-Original-Serum-Penghilang-Bekas-Flek-Hitam-Atau-Noda-Hitam-Pada-Wajah-i.287975332.13008914562", "https://shopee.co.id/Aish-Darkspot-Serum-Korea-Original-Serum-Penghilang-Bekas-Flek-Hitam-Atau-Noda-Hitam-Pada-Wajah-i.287975332.13008914562")</f>
        <v>https://shopee.co.id/Aish-Darkspot-Serum-Korea-Original-Serum-Penghilang-Bekas-Flek-Hitam-Atau-Noda-Hitam-Pada-Wajah-i.287975332.13008914562</v>
      </c>
      <c r="C125" s="6" t="s">
        <v>348</v>
      </c>
      <c r="D125" s="6" t="s">
        <v>349</v>
      </c>
      <c r="E125" s="6" t="s">
        <v>12</v>
      </c>
      <c r="F125" s="6" t="s">
        <v>13</v>
      </c>
      <c r="G125" s="6" t="s">
        <v>350</v>
      </c>
      <c r="H125" s="8" t="s">
        <v>351</v>
      </c>
      <c r="I125" s="9">
        <v>9292700.0</v>
      </c>
      <c r="J125" s="5" t="str">
        <f t="shared" ref="J125:K125" si="125">SUBSTITUTE(H125, ",", "")</f>
        <v>903</v>
      </c>
      <c r="K125" s="5" t="str">
        <f t="shared" si="125"/>
        <v>Rp9292700</v>
      </c>
      <c r="L125" s="5" t="str">
        <f t="shared" si="3"/>
        <v>9292700</v>
      </c>
    </row>
    <row r="126">
      <c r="A126" s="6" t="s">
        <v>352</v>
      </c>
      <c r="B126" s="7" t="str">
        <f>HYPERLINK("https://shopee.co.id/Avoskin-Your-Skin-Bae-Azeclair-10-Kombucha-3-Niacinamide-2-5-Vaccine-Serum-i.154494405.9018512951", "https://shopee.co.id/Avoskin-Your-Skin-Bae-Azeclair-10-Kombucha-3-Niacinamide-2-5-Vaccine-Serum-i.154494405.9018512951")</f>
        <v>https://shopee.co.id/Avoskin-Your-Skin-Bae-Azeclair-10-Kombucha-3-Niacinamide-2-5-Vaccine-Serum-i.154494405.9018512951</v>
      </c>
      <c r="C126" s="6" t="s">
        <v>83</v>
      </c>
      <c r="D126" s="6" t="s">
        <v>84</v>
      </c>
      <c r="E126" s="6" t="s">
        <v>12</v>
      </c>
      <c r="F126" s="6" t="s">
        <v>13</v>
      </c>
      <c r="G126" s="6" t="s">
        <v>85</v>
      </c>
      <c r="H126" s="8" t="s">
        <v>353</v>
      </c>
      <c r="I126" s="9">
        <v>3.82829E7</v>
      </c>
      <c r="J126" s="5" t="str">
        <f t="shared" ref="J126:K126" si="126">SUBSTITUTE(H126, ",", "")</f>
        <v>893</v>
      </c>
      <c r="K126" s="5" t="str">
        <f t="shared" si="126"/>
        <v>Rp38282900</v>
      </c>
      <c r="L126" s="5" t="str">
        <f t="shared" si="3"/>
        <v>38282900</v>
      </c>
    </row>
    <row r="127">
      <c r="A127" s="6" t="s">
        <v>354</v>
      </c>
      <c r="B127" s="7" t="str">
        <f>HYPERLINK("https://shopee.co.id/Garnier-Light-Complete-Serum-and-Day-Cream-Package-Untuk-Kulit-Cerah-Cepat-i.62583853.3633700076", "https://shopee.co.id/Garnier-Light-Complete-Serum-and-Day-Cream-Package-Untuk-Kulit-Cerah-Cepat-i.62583853.3633700076")</f>
        <v>https://shopee.co.id/Garnier-Light-Complete-Serum-and-Day-Cream-Package-Untuk-Kulit-Cerah-Cepat-i.62583853.3633700076</v>
      </c>
      <c r="C127" s="6" t="s">
        <v>74</v>
      </c>
      <c r="D127" s="6" t="s">
        <v>75</v>
      </c>
      <c r="E127" s="6" t="s">
        <v>12</v>
      </c>
      <c r="F127" s="6" t="s">
        <v>13</v>
      </c>
      <c r="G127" s="6" t="s">
        <v>61</v>
      </c>
      <c r="H127" s="8" t="s">
        <v>355</v>
      </c>
      <c r="I127" s="9">
        <v>4.08853E7</v>
      </c>
      <c r="J127" s="5" t="str">
        <f t="shared" ref="J127:K127" si="127">SUBSTITUTE(H127, ",", "")</f>
        <v>887</v>
      </c>
      <c r="K127" s="5" t="str">
        <f t="shared" si="127"/>
        <v>Rp40885300</v>
      </c>
      <c r="L127" s="5" t="str">
        <f t="shared" si="3"/>
        <v>40885300</v>
      </c>
    </row>
    <row r="128">
      <c r="A128" s="6" t="s">
        <v>356</v>
      </c>
      <c r="B128" s="7" t="str">
        <f>HYPERLINK("https://shopee.co.id/Wardah-Lightening-Serum-Ampoule-5x5-ml-Serum-dengan-10X-Advanced-Niacinamide-dan-Bisabolol-i.59763733.3743025132", "https://shopee.co.id/Wardah-Lightening-Serum-Ampoule-5x5-ml-Serum-dengan-10X-Advanced-Niacinamide-dan-Bisabolol-i.59763733.3743025132")</f>
        <v>https://shopee.co.id/Wardah-Lightening-Serum-Ampoule-5x5-ml-Serum-dengan-10X-Advanced-Niacinamide-dan-Bisabolol-i.59763733.3743025132</v>
      </c>
      <c r="C128" s="6" t="s">
        <v>169</v>
      </c>
      <c r="D128" s="6" t="s">
        <v>170</v>
      </c>
      <c r="E128" s="6" t="s">
        <v>12</v>
      </c>
      <c r="F128" s="6" t="s">
        <v>13</v>
      </c>
      <c r="G128" s="6" t="s">
        <v>98</v>
      </c>
      <c r="H128" s="8" t="s">
        <v>357</v>
      </c>
      <c r="I128" s="9">
        <v>3.953805E8</v>
      </c>
      <c r="J128" s="5" t="str">
        <f t="shared" ref="J128:K128" si="128">SUBSTITUTE(H128, ",", "")</f>
        <v>886</v>
      </c>
      <c r="K128" s="5" t="str">
        <f t="shared" si="128"/>
        <v>Rp395380500</v>
      </c>
      <c r="L128" s="5" t="str">
        <f t="shared" si="3"/>
        <v>395380500</v>
      </c>
    </row>
    <row r="129">
      <c r="A129" s="6" t="s">
        <v>358</v>
      </c>
      <c r="B129" s="7" t="str">
        <f>HYPERLINK("https://shopee.co.id/Avoskin-Hydrating-Treatment-Essence-i.154494405.2309127451", "https://shopee.co.id/Avoskin-Hydrating-Treatment-Essence-i.154494405.2309127451")</f>
        <v>https://shopee.co.id/Avoskin-Hydrating-Treatment-Essence-i.154494405.2309127451</v>
      </c>
      <c r="C129" s="6" t="s">
        <v>83</v>
      </c>
      <c r="D129" s="6" t="s">
        <v>84</v>
      </c>
      <c r="E129" s="6" t="s">
        <v>12</v>
      </c>
      <c r="F129" s="6" t="s">
        <v>13</v>
      </c>
      <c r="G129" s="6" t="s">
        <v>85</v>
      </c>
      <c r="H129" s="8" t="s">
        <v>359</v>
      </c>
      <c r="I129" s="9">
        <v>1.05411E8</v>
      </c>
      <c r="J129" s="5" t="str">
        <f t="shared" ref="J129:K129" si="129">SUBSTITUTE(H129, ",", "")</f>
        <v>857</v>
      </c>
      <c r="K129" s="5" t="str">
        <f t="shared" si="129"/>
        <v>Rp105411000</v>
      </c>
      <c r="L129" s="5" t="str">
        <f t="shared" si="3"/>
        <v>105411000</v>
      </c>
    </row>
    <row r="130">
      <c r="A130" s="6" t="s">
        <v>360</v>
      </c>
      <c r="B130" s="7" t="str">
        <f>HYPERLINK("https://shopee.co.id/L-Oreal-Paris-Revitalift-Crystal-Micro-Essence-Serum-Skin-Care-65-ml-Clinical-Essence-30-ml-i.62579622.6248734751", "https://shopee.co.id/L-Oreal-Paris-Revitalift-Crystal-Micro-Essence-Serum-Skin-Care-65-ml-Clinical-Essence-30-ml-i.62579622.6248734751")</f>
        <v>https://shopee.co.id/L-Oreal-Paris-Revitalift-Crystal-Micro-Essence-Serum-Skin-Care-65-ml-Clinical-Essence-30-ml-i.62579622.6248734751</v>
      </c>
      <c r="C130" s="6" t="s">
        <v>105</v>
      </c>
      <c r="D130" s="6" t="s">
        <v>106</v>
      </c>
      <c r="E130" s="6" t="s">
        <v>12</v>
      </c>
      <c r="F130" s="6" t="s">
        <v>13</v>
      </c>
      <c r="G130" s="6" t="s">
        <v>61</v>
      </c>
      <c r="H130" s="8" t="s">
        <v>359</v>
      </c>
      <c r="I130" s="9">
        <v>2.3575E7</v>
      </c>
      <c r="J130" s="5" t="str">
        <f t="shared" ref="J130:K130" si="130">SUBSTITUTE(H130, ",", "")</f>
        <v>857</v>
      </c>
      <c r="K130" s="5" t="str">
        <f t="shared" si="130"/>
        <v>Rp23575000</v>
      </c>
      <c r="L130" s="5" t="str">
        <f t="shared" si="3"/>
        <v>23575000</v>
      </c>
    </row>
    <row r="131">
      <c r="A131" s="6" t="s">
        <v>361</v>
      </c>
      <c r="B131" s="7" t="str">
        <f>HYPERLINK("https://shopee.co.id/Erha-Truwhite-3-TXA-Hexyl-Resorcinol-Active-Glow-Booster-15ml-Booster-Pencerah-i.129153987.9314241696", "https://shopee.co.id/Erha-Truwhite-3-TXA-Hexyl-Resorcinol-Active-Glow-Booster-15ml-Booster-Pencerah-i.129153987.9314241696")</f>
        <v>https://shopee.co.id/Erha-Truwhite-3-TXA-Hexyl-Resorcinol-Active-Glow-Booster-15ml-Booster-Pencerah-i.129153987.9314241696</v>
      </c>
      <c r="C131" s="6" t="s">
        <v>181</v>
      </c>
      <c r="D131" s="6" t="s">
        <v>182</v>
      </c>
      <c r="E131" s="6" t="s">
        <v>12</v>
      </c>
      <c r="F131" s="6" t="s">
        <v>13</v>
      </c>
      <c r="G131" s="6" t="s">
        <v>61</v>
      </c>
      <c r="H131" s="8" t="s">
        <v>362</v>
      </c>
      <c r="I131" s="9">
        <v>1.09521E8</v>
      </c>
      <c r="J131" s="5" t="str">
        <f t="shared" ref="J131:K131" si="131">SUBSTITUTE(H131, ",", "")</f>
        <v>849</v>
      </c>
      <c r="K131" s="5" t="str">
        <f t="shared" si="131"/>
        <v>Rp109521000</v>
      </c>
      <c r="L131" s="5" t="str">
        <f t="shared" si="3"/>
        <v>109521000</v>
      </c>
    </row>
    <row r="132">
      <c r="A132" s="6" t="s">
        <v>363</v>
      </c>
      <c r="B132" s="7" t="str">
        <f>HYPERLINK("https://shopee.co.id/Laneige-PR-Youth-Regenerator-40ml-OL21--i.52917348.3001898863", "https://shopee.co.id/Laneige-PR-Youth-Regenerator-40ml-OL21--i.52917348.3001898863")</f>
        <v>https://shopee.co.id/Laneige-PR-Youth-Regenerator-40ml-OL21--i.52917348.3001898863</v>
      </c>
      <c r="C132" s="6" t="s">
        <v>364</v>
      </c>
      <c r="D132" s="6" t="s">
        <v>365</v>
      </c>
      <c r="E132" s="6" t="s">
        <v>12</v>
      </c>
      <c r="F132" s="6" t="s">
        <v>13</v>
      </c>
      <c r="G132" s="6" t="s">
        <v>61</v>
      </c>
      <c r="H132" s="8" t="s">
        <v>366</v>
      </c>
      <c r="I132" s="9">
        <v>9.5777E7</v>
      </c>
      <c r="J132" s="5" t="str">
        <f t="shared" ref="J132:K132" si="132">SUBSTITUTE(H132, ",", "")</f>
        <v>845</v>
      </c>
      <c r="K132" s="5" t="str">
        <f t="shared" si="132"/>
        <v>Rp95777000</v>
      </c>
      <c r="L132" s="5" t="str">
        <f t="shared" si="3"/>
        <v>95777000</v>
      </c>
    </row>
    <row r="133">
      <c r="A133" s="6" t="s">
        <v>367</v>
      </c>
      <c r="B133" s="7" t="str">
        <f>HYPERLINK("https://shopee.co.id/Teratu-Beauty-Skin-Barrier-Serum-i.232394743.8621402097", "https://shopee.co.id/Teratu-Beauty-Skin-Barrier-Serum-i.232394743.8621402097")</f>
        <v>https://shopee.co.id/Teratu-Beauty-Skin-Barrier-Serum-i.232394743.8621402097</v>
      </c>
      <c r="C133" s="6" t="s">
        <v>368</v>
      </c>
      <c r="D133" s="6" t="s">
        <v>369</v>
      </c>
      <c r="E133" s="6" t="s">
        <v>12</v>
      </c>
      <c r="F133" s="6" t="s">
        <v>13</v>
      </c>
      <c r="G133" s="6" t="s">
        <v>370</v>
      </c>
      <c r="H133" s="8" t="s">
        <v>371</v>
      </c>
      <c r="I133" s="9">
        <v>1.021057E8</v>
      </c>
      <c r="J133" s="5" t="str">
        <f t="shared" ref="J133:K133" si="133">SUBSTITUTE(H133, ",", "")</f>
        <v>816</v>
      </c>
      <c r="K133" s="5" t="str">
        <f t="shared" si="133"/>
        <v>Rp102105700</v>
      </c>
      <c r="L133" s="5" t="str">
        <f t="shared" si="3"/>
        <v>102105700</v>
      </c>
    </row>
    <row r="134">
      <c r="A134" s="6" t="s">
        <v>372</v>
      </c>
      <c r="B134" s="7" t="str">
        <f>HYPERLINK("https://shopee.co.id/Erha-Age-Corrector-Peptides-Soya-Phytoplacenta-Serum-20-mL-Serum-Anti-Penuaan-i.129153987.1981545218", "https://shopee.co.id/Erha-Age-Corrector-Peptides-Soya-Phytoplacenta-Serum-20-mL-Serum-Anti-Penuaan-i.129153987.1981545218")</f>
        <v>https://shopee.co.id/Erha-Age-Corrector-Peptides-Soya-Phytoplacenta-Serum-20-mL-Serum-Anti-Penuaan-i.129153987.1981545218</v>
      </c>
      <c r="C134" s="6" t="s">
        <v>181</v>
      </c>
      <c r="D134" s="6" t="s">
        <v>182</v>
      </c>
      <c r="E134" s="6" t="s">
        <v>12</v>
      </c>
      <c r="F134" s="6" t="s">
        <v>13</v>
      </c>
      <c r="G134" s="6" t="s">
        <v>61</v>
      </c>
      <c r="H134" s="8" t="s">
        <v>373</v>
      </c>
      <c r="I134" s="9">
        <v>4.5110778E7</v>
      </c>
      <c r="J134" s="5" t="str">
        <f t="shared" ref="J134:K134" si="134">SUBSTITUTE(H134, ",", "")</f>
        <v>790</v>
      </c>
      <c r="K134" s="5" t="str">
        <f t="shared" si="134"/>
        <v>Rp45110778</v>
      </c>
      <c r="L134" s="5" t="str">
        <f t="shared" si="3"/>
        <v>45110778</v>
      </c>
    </row>
    <row r="135">
      <c r="A135" s="6" t="s">
        <v>374</v>
      </c>
      <c r="B135" s="7" t="str">
        <f>HYPERLINK("https://shopee.co.id/Bloomka-Bakuchiol-Vitamin-B3-Facial-Treatment-Serum-Brightening-acne--i.312614769.7078023045", "https://shopee.co.id/Bloomka-Bakuchiol-Vitamin-B3-Facial-Treatment-Serum-Brightening-acne--i.312614769.7078023045")</f>
        <v>https://shopee.co.id/Bloomka-Bakuchiol-Vitamin-B3-Facial-Treatment-Serum-Brightening-acne--i.312614769.7078023045</v>
      </c>
      <c r="C135" s="6" t="s">
        <v>375</v>
      </c>
      <c r="D135" s="6" t="s">
        <v>376</v>
      </c>
      <c r="E135" s="6" t="s">
        <v>12</v>
      </c>
      <c r="F135" s="6" t="s">
        <v>13</v>
      </c>
      <c r="G135" s="6" t="s">
        <v>61</v>
      </c>
      <c r="H135" s="8" t="s">
        <v>377</v>
      </c>
      <c r="I135" s="9">
        <v>6.31305E7</v>
      </c>
      <c r="J135" s="5" t="str">
        <f t="shared" ref="J135:K135" si="135">SUBSTITUTE(H135, ",", "")</f>
        <v>787</v>
      </c>
      <c r="K135" s="5" t="str">
        <f t="shared" si="135"/>
        <v>Rp63130500</v>
      </c>
      <c r="L135" s="5" t="str">
        <f t="shared" si="3"/>
        <v>63130500</v>
      </c>
    </row>
    <row r="136">
      <c r="A136" s="6" t="s">
        <v>378</v>
      </c>
      <c r="B136" s="7" t="str">
        <f>HYPERLINK("https://shopee.co.id/NUTRISHE-Intensive-Bright-Glow-Serum-i.270965687.4370575766", "https://shopee.co.id/NUTRISHE-Intensive-Bright-Glow-Serum-i.270965687.4370575766")</f>
        <v>https://shopee.co.id/NUTRISHE-Intensive-Bright-Glow-Serum-i.270965687.4370575766</v>
      </c>
      <c r="C136" s="6" t="s">
        <v>195</v>
      </c>
      <c r="D136" s="6" t="s">
        <v>379</v>
      </c>
      <c r="E136" s="6" t="s">
        <v>12</v>
      </c>
      <c r="F136" s="6" t="s">
        <v>13</v>
      </c>
      <c r="G136" s="6" t="s">
        <v>380</v>
      </c>
      <c r="H136" s="8" t="s">
        <v>381</v>
      </c>
      <c r="I136" s="9">
        <v>4.46434E7</v>
      </c>
      <c r="J136" s="5" t="str">
        <f t="shared" ref="J136:K136" si="136">SUBSTITUTE(H136, ",", "")</f>
        <v>758</v>
      </c>
      <c r="K136" s="5" t="str">
        <f t="shared" si="136"/>
        <v>Rp44643400</v>
      </c>
      <c r="L136" s="5" t="str">
        <f t="shared" si="3"/>
        <v>44643400</v>
      </c>
    </row>
    <row r="137">
      <c r="A137" s="6" t="s">
        <v>382</v>
      </c>
      <c r="B137" s="7" t="str">
        <f>HYPERLINK("https://shopee.co.id/L-Oreal-Paris-Revitalift-Crystal-Micro-Essence-Water-Serum-Skin-Care-130-ml-i.62579622.2379827393", "https://shopee.co.id/L-Oreal-Paris-Revitalift-Crystal-Micro-Essence-Water-Serum-Skin-Care-130-ml-i.62579622.2379827393")</f>
        <v>https://shopee.co.id/L-Oreal-Paris-Revitalift-Crystal-Micro-Essence-Water-Serum-Skin-Care-130-ml-i.62579622.2379827393</v>
      </c>
      <c r="C137" s="6" t="s">
        <v>105</v>
      </c>
      <c r="D137" s="6" t="s">
        <v>106</v>
      </c>
      <c r="E137" s="6" t="s">
        <v>12</v>
      </c>
      <c r="F137" s="6" t="s">
        <v>13</v>
      </c>
      <c r="G137" s="6" t="s">
        <v>61</v>
      </c>
      <c r="H137" s="8" t="s">
        <v>383</v>
      </c>
      <c r="I137" s="9">
        <v>8.36846E7</v>
      </c>
      <c r="J137" s="5" t="str">
        <f t="shared" ref="J137:K137" si="137">SUBSTITUTE(H137, ",", "")</f>
        <v>751</v>
      </c>
      <c r="K137" s="5" t="str">
        <f t="shared" si="137"/>
        <v>Rp83684600</v>
      </c>
      <c r="L137" s="5" t="str">
        <f t="shared" si="3"/>
        <v>83684600</v>
      </c>
    </row>
    <row r="138">
      <c r="A138" s="6" t="s">
        <v>384</v>
      </c>
      <c r="B138" s="7" t="str">
        <f>HYPERLINK("https://shopee.co.id/Avoskin-Your-Skin-Bae-Lactic-Acid-10-Kiwi-Fruit-5-Niacinamide-2-5-High-Dose-Serum-i.154494405.3880230277", "https://shopee.co.id/Avoskin-Your-Skin-Bae-Lactic-Acid-10-Kiwi-Fruit-5-Niacinamide-2-5-High-Dose-Serum-i.154494405.3880230277")</f>
        <v>https://shopee.co.id/Avoskin-Your-Skin-Bae-Lactic-Acid-10-Kiwi-Fruit-5-Niacinamide-2-5-High-Dose-Serum-i.154494405.3880230277</v>
      </c>
      <c r="C138" s="6" t="s">
        <v>83</v>
      </c>
      <c r="D138" s="6" t="s">
        <v>84</v>
      </c>
      <c r="E138" s="6" t="s">
        <v>12</v>
      </c>
      <c r="F138" s="6" t="s">
        <v>13</v>
      </c>
      <c r="G138" s="6" t="s">
        <v>85</v>
      </c>
      <c r="H138" s="8" t="s">
        <v>385</v>
      </c>
      <c r="I138" s="9">
        <v>4.8513E7</v>
      </c>
      <c r="J138" s="5" t="str">
        <f t="shared" ref="J138:K138" si="138">SUBSTITUTE(H138, ",", "")</f>
        <v>744</v>
      </c>
      <c r="K138" s="5" t="str">
        <f t="shared" si="138"/>
        <v>Rp48513000</v>
      </c>
      <c r="L138" s="5" t="str">
        <f t="shared" si="3"/>
        <v>48513000</v>
      </c>
    </row>
    <row r="139">
      <c r="A139" s="6" t="s">
        <v>386</v>
      </c>
      <c r="B139" s="7" t="str">
        <f>HYPERLINK("https://shopee.co.id/Ponds-Age-Miracle-Serum-Wajah-Retinol-Youthful-Glow-30-Ml-Anti-Aging-Serum-Anti-Wrinkle-i.14318452.1637854710", "https://shopee.co.id/Ponds-Age-Miracle-Serum-Wajah-Retinol-Youthful-Glow-30-Ml-Anti-Aging-Serum-Anti-Wrinkle-i.14318452.1637854710")</f>
        <v>https://shopee.co.id/Ponds-Age-Miracle-Serum-Wajah-Retinol-Youthful-Glow-30-Ml-Anti-Aging-Serum-Anti-Wrinkle-i.14318452.1637854710</v>
      </c>
      <c r="C139" s="6" t="s">
        <v>325</v>
      </c>
      <c r="D139" s="6" t="s">
        <v>326</v>
      </c>
      <c r="E139" s="6" t="s">
        <v>12</v>
      </c>
      <c r="F139" s="6" t="s">
        <v>13</v>
      </c>
      <c r="G139" s="6" t="s">
        <v>296</v>
      </c>
      <c r="H139" s="8" t="s">
        <v>387</v>
      </c>
      <c r="I139" s="9">
        <v>8.10095E7</v>
      </c>
      <c r="J139" s="5" t="str">
        <f t="shared" ref="J139:K139" si="139">SUBSTITUTE(H139, ",", "")</f>
        <v>741</v>
      </c>
      <c r="K139" s="5" t="str">
        <f t="shared" si="139"/>
        <v>Rp81009500</v>
      </c>
      <c r="L139" s="5" t="str">
        <f t="shared" si="3"/>
        <v>81009500</v>
      </c>
    </row>
    <row r="140">
      <c r="A140" s="6" t="s">
        <v>388</v>
      </c>
      <c r="B140" s="7" t="str">
        <f>HYPERLINK("https://shopee.co.id/Laneige-Clear-C-Peeling-Serum-80ml-OL21--i.52917348.7817272182", "https://shopee.co.id/Laneige-Clear-C-Peeling-Serum-80ml-OL21--i.52917348.7817272182")</f>
        <v>https://shopee.co.id/Laneige-Clear-C-Peeling-Serum-80ml-OL21--i.52917348.7817272182</v>
      </c>
      <c r="C140" s="6" t="s">
        <v>364</v>
      </c>
      <c r="D140" s="6" t="s">
        <v>365</v>
      </c>
      <c r="E140" s="6" t="s">
        <v>12</v>
      </c>
      <c r="F140" s="6" t="s">
        <v>13</v>
      </c>
      <c r="G140" s="6" t="s">
        <v>61</v>
      </c>
      <c r="H140" s="8" t="s">
        <v>389</v>
      </c>
      <c r="I140" s="9">
        <v>9.3783E7</v>
      </c>
      <c r="J140" s="5" t="str">
        <f t="shared" ref="J140:K140" si="140">SUBSTITUTE(H140, ",", "")</f>
        <v>727</v>
      </c>
      <c r="K140" s="5" t="str">
        <f t="shared" si="140"/>
        <v>Rp93783000</v>
      </c>
      <c r="L140" s="5" t="str">
        <f t="shared" si="3"/>
        <v>93783000</v>
      </c>
    </row>
    <row r="141">
      <c r="A141" s="6" t="s">
        <v>390</v>
      </c>
      <c r="B141" s="7" t="str">
        <f>HYPERLINK("https://shopee.co.id/MSBB-Avoskin-Your-Skin-Bae-Niacinamide-12-Centella-Asiatica-i.288588702.9207142992", "https://shopee.co.id/MSBB-Avoskin-Your-Skin-Bae-Niacinamide-12-Centella-Asiatica-i.288588702.9207142992")</f>
        <v>https://shopee.co.id/MSBB-Avoskin-Your-Skin-Bae-Niacinamide-12-Centella-Asiatica-i.288588702.9207142992</v>
      </c>
      <c r="C141" s="6" t="s">
        <v>83</v>
      </c>
      <c r="D141" s="6" t="s">
        <v>79</v>
      </c>
      <c r="E141" s="6" t="s">
        <v>12</v>
      </c>
      <c r="F141" s="6" t="s">
        <v>13</v>
      </c>
      <c r="G141" s="6" t="s">
        <v>80</v>
      </c>
      <c r="H141" s="8" t="s">
        <v>391</v>
      </c>
      <c r="I141" s="9">
        <v>1.04896E8</v>
      </c>
      <c r="J141" s="5" t="str">
        <f t="shared" ref="J141:K141" si="141">SUBSTITUTE(H141, ",", "")</f>
        <v>704</v>
      </c>
      <c r="K141" s="5" t="str">
        <f t="shared" si="141"/>
        <v>Rp104896000</v>
      </c>
      <c r="L141" s="5" t="str">
        <f t="shared" si="3"/>
        <v>104896000</v>
      </c>
    </row>
    <row r="142">
      <c r="A142" s="6" t="s">
        <v>392</v>
      </c>
      <c r="B142" s="7" t="str">
        <f>HYPERLINK("https://shopee.co.id/Somethinc-5-Niacinamide-Moisture-Sabi-Beet-Serum-20ml-i.110573301.8715961818", "https://shopee.co.id/Somethinc-5-Niacinamide-Moisture-Sabi-Beet-Serum-20ml-i.110573301.8715961818")</f>
        <v>https://shopee.co.id/Somethinc-5-Niacinamide-Moisture-Sabi-Beet-Serum-20ml-i.110573301.8715961818</v>
      </c>
      <c r="C142" s="6" t="s">
        <v>45</v>
      </c>
      <c r="D142" s="6" t="s">
        <v>227</v>
      </c>
      <c r="E142" s="6" t="s">
        <v>12</v>
      </c>
      <c r="F142" s="6" t="s">
        <v>13</v>
      </c>
      <c r="G142" s="6" t="s">
        <v>61</v>
      </c>
      <c r="H142" s="8" t="s">
        <v>393</v>
      </c>
      <c r="I142" s="9">
        <v>2.149967E8</v>
      </c>
      <c r="J142" s="5" t="str">
        <f t="shared" ref="J142:K142" si="142">SUBSTITUTE(H142, ",", "")</f>
        <v>701</v>
      </c>
      <c r="K142" s="5" t="str">
        <f t="shared" si="142"/>
        <v>Rp214996700</v>
      </c>
      <c r="L142" s="5" t="str">
        <f t="shared" si="3"/>
        <v>214996700</v>
      </c>
    </row>
    <row r="143">
      <c r="A143" s="6" t="s">
        <v>394</v>
      </c>
      <c r="B143" s="7" t="str">
        <f>HYPERLINK("https://shopee.co.id/Wardah-C-Defense-Serum-17-ml-HiGrade-Vitamin-C-yang-Mencerahkan-dan-Antioksidan-i.59763733.1081231166", "https://shopee.co.id/Wardah-C-Defense-Serum-17-ml-HiGrade-Vitamin-C-yang-Mencerahkan-dan-Antioksidan-i.59763733.1081231166")</f>
        <v>https://shopee.co.id/Wardah-C-Defense-Serum-17-ml-HiGrade-Vitamin-C-yang-Mencerahkan-dan-Antioksidan-i.59763733.1081231166</v>
      </c>
      <c r="C143" s="6" t="s">
        <v>169</v>
      </c>
      <c r="D143" s="6" t="s">
        <v>170</v>
      </c>
      <c r="E143" s="6" t="s">
        <v>12</v>
      </c>
      <c r="F143" s="6" t="s">
        <v>13</v>
      </c>
      <c r="G143" s="6" t="s">
        <v>98</v>
      </c>
      <c r="H143" s="8" t="s">
        <v>395</v>
      </c>
      <c r="I143" s="9">
        <v>3.285065E7</v>
      </c>
      <c r="J143" s="5" t="str">
        <f t="shared" ref="J143:K143" si="143">SUBSTITUTE(H143, ",", "")</f>
        <v>700</v>
      </c>
      <c r="K143" s="5" t="str">
        <f t="shared" si="143"/>
        <v>Rp32850650</v>
      </c>
      <c r="L143" s="5" t="str">
        <f t="shared" si="3"/>
        <v>32850650</v>
      </c>
    </row>
    <row r="144">
      <c r="A144" s="6" t="s">
        <v>396</v>
      </c>
      <c r="B144" s="7" t="str">
        <f>HYPERLINK("https://shopee.co.id/Dear-Me-Beauty-10-Vitamin-C-Orange-Extract-Face-Serum-32ml-i.45495764.8685436515", "https://shopee.co.id/Dear-Me-Beauty-10-Vitamin-C-Orange-Extract-Face-Serum-32ml-i.45495764.8685436515")</f>
        <v>https://shopee.co.id/Dear-Me-Beauty-10-Vitamin-C-Orange-Extract-Face-Serum-32ml-i.45495764.8685436515</v>
      </c>
      <c r="C144" s="6" t="s">
        <v>70</v>
      </c>
      <c r="D144" s="6" t="s">
        <v>71</v>
      </c>
      <c r="E144" s="6" t="s">
        <v>12</v>
      </c>
      <c r="F144" s="6" t="s">
        <v>13</v>
      </c>
      <c r="G144" s="6" t="s">
        <v>61</v>
      </c>
      <c r="H144" s="8" t="s">
        <v>397</v>
      </c>
      <c r="I144" s="9">
        <v>1.87071E7</v>
      </c>
      <c r="J144" s="5" t="str">
        <f t="shared" ref="J144:K144" si="144">SUBSTITUTE(H144, ",", "")</f>
        <v>696</v>
      </c>
      <c r="K144" s="5" t="str">
        <f t="shared" si="144"/>
        <v>Rp18707100</v>
      </c>
      <c r="L144" s="5" t="str">
        <f t="shared" si="3"/>
        <v>18707100</v>
      </c>
    </row>
    <row r="145">
      <c r="A145" s="6" t="s">
        <v>398</v>
      </c>
      <c r="B145" s="7" t="str">
        <f>HYPERLINK("https://shopee.co.id/L-Oreal-Paris-Revitalift-Crystal-Micro-Essence-Serum-Skin-Care-130-ml-x2-Pcs-i.62579622.4448741325", "https://shopee.co.id/L-Oreal-Paris-Revitalift-Crystal-Micro-Essence-Serum-Skin-Care-130-ml-x2-Pcs-i.62579622.4448741325")</f>
        <v>https://shopee.co.id/L-Oreal-Paris-Revitalift-Crystal-Micro-Essence-Serum-Skin-Care-130-ml-x2-Pcs-i.62579622.4448741325</v>
      </c>
      <c r="C145" s="6" t="s">
        <v>105</v>
      </c>
      <c r="D145" s="6" t="s">
        <v>106</v>
      </c>
      <c r="E145" s="6" t="s">
        <v>12</v>
      </c>
      <c r="F145" s="6" t="s">
        <v>13</v>
      </c>
      <c r="G145" s="6" t="s">
        <v>61</v>
      </c>
      <c r="H145" s="8" t="s">
        <v>399</v>
      </c>
      <c r="I145" s="9">
        <v>1.5864444E7</v>
      </c>
      <c r="J145" s="5" t="str">
        <f t="shared" ref="J145:K145" si="145">SUBSTITUTE(H145, ",", "")</f>
        <v>693</v>
      </c>
      <c r="K145" s="5" t="str">
        <f t="shared" si="145"/>
        <v>Rp15864444</v>
      </c>
      <c r="L145" s="5" t="str">
        <f t="shared" si="3"/>
        <v>15864444</v>
      </c>
    </row>
    <row r="146">
      <c r="A146" s="6" t="s">
        <v>400</v>
      </c>
      <c r="B146" s="7" t="str">
        <f>HYPERLINK("https://shopee.co.id/Bening-s-Acne-Serum-i.190390143.4002655404", "https://shopee.co.id/Bening-s-Acne-Serum-i.190390143.4002655404")</f>
        <v>https://shopee.co.id/Bening-s-Acne-Serum-i.190390143.4002655404</v>
      </c>
      <c r="C146" s="6" t="s">
        <v>10</v>
      </c>
      <c r="D146" s="6" t="s">
        <v>11</v>
      </c>
      <c r="E146" s="6" t="s">
        <v>12</v>
      </c>
      <c r="F146" s="6" t="s">
        <v>13</v>
      </c>
      <c r="G146" s="6" t="s">
        <v>14</v>
      </c>
      <c r="H146" s="8" t="s">
        <v>401</v>
      </c>
      <c r="I146" s="9">
        <v>5.94758E7</v>
      </c>
      <c r="J146" s="5" t="str">
        <f t="shared" ref="J146:K146" si="146">SUBSTITUTE(H146, ",", "")</f>
        <v>691</v>
      </c>
      <c r="K146" s="5" t="str">
        <f t="shared" si="146"/>
        <v>Rp59475800</v>
      </c>
      <c r="L146" s="5" t="str">
        <f t="shared" si="3"/>
        <v>59475800</v>
      </c>
    </row>
    <row r="147">
      <c r="A147" s="6" t="s">
        <v>402</v>
      </c>
      <c r="B147" s="7" t="str">
        <f>HYPERLINK("https://shopee.co.id/Safi-Age-Defy-Anti-Aging-Gold-Water-Essence-30-ml-Perawatan-Wajah-i.63823668.2497353898", "https://shopee.co.id/Safi-Age-Defy-Anti-Aging-Gold-Water-Essence-30-ml-Perawatan-Wajah-i.63823668.2497353898")</f>
        <v>https://shopee.co.id/Safi-Age-Defy-Anti-Aging-Gold-Water-Essence-30-ml-Perawatan-Wajah-i.63823668.2497353898</v>
      </c>
      <c r="C147" s="6" t="s">
        <v>278</v>
      </c>
      <c r="D147" s="6" t="s">
        <v>279</v>
      </c>
      <c r="E147" s="6" t="s">
        <v>12</v>
      </c>
      <c r="F147" s="6" t="s">
        <v>13</v>
      </c>
      <c r="G147" s="6" t="s">
        <v>61</v>
      </c>
      <c r="H147" s="8" t="s">
        <v>403</v>
      </c>
      <c r="I147" s="9">
        <v>7.46816E7</v>
      </c>
      <c r="J147" s="5" t="str">
        <f t="shared" ref="J147:K147" si="147">SUBSTITUTE(H147, ",", "")</f>
        <v>679</v>
      </c>
      <c r="K147" s="5" t="str">
        <f t="shared" si="147"/>
        <v>Rp74681600</v>
      </c>
      <c r="L147" s="5" t="str">
        <f t="shared" si="3"/>
        <v>74681600</v>
      </c>
    </row>
    <row r="148">
      <c r="A148" s="6" t="s">
        <v>404</v>
      </c>
      <c r="B148" s="7" t="str">
        <f>HYPERLINK("https://shopee.co.id/Safi-Age-Defy-Anti-Aging-Concentrated-Serum-20ml-Perawatan-Wajah-i.63823668.1158805935", "https://shopee.co.id/Safi-Age-Defy-Anti-Aging-Concentrated-Serum-20ml-Perawatan-Wajah-i.63823668.1158805935")</f>
        <v>https://shopee.co.id/Safi-Age-Defy-Anti-Aging-Concentrated-Serum-20ml-Perawatan-Wajah-i.63823668.1158805935</v>
      </c>
      <c r="C148" s="6" t="s">
        <v>278</v>
      </c>
      <c r="D148" s="6" t="s">
        <v>279</v>
      </c>
      <c r="E148" s="6" t="s">
        <v>12</v>
      </c>
      <c r="F148" s="6" t="s">
        <v>13</v>
      </c>
      <c r="G148" s="6" t="s">
        <v>61</v>
      </c>
      <c r="H148" s="8" t="s">
        <v>405</v>
      </c>
      <c r="I148" s="9">
        <v>9.7595E7</v>
      </c>
      <c r="J148" s="5" t="str">
        <f t="shared" ref="J148:K148" si="148">SUBSTITUTE(H148, ",", "")</f>
        <v>655</v>
      </c>
      <c r="K148" s="5" t="str">
        <f t="shared" si="148"/>
        <v>Rp97595000</v>
      </c>
      <c r="L148" s="5" t="str">
        <f t="shared" si="3"/>
        <v>97595000</v>
      </c>
    </row>
    <row r="149">
      <c r="A149" s="6" t="s">
        <v>406</v>
      </c>
      <c r="B149" s="7" t="str">
        <f>HYPERLINK("https://shopee.co.id/Glowlabs-Retinol-Cica-Night-Serum-Mild-and-Powerful-Anti-Aging-Skincare--i.336869851.9716809151", "https://shopee.co.id/Glowlabs-Retinol-Cica-Night-Serum-Mild-and-Powerful-Anti-Aging-Skincare--i.336869851.9716809151")</f>
        <v>https://shopee.co.id/Glowlabs-Retinol-Cica-Night-Serum-Mild-and-Powerful-Anti-Aging-Skincare--i.336869851.9716809151</v>
      </c>
      <c r="C149" s="6" t="s">
        <v>407</v>
      </c>
      <c r="D149" s="6" t="s">
        <v>408</v>
      </c>
      <c r="E149" s="6" t="s">
        <v>12</v>
      </c>
      <c r="F149" s="6" t="s">
        <v>13</v>
      </c>
      <c r="G149" s="6" t="s">
        <v>409</v>
      </c>
      <c r="H149" s="8" t="s">
        <v>410</v>
      </c>
      <c r="I149" s="9">
        <v>8.8682E7</v>
      </c>
      <c r="J149" s="5" t="str">
        <f t="shared" ref="J149:K149" si="149">SUBSTITUTE(H149, ",", "")</f>
        <v>638</v>
      </c>
      <c r="K149" s="5" t="str">
        <f t="shared" si="149"/>
        <v>Rp88682000</v>
      </c>
      <c r="L149" s="5" t="str">
        <f t="shared" si="3"/>
        <v>88682000</v>
      </c>
    </row>
    <row r="150">
      <c r="A150" s="6" t="s">
        <v>411</v>
      </c>
      <c r="B150" s="7" t="str">
        <f>HYPERLINK("https://shopee.co.id/Wardah-Hydra-Rose-Micro-Gel-Serum-30-ml-Serum-untuk-Kulit-Kering-dengan-Rose-Oil-i.59763733.4155205113", "https://shopee.co.id/Wardah-Hydra-Rose-Micro-Gel-Serum-30-ml-Serum-untuk-Kulit-Kering-dengan-Rose-Oil-i.59763733.4155205113")</f>
        <v>https://shopee.co.id/Wardah-Hydra-Rose-Micro-Gel-Serum-30-ml-Serum-untuk-Kulit-Kering-dengan-Rose-Oil-i.59763733.4155205113</v>
      </c>
      <c r="C150" s="6" t="s">
        <v>169</v>
      </c>
      <c r="D150" s="6" t="s">
        <v>170</v>
      </c>
      <c r="E150" s="6" t="s">
        <v>12</v>
      </c>
      <c r="F150" s="6" t="s">
        <v>13</v>
      </c>
      <c r="G150" s="6" t="s">
        <v>98</v>
      </c>
      <c r="H150" s="8" t="s">
        <v>412</v>
      </c>
      <c r="I150" s="9">
        <v>4.88107E7</v>
      </c>
      <c r="J150" s="5" t="str">
        <f t="shared" ref="J150:K150" si="150">SUBSTITUTE(H150, ",", "")</f>
        <v>637</v>
      </c>
      <c r="K150" s="5" t="str">
        <f t="shared" si="150"/>
        <v>Rp48810700</v>
      </c>
      <c r="L150" s="5" t="str">
        <f t="shared" si="3"/>
        <v>48810700</v>
      </c>
    </row>
    <row r="151">
      <c r="A151" s="6" t="s">
        <v>413</v>
      </c>
      <c r="B151" s="7" t="str">
        <f>HYPERLINK("https://shopee.co.id/Ponds-Age-Miracle-Double-Action-Retinol-Serum-Anti-Aging-15-Ml-i.14318452.4879449161", "https://shopee.co.id/Ponds-Age-Miracle-Double-Action-Retinol-Serum-Anti-Aging-15-Ml-i.14318452.4879449161")</f>
        <v>https://shopee.co.id/Ponds-Age-Miracle-Double-Action-Retinol-Serum-Anti-Aging-15-Ml-i.14318452.4879449161</v>
      </c>
      <c r="C151" s="6" t="s">
        <v>325</v>
      </c>
      <c r="D151" s="6" t="s">
        <v>326</v>
      </c>
      <c r="E151" s="6" t="s">
        <v>12</v>
      </c>
      <c r="F151" s="6" t="s">
        <v>13</v>
      </c>
      <c r="G151" s="6" t="s">
        <v>296</v>
      </c>
      <c r="H151" s="8" t="s">
        <v>414</v>
      </c>
      <c r="I151" s="9">
        <v>5.36727E7</v>
      </c>
      <c r="J151" s="5" t="str">
        <f t="shared" ref="J151:K151" si="151">SUBSTITUTE(H151, ",", "")</f>
        <v>633</v>
      </c>
      <c r="K151" s="5" t="str">
        <f t="shared" si="151"/>
        <v>Rp53672700</v>
      </c>
      <c r="L151" s="5" t="str">
        <f t="shared" si="3"/>
        <v>53672700</v>
      </c>
    </row>
    <row r="152">
      <c r="A152" s="6" t="s">
        <v>415</v>
      </c>
      <c r="B152" s="7" t="str">
        <f>HYPERLINK("https://shopee.co.id/Some-By-Mi-Snail-Truecica-Miracle-Repair-Cream-i.455311481.8965069152", "https://shopee.co.id/Some-By-Mi-Snail-Truecica-Miracle-Repair-Cream-i.455311481.8965069152")</f>
        <v>https://shopee.co.id/Some-By-Mi-Snail-Truecica-Miracle-Repair-Cream-i.455311481.8965069152</v>
      </c>
      <c r="C152" s="6" t="s">
        <v>213</v>
      </c>
      <c r="D152" s="6" t="s">
        <v>214</v>
      </c>
      <c r="E152" s="6" t="s">
        <v>12</v>
      </c>
      <c r="F152" s="6" t="s">
        <v>13</v>
      </c>
      <c r="G152" s="6" t="s">
        <v>130</v>
      </c>
      <c r="H152" s="8" t="s">
        <v>416</v>
      </c>
      <c r="I152" s="9">
        <v>9.30613E7</v>
      </c>
      <c r="J152" s="5" t="str">
        <f t="shared" ref="J152:K152" si="152">SUBSTITUTE(H152, ",", "")</f>
        <v>632</v>
      </c>
      <c r="K152" s="5" t="str">
        <f t="shared" si="152"/>
        <v>Rp93061300</v>
      </c>
      <c r="L152" s="5" t="str">
        <f t="shared" si="3"/>
        <v>93061300</v>
      </c>
    </row>
    <row r="153">
      <c r="A153" s="6" t="s">
        <v>417</v>
      </c>
      <c r="B153" s="7" t="str">
        <f>HYPERLINK("https://shopee.co.id/Premiere-Beaute-Niacinamide-Centella-Toner-Luminous-White-Glow-Brightening-Essence-Toner-120ml-i.237204571.9276029557", "https://shopee.co.id/Premiere-Beaute-Niacinamide-Centella-Toner-Luminous-White-Glow-Brightening-Essence-Toner-120ml-i.237204571.9276029557")</f>
        <v>https://shopee.co.id/Premiere-Beaute-Niacinamide-Centella-Toner-Luminous-White-Glow-Brightening-Essence-Toner-120ml-i.237204571.9276029557</v>
      </c>
      <c r="C153" s="6" t="s">
        <v>254</v>
      </c>
      <c r="D153" s="6" t="s">
        <v>255</v>
      </c>
      <c r="E153" s="6" t="s">
        <v>12</v>
      </c>
      <c r="F153" s="6" t="s">
        <v>13</v>
      </c>
      <c r="G153" s="6" t="s">
        <v>61</v>
      </c>
      <c r="H153" s="8" t="s">
        <v>418</v>
      </c>
      <c r="I153" s="9">
        <v>1.254722E8</v>
      </c>
      <c r="J153" s="5" t="str">
        <f t="shared" ref="J153:K153" si="153">SUBSTITUTE(H153, ",", "")</f>
        <v>630</v>
      </c>
      <c r="K153" s="5" t="str">
        <f t="shared" si="153"/>
        <v>Rp125472200</v>
      </c>
      <c r="L153" s="5" t="str">
        <f t="shared" si="3"/>
        <v>125472200</v>
      </c>
    </row>
    <row r="154">
      <c r="A154" s="6" t="s">
        <v>419</v>
      </c>
      <c r="B154" s="7" t="str">
        <f>HYPERLINK("https://shopee.co.id/Sulwhasoo-First-Care-Activating-Serum-60ml-Limited-Set--i.274949344.4678795250", "https://shopee.co.id/Sulwhasoo-First-Care-Activating-Serum-60ml-Limited-Set--i.274949344.4678795250")</f>
        <v>https://shopee.co.id/Sulwhasoo-First-Care-Activating-Serum-60ml-Limited-Set--i.274949344.4678795250</v>
      </c>
      <c r="C154" s="6" t="s">
        <v>282</v>
      </c>
      <c r="D154" s="6" t="s">
        <v>283</v>
      </c>
      <c r="E154" s="6" t="s">
        <v>12</v>
      </c>
      <c r="F154" s="6" t="s">
        <v>13</v>
      </c>
      <c r="G154" s="6" t="s">
        <v>61</v>
      </c>
      <c r="H154" s="8" t="s">
        <v>420</v>
      </c>
      <c r="I154" s="9">
        <v>8.5185E7</v>
      </c>
      <c r="J154" s="5" t="str">
        <f t="shared" ref="J154:K154" si="154">SUBSTITUTE(H154, ",", "")</f>
        <v>627</v>
      </c>
      <c r="K154" s="5" t="str">
        <f t="shared" si="154"/>
        <v>Rp85185000</v>
      </c>
      <c r="L154" s="5" t="str">
        <f t="shared" si="3"/>
        <v>85185000</v>
      </c>
    </row>
    <row r="155">
      <c r="A155" s="6" t="s">
        <v>421</v>
      </c>
      <c r="B155" s="7" t="str">
        <f>HYPERLINK("https://shopee.co.id/ElsheSkin-Radiant-Supple-Serum-i.9035345.8920423527", "https://shopee.co.id/ElsheSkin-Radiant-Supple-Serum-i.9035345.8920423527")</f>
        <v>https://shopee.co.id/ElsheSkin-Radiant-Supple-Serum-i.9035345.8920423527</v>
      </c>
      <c r="C155" s="6" t="s">
        <v>135</v>
      </c>
      <c r="D155" s="6" t="s">
        <v>136</v>
      </c>
      <c r="E155" s="6" t="s">
        <v>12</v>
      </c>
      <c r="F155" s="6" t="s">
        <v>13</v>
      </c>
      <c r="G155" s="6" t="s">
        <v>80</v>
      </c>
      <c r="H155" s="8" t="s">
        <v>422</v>
      </c>
      <c r="I155" s="9">
        <v>1.324198E8</v>
      </c>
      <c r="J155" s="5" t="str">
        <f t="shared" ref="J155:K155" si="155">SUBSTITUTE(H155, ",", "")</f>
        <v>618</v>
      </c>
      <c r="K155" s="5" t="str">
        <f t="shared" si="155"/>
        <v>Rp132419800</v>
      </c>
      <c r="L155" s="5" t="str">
        <f t="shared" si="3"/>
        <v>132419800</v>
      </c>
    </row>
    <row r="156">
      <c r="A156" s="6" t="s">
        <v>423</v>
      </c>
      <c r="B156" s="7" t="str">
        <f>HYPERLINK("https://shopee.co.id/Azarine-Miraclear-Herbal-Peeling-Serum-AHA-BHA-20ml-i.80036545.3156205728", "https://shopee.co.id/Azarine-Miraclear-Herbal-Peeling-Serum-AHA-BHA-20ml-i.80036545.3156205728")</f>
        <v>https://shopee.co.id/Azarine-Miraclear-Herbal-Peeling-Serum-AHA-BHA-20ml-i.80036545.3156205728</v>
      </c>
      <c r="C156" s="6" t="s">
        <v>233</v>
      </c>
      <c r="D156" s="6" t="s">
        <v>234</v>
      </c>
      <c r="E156" s="6" t="s">
        <v>12</v>
      </c>
      <c r="F156" s="6" t="s">
        <v>13</v>
      </c>
      <c r="G156" s="6" t="s">
        <v>115</v>
      </c>
      <c r="H156" s="8" t="s">
        <v>424</v>
      </c>
      <c r="I156" s="9">
        <v>1.31421E7</v>
      </c>
      <c r="J156" s="5" t="str">
        <f t="shared" ref="J156:K156" si="156">SUBSTITUTE(H156, ",", "")</f>
        <v>617</v>
      </c>
      <c r="K156" s="5" t="str">
        <f t="shared" si="156"/>
        <v>Rp13142100</v>
      </c>
      <c r="L156" s="5" t="str">
        <f t="shared" si="3"/>
        <v>13142100</v>
      </c>
    </row>
    <row r="157">
      <c r="A157" s="6" t="s">
        <v>425</v>
      </c>
      <c r="B157" s="7" t="str">
        <f>HYPERLINK("https://shopee.co.id/Laneige-Clear-C-Booster-Serum-Set-OL21--i.52917348.9134181789", "https://shopee.co.id/Laneige-Clear-C-Booster-Serum-Set-OL21--i.52917348.9134181789")</f>
        <v>https://shopee.co.id/Laneige-Clear-C-Booster-Serum-Set-OL21--i.52917348.9134181789</v>
      </c>
      <c r="C157" s="6" t="s">
        <v>364</v>
      </c>
      <c r="D157" s="6" t="s">
        <v>365</v>
      </c>
      <c r="E157" s="6" t="s">
        <v>12</v>
      </c>
      <c r="F157" s="6" t="s">
        <v>13</v>
      </c>
      <c r="G157" s="6" t="s">
        <v>61</v>
      </c>
      <c r="H157" s="8" t="s">
        <v>426</v>
      </c>
      <c r="I157" s="9">
        <v>5.18245E7</v>
      </c>
      <c r="J157" s="5" t="str">
        <f t="shared" ref="J157:K157" si="157">SUBSTITUTE(H157, ",", "")</f>
        <v>611</v>
      </c>
      <c r="K157" s="5" t="str">
        <f t="shared" si="157"/>
        <v>Rp51824500</v>
      </c>
      <c r="L157" s="5" t="str">
        <f t="shared" si="3"/>
        <v>51824500</v>
      </c>
    </row>
    <row r="158">
      <c r="A158" s="6" t="s">
        <v>427</v>
      </c>
      <c r="B158" s="7" t="str">
        <f>HYPERLINK("https://shopee.co.id/Purivera-Sea-Ceramide-Serum-Bakuchiol-2-Ceramide-3-Buckthorn-Anti-Aging-Skin-Barrier-Retinol-Alt-i.43724442.3485077026", "https://shopee.co.id/Purivera-Sea-Ceramide-Serum-Bakuchiol-2-Ceramide-3-Buckthorn-Anti-Aging-Skin-Barrier-Retinol-Alt-i.43724442.3485077026")</f>
        <v>https://shopee.co.id/Purivera-Sea-Ceramide-Serum-Bakuchiol-2-Ceramide-3-Buckthorn-Anti-Aging-Skin-Barrier-Retinol-Alt-i.43724442.3485077026</v>
      </c>
      <c r="C158" s="6" t="s">
        <v>428</v>
      </c>
      <c r="D158" s="6" t="s">
        <v>429</v>
      </c>
      <c r="E158" s="6" t="s">
        <v>12</v>
      </c>
      <c r="F158" s="6" t="s">
        <v>13</v>
      </c>
      <c r="G158" s="6" t="s">
        <v>61</v>
      </c>
      <c r="H158" s="8" t="s">
        <v>430</v>
      </c>
      <c r="I158" s="9">
        <v>6.47351E7</v>
      </c>
      <c r="J158" s="5" t="str">
        <f t="shared" ref="J158:K158" si="158">SUBSTITUTE(H158, ",", "")</f>
        <v>605</v>
      </c>
      <c r="K158" s="5" t="str">
        <f t="shared" si="158"/>
        <v>Rp64735100</v>
      </c>
      <c r="L158" s="5" t="str">
        <f t="shared" si="3"/>
        <v>64735100</v>
      </c>
    </row>
    <row r="159">
      <c r="A159" s="6" t="s">
        <v>431</v>
      </c>
      <c r="B159" s="7" t="str">
        <f>HYPERLINK("https://shopee.co.id/-Official-Distributor-Klairs-Freshly-Juiced-Vitamin-Drop-35ml-i.63803418.1188686391", "https://shopee.co.id/-Official-Distributor-Klairs-Freshly-Juiced-Vitamin-Drop-35ml-i.63803418.1188686391")</f>
        <v>https://shopee.co.id/-Official-Distributor-Klairs-Freshly-Juiced-Vitamin-Drop-35ml-i.63803418.1188686391</v>
      </c>
      <c r="C159" s="6" t="s">
        <v>432</v>
      </c>
      <c r="D159" s="6" t="s">
        <v>433</v>
      </c>
      <c r="E159" s="6" t="s">
        <v>12</v>
      </c>
      <c r="F159" s="6" t="s">
        <v>13</v>
      </c>
      <c r="G159" s="6" t="s">
        <v>21</v>
      </c>
      <c r="H159" s="8" t="s">
        <v>434</v>
      </c>
      <c r="I159" s="9">
        <v>8.14944E7</v>
      </c>
      <c r="J159" s="5" t="str">
        <f t="shared" ref="J159:K159" si="159">SUBSTITUTE(H159, ",", "")</f>
        <v>597</v>
      </c>
      <c r="K159" s="5" t="str">
        <f t="shared" si="159"/>
        <v>Rp81494400</v>
      </c>
      <c r="L159" s="5" t="str">
        <f t="shared" si="3"/>
        <v>81494400</v>
      </c>
    </row>
    <row r="160">
      <c r="A160" s="6" t="s">
        <v>435</v>
      </c>
      <c r="B160" s="7" t="str">
        <f>HYPERLINK("https://shopee.co.id/Some-By-Mi-Yuja-Niacin-30-Days-Blemish-Care-Serum-i.455311481.11210228422", "https://shopee.co.id/Some-By-Mi-Yuja-Niacin-30-Days-Blemish-Care-Serum-i.455311481.11210228422")</f>
        <v>https://shopee.co.id/Some-By-Mi-Yuja-Niacin-30-Days-Blemish-Care-Serum-i.455311481.11210228422</v>
      </c>
      <c r="C160" s="6" t="s">
        <v>213</v>
      </c>
      <c r="D160" s="6" t="s">
        <v>214</v>
      </c>
      <c r="E160" s="6" t="s">
        <v>12</v>
      </c>
      <c r="F160" s="6" t="s">
        <v>13</v>
      </c>
      <c r="G160" s="6" t="s">
        <v>130</v>
      </c>
      <c r="H160" s="8" t="s">
        <v>436</v>
      </c>
      <c r="I160" s="9">
        <v>4.98584E7</v>
      </c>
      <c r="J160" s="5" t="str">
        <f t="shared" ref="J160:K160" si="160">SUBSTITUTE(H160, ",", "")</f>
        <v>594</v>
      </c>
      <c r="K160" s="5" t="str">
        <f t="shared" si="160"/>
        <v>Rp49858400</v>
      </c>
      <c r="L160" s="5" t="str">
        <f t="shared" si="3"/>
        <v>49858400</v>
      </c>
    </row>
    <row r="161">
      <c r="A161" s="6" t="s">
        <v>437</v>
      </c>
      <c r="B161" s="7" t="str">
        <f>HYPERLINK("https://shopee.co.id/MSBB-Avoskin-Miraculous-Retinol-Ampoule-i.288588702.5344501825", "https://shopee.co.id/MSBB-Avoskin-Miraculous-Retinol-Ampoule-i.288588702.5344501825")</f>
        <v>https://shopee.co.id/MSBB-Avoskin-Miraculous-Retinol-Ampoule-i.288588702.5344501825</v>
      </c>
      <c r="C161" s="6" t="s">
        <v>83</v>
      </c>
      <c r="D161" s="6" t="s">
        <v>79</v>
      </c>
      <c r="E161" s="6" t="s">
        <v>12</v>
      </c>
      <c r="F161" s="6" t="s">
        <v>13</v>
      </c>
      <c r="G161" s="6" t="s">
        <v>80</v>
      </c>
      <c r="H161" s="8" t="s">
        <v>438</v>
      </c>
      <c r="I161" s="9">
        <v>7.0567E7</v>
      </c>
      <c r="J161" s="5" t="str">
        <f t="shared" ref="J161:K161" si="161">SUBSTITUTE(H161, ",", "")</f>
        <v>593</v>
      </c>
      <c r="K161" s="5" t="str">
        <f t="shared" si="161"/>
        <v>Rp70567000</v>
      </c>
      <c r="L161" s="5" t="str">
        <f t="shared" si="3"/>
        <v>70567000</v>
      </c>
    </row>
    <row r="162">
      <c r="A162" s="6" t="s">
        <v>439</v>
      </c>
      <c r="B162" s="7" t="str">
        <f>HYPERLINK("https://shopee.co.id/La-Roche-Posay-Effaclar-Acne-Serum-30ml-Bundle-FREE-Effaclar-Duo-15ml-Anthelios-Fluid-3ml-i.433144176.9187128409", "https://shopee.co.id/La-Roche-Posay-Effaclar-Acne-Serum-30ml-Bundle-FREE-Effaclar-Duo-15ml-Anthelios-Fluid-3ml-i.433144176.9187128409")</f>
        <v>https://shopee.co.id/La-Roche-Posay-Effaclar-Acne-Serum-30ml-Bundle-FREE-Effaclar-Duo-15ml-Anthelios-Fluid-3ml-i.433144176.9187128409</v>
      </c>
      <c r="C162" s="6" t="s">
        <v>147</v>
      </c>
      <c r="D162" s="6" t="s">
        <v>148</v>
      </c>
      <c r="E162" s="6" t="s">
        <v>12</v>
      </c>
      <c r="F162" s="6" t="s">
        <v>13</v>
      </c>
      <c r="G162" s="6" t="s">
        <v>61</v>
      </c>
      <c r="H162" s="8" t="s">
        <v>438</v>
      </c>
      <c r="I162" s="9">
        <v>6.623E7</v>
      </c>
      <c r="J162" s="5" t="str">
        <f t="shared" ref="J162:K162" si="162">SUBSTITUTE(H162, ",", "")</f>
        <v>593</v>
      </c>
      <c r="K162" s="5" t="str">
        <f t="shared" si="162"/>
        <v>Rp66230000</v>
      </c>
      <c r="L162" s="5" t="str">
        <f t="shared" si="3"/>
        <v>66230000</v>
      </c>
    </row>
    <row r="163">
      <c r="A163" s="6" t="s">
        <v>440</v>
      </c>
      <c r="B163" s="7" t="str">
        <f>HYPERLINK("https://shopee.co.id/SOMETHINC-LEVEL-1-Retinol-20ml-i.68111.5732594794", "https://shopee.co.id/SOMETHINC-LEVEL-1-Retinol-20ml-i.68111.5732594794")</f>
        <v>https://shopee.co.id/SOMETHINC-LEVEL-1-Retinol-20ml-i.68111.5732594794</v>
      </c>
      <c r="C163" s="6" t="s">
        <v>45</v>
      </c>
      <c r="D163" s="6" t="s">
        <v>441</v>
      </c>
      <c r="E163" s="6" t="s">
        <v>12</v>
      </c>
      <c r="F163" s="6" t="s">
        <v>13</v>
      </c>
      <c r="G163" s="6" t="s">
        <v>130</v>
      </c>
      <c r="H163" s="8" t="s">
        <v>442</v>
      </c>
      <c r="I163" s="9">
        <v>6.91933E7</v>
      </c>
      <c r="J163" s="5" t="str">
        <f t="shared" ref="J163:K163" si="163">SUBSTITUTE(H163, ",", "")</f>
        <v>585</v>
      </c>
      <c r="K163" s="5" t="str">
        <f t="shared" si="163"/>
        <v>Rp69193300</v>
      </c>
      <c r="L163" s="5" t="str">
        <f t="shared" si="3"/>
        <v>69193300</v>
      </c>
    </row>
    <row r="164">
      <c r="A164" s="6" t="s">
        <v>443</v>
      </c>
      <c r="B164" s="7" t="str">
        <f>HYPERLINK("https://shopee.co.id/Aish-Brightening-Serum-Serum-untuk-mencerahkan-dan-melembabkan-kulit-wajah-15ml-i.406360531.8428391845", "https://shopee.co.id/Aish-Brightening-Serum-Serum-untuk-mencerahkan-dan-melembabkan-kulit-wajah-15ml-i.406360531.8428391845")</f>
        <v>https://shopee.co.id/Aish-Brightening-Serum-Serum-untuk-mencerahkan-dan-melembabkan-kulit-wajah-15ml-i.406360531.8428391845</v>
      </c>
      <c r="C164" s="6" t="s">
        <v>348</v>
      </c>
      <c r="D164" s="6" t="s">
        <v>444</v>
      </c>
      <c r="E164" s="6" t="s">
        <v>12</v>
      </c>
      <c r="F164" s="6" t="s">
        <v>13</v>
      </c>
      <c r="G164" s="6" t="s">
        <v>241</v>
      </c>
      <c r="H164" s="8" t="s">
        <v>445</v>
      </c>
      <c r="I164" s="9">
        <v>2.725765E7</v>
      </c>
      <c r="J164" s="5" t="str">
        <f t="shared" ref="J164:K164" si="164">SUBSTITUTE(H164, ",", "")</f>
        <v>581</v>
      </c>
      <c r="K164" s="5" t="str">
        <f t="shared" si="164"/>
        <v>Rp27257650</v>
      </c>
      <c r="L164" s="5" t="str">
        <f t="shared" si="3"/>
        <v>27257650</v>
      </c>
    </row>
    <row r="165">
      <c r="A165" s="6" t="s">
        <v>446</v>
      </c>
      <c r="B165" s="7" t="str">
        <f>HYPERLINK("https://shopee.co.id/Mamonde-Blossoming-Red-Serum-Birthday-Set--i.160417197.3392660204", "https://shopee.co.id/Mamonde-Blossoming-Red-Serum-Birthday-Set--i.160417197.3392660204")</f>
        <v>https://shopee.co.id/Mamonde-Blossoming-Red-Serum-Birthday-Set--i.160417197.3392660204</v>
      </c>
      <c r="C165" s="6" t="s">
        <v>447</v>
      </c>
      <c r="D165" s="6" t="s">
        <v>448</v>
      </c>
      <c r="E165" s="6" t="s">
        <v>12</v>
      </c>
      <c r="F165" s="6" t="s">
        <v>13</v>
      </c>
      <c r="G165" s="6" t="s">
        <v>61</v>
      </c>
      <c r="H165" s="8" t="s">
        <v>449</v>
      </c>
      <c r="I165" s="9">
        <v>5.6537E7</v>
      </c>
      <c r="J165" s="5" t="str">
        <f t="shared" ref="J165:K165" si="165">SUBSTITUTE(H165, ",", "")</f>
        <v>578</v>
      </c>
      <c r="K165" s="5" t="str">
        <f t="shared" si="165"/>
        <v>Rp56537000</v>
      </c>
      <c r="L165" s="5" t="str">
        <f t="shared" si="3"/>
        <v>56537000</v>
      </c>
    </row>
    <row r="166">
      <c r="A166" s="6" t="s">
        <v>450</v>
      </c>
      <c r="B166" s="7" t="str">
        <f>HYPERLINK("https://shopee.co.id/Airnderm-Aesthetic-Glass-Skin-Serum-by-AIRIN-BEAUTY--i.112372548.8509426689", "https://shopee.co.id/Airnderm-Aesthetic-Glass-Skin-Serum-by-AIRIN-BEAUTY--i.112372548.8509426689")</f>
        <v>https://shopee.co.id/Airnderm-Aesthetic-Glass-Skin-Serum-by-AIRIN-BEAUTY--i.112372548.8509426689</v>
      </c>
      <c r="C166" s="6" t="s">
        <v>451</v>
      </c>
      <c r="D166" s="6" t="s">
        <v>240</v>
      </c>
      <c r="E166" s="6" t="s">
        <v>12</v>
      </c>
      <c r="F166" s="6" t="s">
        <v>13</v>
      </c>
      <c r="G166" s="6" t="s">
        <v>241</v>
      </c>
      <c r="H166" s="8" t="s">
        <v>452</v>
      </c>
      <c r="I166" s="9">
        <v>4.365E7</v>
      </c>
      <c r="J166" s="5" t="str">
        <f t="shared" ref="J166:K166" si="166">SUBSTITUTE(H166, ",", "")</f>
        <v>574</v>
      </c>
      <c r="K166" s="5" t="str">
        <f t="shared" si="166"/>
        <v>Rp43650000</v>
      </c>
      <c r="L166" s="5" t="str">
        <f t="shared" si="3"/>
        <v>43650000</v>
      </c>
    </row>
    <row r="167">
      <c r="A167" s="6" t="s">
        <v>453</v>
      </c>
      <c r="B167" s="7" t="str">
        <f>HYPERLINK("https://shopee.co.id/Olay-Serum-Wajah-Total-Effects-7-in-1-Anti-Aging-Skincare-50ml-i.11487927.95397937", "https://shopee.co.id/Olay-Serum-Wajah-Total-Effects-7-in-1-Anti-Aging-Skincare-50ml-i.11487927.95397937")</f>
        <v>https://shopee.co.id/Olay-Serum-Wajah-Total-Effects-7-in-1-Anti-Aging-Skincare-50ml-i.11487927.95397937</v>
      </c>
      <c r="C167" s="6" t="s">
        <v>317</v>
      </c>
      <c r="D167" s="6" t="s">
        <v>318</v>
      </c>
      <c r="E167" s="6" t="s">
        <v>12</v>
      </c>
      <c r="F167" s="6" t="s">
        <v>13</v>
      </c>
      <c r="G167" s="6" t="s">
        <v>296</v>
      </c>
      <c r="H167" s="8" t="s">
        <v>454</v>
      </c>
      <c r="I167" s="9">
        <v>3.1932505E7</v>
      </c>
      <c r="J167" s="5" t="str">
        <f t="shared" ref="J167:K167" si="167">SUBSTITUTE(H167, ",", "")</f>
        <v>565</v>
      </c>
      <c r="K167" s="5" t="str">
        <f t="shared" si="167"/>
        <v>Rp31932505</v>
      </c>
      <c r="L167" s="5" t="str">
        <f t="shared" si="3"/>
        <v>31932505</v>
      </c>
    </row>
    <row r="168">
      <c r="A168" s="6" t="s">
        <v>455</v>
      </c>
      <c r="B168" s="7" t="str">
        <f>HYPERLINK("https://shopee.co.id/Benton-Snail-Bee-High-Content-Essence-60ml-i.180415888.4203962148", "https://shopee.co.id/Benton-Snail-Bee-High-Content-Essence-60ml-i.180415888.4203962148")</f>
        <v>https://shopee.co.id/Benton-Snail-Bee-High-Content-Essence-60ml-i.180415888.4203962148</v>
      </c>
      <c r="C168" s="6" t="s">
        <v>456</v>
      </c>
      <c r="D168" s="6" t="s">
        <v>457</v>
      </c>
      <c r="E168" s="6" t="s">
        <v>12</v>
      </c>
      <c r="F168" s="6" t="s">
        <v>13</v>
      </c>
      <c r="G168" s="6" t="s">
        <v>80</v>
      </c>
      <c r="H168" s="8" t="s">
        <v>458</v>
      </c>
      <c r="I168" s="9">
        <v>1.06376E8</v>
      </c>
      <c r="J168" s="5" t="str">
        <f t="shared" ref="J168:K168" si="168">SUBSTITUTE(H168, ",", "")</f>
        <v>564</v>
      </c>
      <c r="K168" s="5" t="str">
        <f t="shared" si="168"/>
        <v>Rp106376000</v>
      </c>
      <c r="L168" s="5" t="str">
        <f t="shared" si="3"/>
        <v>106376000</v>
      </c>
    </row>
    <row r="169">
      <c r="A169" s="6" t="s">
        <v>459</v>
      </c>
      <c r="B169" s="7" t="str">
        <f>HYPERLINK("https://shopee.co.id/Laneige-Clear-C-Peeling-Serum-80ml-i.52917348.9234181785", "https://shopee.co.id/Laneige-Clear-C-Peeling-Serum-80ml-i.52917348.9234181785")</f>
        <v>https://shopee.co.id/Laneige-Clear-C-Peeling-Serum-80ml-i.52917348.9234181785</v>
      </c>
      <c r="C169" s="6" t="s">
        <v>364</v>
      </c>
      <c r="D169" s="6" t="s">
        <v>365</v>
      </c>
      <c r="E169" s="6" t="s">
        <v>12</v>
      </c>
      <c r="F169" s="6" t="s">
        <v>13</v>
      </c>
      <c r="G169" s="6" t="s">
        <v>61</v>
      </c>
      <c r="H169" s="8" t="s">
        <v>460</v>
      </c>
      <c r="I169" s="9">
        <v>1.8951E8</v>
      </c>
      <c r="J169" s="5" t="str">
        <f t="shared" ref="J169:K169" si="169">SUBSTITUTE(H169, ",", "")</f>
        <v>553</v>
      </c>
      <c r="K169" s="5" t="str">
        <f t="shared" si="169"/>
        <v>Rp189510000</v>
      </c>
      <c r="L169" s="5" t="str">
        <f t="shared" si="3"/>
        <v>189510000</v>
      </c>
    </row>
    <row r="170">
      <c r="A170" s="6" t="s">
        <v>461</v>
      </c>
      <c r="B170" s="7" t="str">
        <f>HYPERLINK("https://shopee.co.id/-innisfree-Brightening-Pore-Serum-30ML-Serum-Wajah-Perawatan-Wajah-i.61504589.1007674339", "https://shopee.co.id/-innisfree-Brightening-Pore-Serum-30ML-Serum-Wajah-Perawatan-Wajah-i.61504589.1007674339")</f>
        <v>https://shopee.co.id/-innisfree-Brightening-Pore-Serum-30ML-Serum-Wajah-Perawatan-Wajah-i.61504589.1007674339</v>
      </c>
      <c r="C170" s="6" t="s">
        <v>294</v>
      </c>
      <c r="D170" s="6" t="s">
        <v>295</v>
      </c>
      <c r="E170" s="6" t="s">
        <v>12</v>
      </c>
      <c r="F170" s="6" t="s">
        <v>13</v>
      </c>
      <c r="G170" s="6" t="s">
        <v>296</v>
      </c>
      <c r="H170" s="8" t="s">
        <v>460</v>
      </c>
      <c r="I170" s="9">
        <v>5.8065E7</v>
      </c>
      <c r="J170" s="5" t="str">
        <f t="shared" ref="J170:K170" si="170">SUBSTITUTE(H170, ",", "")</f>
        <v>553</v>
      </c>
      <c r="K170" s="5" t="str">
        <f t="shared" si="170"/>
        <v>Rp58065000</v>
      </c>
      <c r="L170" s="5" t="str">
        <f t="shared" si="3"/>
        <v>58065000</v>
      </c>
    </row>
    <row r="171">
      <c r="A171" s="6" t="s">
        <v>462</v>
      </c>
      <c r="B171" s="7" t="str">
        <f>HYPERLINK("https://shopee.co.id/-innisfree-Green-Tea-Seed-Serum-Deluxe-Bundle-i.61504589.5191196871", "https://shopee.co.id/-innisfree-Green-Tea-Seed-Serum-Deluxe-Bundle-i.61504589.5191196871")</f>
        <v>https://shopee.co.id/-innisfree-Green-Tea-Seed-Serum-Deluxe-Bundle-i.61504589.5191196871</v>
      </c>
      <c r="C171" s="6" t="s">
        <v>294</v>
      </c>
      <c r="D171" s="6" t="s">
        <v>295</v>
      </c>
      <c r="E171" s="6" t="s">
        <v>12</v>
      </c>
      <c r="F171" s="6" t="s">
        <v>13</v>
      </c>
      <c r="G171" s="6" t="s">
        <v>296</v>
      </c>
      <c r="H171" s="8" t="s">
        <v>463</v>
      </c>
      <c r="I171" s="9">
        <v>6.965355E7</v>
      </c>
      <c r="J171" s="5" t="str">
        <f t="shared" ref="J171:K171" si="171">SUBSTITUTE(H171, ",", "")</f>
        <v>544</v>
      </c>
      <c r="K171" s="5" t="str">
        <f t="shared" si="171"/>
        <v>Rp69653550</v>
      </c>
      <c r="L171" s="5" t="str">
        <f t="shared" si="3"/>
        <v>69653550</v>
      </c>
    </row>
    <row r="172">
      <c r="A172" s="6" t="s">
        <v>464</v>
      </c>
      <c r="B172" s="7" t="str">
        <f>HYPERLINK("https://shopee.co.id/Safi-Age-Defy-Anti-Aging-Gold-Water-Essence-100ml-Perawatan-Wajah-i.63823668.1158822920", "https://shopee.co.id/Safi-Age-Defy-Anti-Aging-Gold-Water-Essence-100ml-Perawatan-Wajah-i.63823668.1158822920")</f>
        <v>https://shopee.co.id/Safi-Age-Defy-Anti-Aging-Gold-Water-Essence-100ml-Perawatan-Wajah-i.63823668.1158822920</v>
      </c>
      <c r="C172" s="6" t="s">
        <v>278</v>
      </c>
      <c r="D172" s="6" t="s">
        <v>279</v>
      </c>
      <c r="E172" s="6" t="s">
        <v>12</v>
      </c>
      <c r="F172" s="6" t="s">
        <v>13</v>
      </c>
      <c r="G172" s="6" t="s">
        <v>61</v>
      </c>
      <c r="H172" s="8" t="s">
        <v>465</v>
      </c>
      <c r="I172" s="9">
        <v>4.29885E7</v>
      </c>
      <c r="J172" s="5" t="str">
        <f t="shared" ref="J172:K172" si="172">SUBSTITUTE(H172, ",", "")</f>
        <v>539</v>
      </c>
      <c r="K172" s="5" t="str">
        <f t="shared" si="172"/>
        <v>Rp42988500</v>
      </c>
      <c r="L172" s="5" t="str">
        <f t="shared" si="3"/>
        <v>42988500</v>
      </c>
    </row>
    <row r="173">
      <c r="A173" s="6" t="s">
        <v>466</v>
      </c>
      <c r="B173" s="7" t="str">
        <f>HYPERLINK("https://shopee.co.id/Serum-Kinclong-Ertos-i.96907343.1628696821", "https://shopee.co.id/Serum-Kinclong-Ertos-i.96907343.1628696821")</f>
        <v>https://shopee.co.id/Serum-Kinclong-Ertos-i.96907343.1628696821</v>
      </c>
      <c r="C173" s="6" t="s">
        <v>467</v>
      </c>
      <c r="D173" s="6" t="s">
        <v>468</v>
      </c>
      <c r="E173" s="6" t="s">
        <v>12</v>
      </c>
      <c r="F173" s="6" t="s">
        <v>13</v>
      </c>
      <c r="G173" s="6" t="s">
        <v>469</v>
      </c>
      <c r="H173" s="8" t="s">
        <v>465</v>
      </c>
      <c r="I173" s="9">
        <v>7492100.0</v>
      </c>
      <c r="J173" s="5" t="str">
        <f t="shared" ref="J173:K173" si="173">SUBSTITUTE(H173, ",", "")</f>
        <v>539</v>
      </c>
      <c r="K173" s="5" t="str">
        <f t="shared" si="173"/>
        <v>Rp7492100</v>
      </c>
      <c r="L173" s="5" t="str">
        <f t="shared" si="3"/>
        <v>7492100</v>
      </c>
    </row>
    <row r="174">
      <c r="A174" s="6" t="s">
        <v>470</v>
      </c>
      <c r="B174" s="7" t="str">
        <f>HYPERLINK("https://shopee.co.id/Tranexamic-Acid-Hyaluronic-Acid-Vitamin-C-Serum-Pour-Maharis-Clinic-i.46300234.5360791194", "https://shopee.co.id/Tranexamic-Acid-Hyaluronic-Acid-Vitamin-C-Serum-Pour-Maharis-Clinic-i.46300234.5360791194")</f>
        <v>https://shopee.co.id/Tranexamic-Acid-Hyaluronic-Acid-Vitamin-C-Serum-Pour-Maharis-Clinic-i.46300234.5360791194</v>
      </c>
      <c r="C174" s="6" t="s">
        <v>471</v>
      </c>
      <c r="D174" s="6" t="s">
        <v>472</v>
      </c>
      <c r="E174" s="6" t="s">
        <v>12</v>
      </c>
      <c r="F174" s="6" t="s">
        <v>13</v>
      </c>
      <c r="G174" s="6" t="s">
        <v>98</v>
      </c>
      <c r="H174" s="8" t="s">
        <v>473</v>
      </c>
      <c r="I174" s="9">
        <v>4.2328E7</v>
      </c>
      <c r="J174" s="5" t="str">
        <f t="shared" ref="J174:K174" si="174">SUBSTITUTE(H174, ",", "")</f>
        <v>537</v>
      </c>
      <c r="K174" s="5" t="str">
        <f t="shared" si="174"/>
        <v>Rp42328000</v>
      </c>
      <c r="L174" s="5" t="str">
        <f t="shared" si="3"/>
        <v>42328000</v>
      </c>
    </row>
    <row r="175">
      <c r="A175" s="6" t="s">
        <v>474</v>
      </c>
      <c r="B175" s="7" t="str">
        <f>HYPERLINK("https://shopee.co.id/PYUNKANG-YUL-Moisture-Serum-100ml-i.180485193.6005578616", "https://shopee.co.id/PYUNKANG-YUL-Moisture-Serum-100ml-i.180485193.6005578616")</f>
        <v>https://shopee.co.id/PYUNKANG-YUL-Moisture-Serum-100ml-i.180485193.6005578616</v>
      </c>
      <c r="C175" s="6" t="s">
        <v>475</v>
      </c>
      <c r="D175" s="6" t="s">
        <v>476</v>
      </c>
      <c r="E175" s="6" t="s">
        <v>12</v>
      </c>
      <c r="F175" s="6" t="s">
        <v>13</v>
      </c>
      <c r="G175" s="6" t="s">
        <v>80</v>
      </c>
      <c r="H175" s="8" t="s">
        <v>477</v>
      </c>
      <c r="I175" s="9">
        <v>9.6714988E7</v>
      </c>
      <c r="J175" s="5" t="str">
        <f t="shared" ref="J175:K175" si="175">SUBSTITUTE(H175, ",", "")</f>
        <v>522</v>
      </c>
      <c r="K175" s="5" t="str">
        <f t="shared" si="175"/>
        <v>Rp96714988</v>
      </c>
      <c r="L175" s="5" t="str">
        <f t="shared" si="3"/>
        <v>96714988</v>
      </c>
    </row>
    <row r="176">
      <c r="A176" s="6" t="s">
        <v>478</v>
      </c>
      <c r="B176" s="7" t="str">
        <f>HYPERLINK("https://shopee.co.id/-innisfree-Green-Tea-Seed-Serum-160ml-Niacinamide-Hyaluronic-Acid-Hydration-Serum-Wajah-Skincare-i.61504589.10109844532", "https://shopee.co.id/-innisfree-Green-Tea-Seed-Serum-160ml-Niacinamide-Hyaluronic-Acid-Hydration-Serum-Wajah-Skincare-i.61504589.10109844532")</f>
        <v>https://shopee.co.id/-innisfree-Green-Tea-Seed-Serum-160ml-Niacinamide-Hyaluronic-Acid-Hydration-Serum-Wajah-Skincare-i.61504589.10109844532</v>
      </c>
      <c r="C176" s="6" t="s">
        <v>294</v>
      </c>
      <c r="D176" s="6" t="s">
        <v>295</v>
      </c>
      <c r="E176" s="6" t="s">
        <v>12</v>
      </c>
      <c r="F176" s="6" t="s">
        <v>13</v>
      </c>
      <c r="G176" s="6" t="s">
        <v>296</v>
      </c>
      <c r="H176" s="8" t="s">
        <v>479</v>
      </c>
      <c r="I176" s="9">
        <v>1.00112175E8</v>
      </c>
      <c r="J176" s="5" t="str">
        <f t="shared" ref="J176:K176" si="176">SUBSTITUTE(H176, ",", "")</f>
        <v>514</v>
      </c>
      <c r="K176" s="5" t="str">
        <f t="shared" si="176"/>
        <v>Rp100112175</v>
      </c>
      <c r="L176" s="5" t="str">
        <f t="shared" si="3"/>
        <v>100112175</v>
      </c>
    </row>
    <row r="177">
      <c r="A177" s="6" t="s">
        <v>480</v>
      </c>
      <c r="B177" s="7" t="str">
        <f>HYPERLINK("https://shopee.co.id/L-Oreal-Paris-Your-First-Skin-Care-Kit-i.62579622.3643009649", "https://shopee.co.id/L-Oreal-Paris-Your-First-Skin-Care-Kit-i.62579622.3643009649")</f>
        <v>https://shopee.co.id/L-Oreal-Paris-Your-First-Skin-Care-Kit-i.62579622.3643009649</v>
      </c>
      <c r="C177" s="6" t="s">
        <v>105</v>
      </c>
      <c r="D177" s="6" t="s">
        <v>106</v>
      </c>
      <c r="E177" s="6" t="s">
        <v>12</v>
      </c>
      <c r="F177" s="6" t="s">
        <v>13</v>
      </c>
      <c r="G177" s="6" t="s">
        <v>61</v>
      </c>
      <c r="H177" s="8" t="s">
        <v>481</v>
      </c>
      <c r="I177" s="9">
        <v>1.2515E7</v>
      </c>
      <c r="J177" s="5" t="str">
        <f t="shared" ref="J177:K177" si="177">SUBSTITUTE(H177, ",", "")</f>
        <v>512</v>
      </c>
      <c r="K177" s="5" t="str">
        <f t="shared" si="177"/>
        <v>Rp12515000</v>
      </c>
      <c r="L177" s="5" t="str">
        <f t="shared" si="3"/>
        <v>12515000</v>
      </c>
    </row>
    <row r="178">
      <c r="A178" s="6" t="s">
        <v>482</v>
      </c>
      <c r="B178" s="7" t="str">
        <f>HYPERLINK("https://shopee.co.id/Dear-Me-Beauty-10-Niacinamide-Watermelon-Extract-Face-Serum-32ml-i.45495764.9048396972", "https://shopee.co.id/Dear-Me-Beauty-10-Niacinamide-Watermelon-Extract-Face-Serum-32ml-i.45495764.9048396972")</f>
        <v>https://shopee.co.id/Dear-Me-Beauty-10-Niacinamide-Watermelon-Extract-Face-Serum-32ml-i.45495764.9048396972</v>
      </c>
      <c r="C178" s="6" t="s">
        <v>70</v>
      </c>
      <c r="D178" s="6" t="s">
        <v>71</v>
      </c>
      <c r="E178" s="6" t="s">
        <v>12</v>
      </c>
      <c r="F178" s="6" t="s">
        <v>13</v>
      </c>
      <c r="G178" s="6" t="s">
        <v>61</v>
      </c>
      <c r="H178" s="8" t="s">
        <v>483</v>
      </c>
      <c r="I178" s="9">
        <v>6.64881E7</v>
      </c>
      <c r="J178" s="5" t="str">
        <f t="shared" ref="J178:K178" si="178">SUBSTITUTE(H178, ",", "")</f>
        <v>511</v>
      </c>
      <c r="K178" s="5" t="str">
        <f t="shared" si="178"/>
        <v>Rp66488100</v>
      </c>
      <c r="L178" s="5" t="str">
        <f t="shared" si="3"/>
        <v>66488100</v>
      </c>
    </row>
    <row r="179">
      <c r="A179" s="6" t="s">
        <v>484</v>
      </c>
      <c r="B179" s="7" t="str">
        <f>HYPERLINK("https://shopee.co.id/Garnier-Sakura-White-Serum-Day-Cream-Night-Cream-Rangkaian-Garnier-Sakura-White-Serum-Cream-i.62583853.5541488143", "https://shopee.co.id/Garnier-Sakura-White-Serum-Day-Cream-Night-Cream-Rangkaian-Garnier-Sakura-White-Serum-Cream-i.62583853.5541488143")</f>
        <v>https://shopee.co.id/Garnier-Sakura-White-Serum-Day-Cream-Night-Cream-Rangkaian-Garnier-Sakura-White-Serum-Cream-i.62583853.5541488143</v>
      </c>
      <c r="C179" s="6" t="s">
        <v>74</v>
      </c>
      <c r="D179" s="6" t="s">
        <v>75</v>
      </c>
      <c r="E179" s="6" t="s">
        <v>12</v>
      </c>
      <c r="F179" s="6" t="s">
        <v>13</v>
      </c>
      <c r="G179" s="6" t="s">
        <v>61</v>
      </c>
      <c r="H179" s="8" t="s">
        <v>485</v>
      </c>
      <c r="I179" s="9">
        <v>1.251875E7</v>
      </c>
      <c r="J179" s="5" t="str">
        <f t="shared" ref="J179:K179" si="179">SUBSTITUTE(H179, ",", "")</f>
        <v>505</v>
      </c>
      <c r="K179" s="5" t="str">
        <f t="shared" si="179"/>
        <v>Rp12518750</v>
      </c>
      <c r="L179" s="5" t="str">
        <f t="shared" si="3"/>
        <v>12518750</v>
      </c>
    </row>
    <row r="180">
      <c r="A180" s="6" t="s">
        <v>486</v>
      </c>
      <c r="B180" s="7" t="str">
        <f>HYPERLINK("https://shopee.co.id/La-Roche-Posay-Hyalu-B5-Anti-Aging-Serum-50ml-Serum-Hyaluronic-Acid-Kulit-Sensitif-Kering-Kerutan-i.433144176.10301762063", "https://shopee.co.id/La-Roche-Posay-Hyalu-B5-Anti-Aging-Serum-50ml-Serum-Hyaluronic-Acid-Kulit-Sensitif-Kering-Kerutan-i.433144176.10301762063")</f>
        <v>https://shopee.co.id/La-Roche-Posay-Hyalu-B5-Anti-Aging-Serum-50ml-Serum-Hyaluronic-Acid-Kulit-Sensitif-Kering-Kerutan-i.433144176.10301762063</v>
      </c>
      <c r="C180" s="6" t="s">
        <v>147</v>
      </c>
      <c r="D180" s="6" t="s">
        <v>148</v>
      </c>
      <c r="E180" s="6" t="s">
        <v>12</v>
      </c>
      <c r="F180" s="6" t="s">
        <v>13</v>
      </c>
      <c r="G180" s="6" t="s">
        <v>61</v>
      </c>
      <c r="H180" s="8" t="s">
        <v>487</v>
      </c>
      <c r="I180" s="9">
        <v>6.1992E7</v>
      </c>
      <c r="J180" s="5" t="str">
        <f t="shared" ref="J180:K180" si="180">SUBSTITUTE(H180, ",", "")</f>
        <v>504</v>
      </c>
      <c r="K180" s="5" t="str">
        <f t="shared" si="180"/>
        <v>Rp61992000</v>
      </c>
      <c r="L180" s="5" t="str">
        <f t="shared" si="3"/>
        <v>61992000</v>
      </c>
    </row>
    <row r="181">
      <c r="A181" s="6" t="s">
        <v>488</v>
      </c>
      <c r="B181" s="7" t="str">
        <f>HYPERLINK("https://shopee.co.id/Aura-Bright-Whitening-Serum-For-Acne-i.127215672.1920935867", "https://shopee.co.id/Aura-Bright-Whitening-Serum-For-Acne-i.127215672.1920935867")</f>
        <v>https://shopee.co.id/Aura-Bright-Whitening-Serum-For-Acne-i.127215672.1920935867</v>
      </c>
      <c r="C181" s="6" t="s">
        <v>90</v>
      </c>
      <c r="D181" s="6" t="s">
        <v>91</v>
      </c>
      <c r="E181" s="6" t="s">
        <v>12</v>
      </c>
      <c r="F181" s="6" t="s">
        <v>13</v>
      </c>
      <c r="G181" s="6" t="s">
        <v>21</v>
      </c>
      <c r="H181" s="8" t="s">
        <v>487</v>
      </c>
      <c r="I181" s="9">
        <v>6.48102E7</v>
      </c>
      <c r="J181" s="5" t="str">
        <f t="shared" ref="J181:K181" si="181">SUBSTITUTE(H181, ",", "")</f>
        <v>504</v>
      </c>
      <c r="K181" s="5" t="str">
        <f t="shared" si="181"/>
        <v>Rp64810200</v>
      </c>
      <c r="L181" s="5" t="str">
        <f t="shared" si="3"/>
        <v>64810200</v>
      </c>
    </row>
    <row r="182">
      <c r="A182" s="6" t="s">
        <v>489</v>
      </c>
      <c r="B182" s="7" t="str">
        <f>HYPERLINK("https://shopee.co.id/L-Oreal-Paris-Revitalift-Daily-Intensive-Serum-Skin-Care-30ml-Untuk-Kulit-Cerah-Tampak-Muda--i.62579622.1023031324", "https://shopee.co.id/L-Oreal-Paris-Revitalift-Daily-Intensive-Serum-Skin-Care-30ml-Untuk-Kulit-Cerah-Tampak-Muda--i.62579622.1023031324")</f>
        <v>https://shopee.co.id/L-Oreal-Paris-Revitalift-Daily-Intensive-Serum-Skin-Care-30ml-Untuk-Kulit-Cerah-Tampak-Muda--i.62579622.1023031324</v>
      </c>
      <c r="C182" s="6" t="s">
        <v>105</v>
      </c>
      <c r="D182" s="6" t="s">
        <v>106</v>
      </c>
      <c r="E182" s="6" t="s">
        <v>12</v>
      </c>
      <c r="F182" s="6" t="s">
        <v>13</v>
      </c>
      <c r="G182" s="6" t="s">
        <v>61</v>
      </c>
      <c r="H182" s="8" t="s">
        <v>490</v>
      </c>
      <c r="I182" s="9">
        <v>3.72E7</v>
      </c>
      <c r="J182" s="5" t="str">
        <f t="shared" ref="J182:K182" si="182">SUBSTITUTE(H182, ",", "")</f>
        <v>496</v>
      </c>
      <c r="K182" s="5" t="str">
        <f t="shared" si="182"/>
        <v>Rp37200000</v>
      </c>
      <c r="L182" s="5" t="str">
        <f t="shared" si="3"/>
        <v>37200000</v>
      </c>
    </row>
    <row r="183">
      <c r="A183" s="6" t="s">
        <v>491</v>
      </c>
      <c r="B183" s="7" t="str">
        <f>HYPERLINK("https://shopee.co.id/COSRX-Advanced-Snail-Mucin-96-Power-Essence-100-ml-Esens-Lendir-Siput-Skincare-i.224957239.7231700971", "https://shopee.co.id/COSRX-Advanced-Snail-Mucin-96-Power-Essence-100-ml-Esens-Lendir-Siput-Skincare-i.224957239.7231700971")</f>
        <v>https://shopee.co.id/COSRX-Advanced-Snail-Mucin-96-Power-Essence-100-ml-Esens-Lendir-Siput-Skincare-i.224957239.7231700971</v>
      </c>
      <c r="C183" s="6" t="s">
        <v>305</v>
      </c>
      <c r="D183" s="6" t="s">
        <v>492</v>
      </c>
      <c r="E183" s="6" t="s">
        <v>12</v>
      </c>
      <c r="F183" s="6" t="s">
        <v>13</v>
      </c>
      <c r="G183" s="6" t="s">
        <v>21</v>
      </c>
      <c r="H183" s="8" t="s">
        <v>493</v>
      </c>
      <c r="I183" s="9">
        <v>2.85528E7</v>
      </c>
      <c r="J183" s="5" t="str">
        <f t="shared" ref="J183:K183" si="183">SUBSTITUTE(H183, ",", "")</f>
        <v>494</v>
      </c>
      <c r="K183" s="5" t="str">
        <f t="shared" si="183"/>
        <v>Rp28552800</v>
      </c>
      <c r="L183" s="5" t="str">
        <f t="shared" si="3"/>
        <v>28552800</v>
      </c>
    </row>
    <row r="184">
      <c r="A184" s="6" t="s">
        <v>494</v>
      </c>
      <c r="B184" s="7" t="str">
        <f>HYPERLINK("https://shopee.co.id/AVOSKIN-Your-Skin-Bae-Alpha-Arbutin-3-Grapeseed-30ml-i.270965687.7670648934", "https://shopee.co.id/AVOSKIN-Your-Skin-Bae-Alpha-Arbutin-3-Grapeseed-30ml-i.270965687.7670648934")</f>
        <v>https://shopee.co.id/AVOSKIN-Your-Skin-Bae-Alpha-Arbutin-3-Grapeseed-30ml-i.270965687.7670648934</v>
      </c>
      <c r="C184" s="6" t="s">
        <v>83</v>
      </c>
      <c r="D184" s="6" t="s">
        <v>379</v>
      </c>
      <c r="E184" s="6" t="s">
        <v>12</v>
      </c>
      <c r="F184" s="6" t="s">
        <v>13</v>
      </c>
      <c r="G184" s="6" t="s">
        <v>380</v>
      </c>
      <c r="H184" s="8" t="s">
        <v>495</v>
      </c>
      <c r="I184" s="9">
        <v>1.225E7</v>
      </c>
      <c r="J184" s="5" t="str">
        <f t="shared" ref="J184:K184" si="184">SUBSTITUTE(H184, ",", "")</f>
        <v>490</v>
      </c>
      <c r="K184" s="5" t="str">
        <f t="shared" si="184"/>
        <v>Rp12250000</v>
      </c>
      <c r="L184" s="5" t="str">
        <f t="shared" si="3"/>
        <v>12250000</v>
      </c>
    </row>
    <row r="185">
      <c r="A185" s="6" t="s">
        <v>496</v>
      </c>
      <c r="B185" s="7" t="str">
        <f>HYPERLINK("https://shopee.co.id/Aish-Darkspot-Serum-menyamarkan-flek-hitam-15ml-i.406360531.9028396142", "https://shopee.co.id/Aish-Darkspot-Serum-menyamarkan-flek-hitam-15ml-i.406360531.9028396142")</f>
        <v>https://shopee.co.id/Aish-Darkspot-Serum-menyamarkan-flek-hitam-15ml-i.406360531.9028396142</v>
      </c>
      <c r="C185" s="6" t="s">
        <v>348</v>
      </c>
      <c r="D185" s="6" t="s">
        <v>444</v>
      </c>
      <c r="E185" s="6" t="s">
        <v>12</v>
      </c>
      <c r="F185" s="6" t="s">
        <v>13</v>
      </c>
      <c r="G185" s="6" t="s">
        <v>241</v>
      </c>
      <c r="H185" s="8" t="s">
        <v>497</v>
      </c>
      <c r="I185" s="9">
        <v>2.35981E7</v>
      </c>
      <c r="J185" s="5" t="str">
        <f t="shared" ref="J185:K185" si="185">SUBSTITUTE(H185, ",", "")</f>
        <v>488</v>
      </c>
      <c r="K185" s="5" t="str">
        <f t="shared" si="185"/>
        <v>Rp23598100</v>
      </c>
      <c r="L185" s="5" t="str">
        <f t="shared" si="3"/>
        <v>23598100</v>
      </c>
    </row>
    <row r="186">
      <c r="A186" s="6" t="s">
        <v>498</v>
      </c>
      <c r="B186" s="7" t="str">
        <f>HYPERLINK("https://shopee.co.id/Garnier-Sakura-Glow-Hyaluron-Water-Glow-Essence-Skin-Care-30ml-Untuk-Kulit-Glowing-Dari-Dalam--i.62583853.9738140748", "https://shopee.co.id/Garnier-Sakura-Glow-Hyaluron-Water-Glow-Essence-Skin-Care-30ml-Untuk-Kulit-Glowing-Dari-Dalam--i.62583853.9738140748")</f>
        <v>https://shopee.co.id/Garnier-Sakura-Glow-Hyaluron-Water-Glow-Essence-Skin-Care-30ml-Untuk-Kulit-Glowing-Dari-Dalam--i.62583853.9738140748</v>
      </c>
      <c r="C186" s="6" t="s">
        <v>74</v>
      </c>
      <c r="D186" s="6" t="s">
        <v>75</v>
      </c>
      <c r="E186" s="6" t="s">
        <v>12</v>
      </c>
      <c r="F186" s="6" t="s">
        <v>13</v>
      </c>
      <c r="G186" s="6" t="s">
        <v>61</v>
      </c>
      <c r="H186" s="8" t="s">
        <v>499</v>
      </c>
      <c r="I186" s="9">
        <v>1.78648E7</v>
      </c>
      <c r="J186" s="5" t="str">
        <f t="shared" ref="J186:K186" si="186">SUBSTITUTE(H186, ",", "")</f>
        <v>486</v>
      </c>
      <c r="K186" s="5" t="str">
        <f t="shared" si="186"/>
        <v>Rp17864800</v>
      </c>
      <c r="L186" s="5" t="str">
        <f t="shared" si="3"/>
        <v>17864800</v>
      </c>
    </row>
    <row r="187">
      <c r="A187" s="6" t="s">
        <v>500</v>
      </c>
      <c r="B187" s="7" t="str">
        <f>HYPERLINK("https://shopee.co.id/LACOCO-Darkspot-Essence-12ml-i.270965687.9314339022", "https://shopee.co.id/LACOCO-Darkspot-Essence-12ml-i.270965687.9314339022")</f>
        <v>https://shopee.co.id/LACOCO-Darkspot-Essence-12ml-i.270965687.9314339022</v>
      </c>
      <c r="C187" s="6" t="s">
        <v>501</v>
      </c>
      <c r="D187" s="6" t="s">
        <v>379</v>
      </c>
      <c r="E187" s="6" t="s">
        <v>12</v>
      </c>
      <c r="F187" s="6" t="s">
        <v>13</v>
      </c>
      <c r="G187" s="6" t="s">
        <v>380</v>
      </c>
      <c r="H187" s="8" t="s">
        <v>502</v>
      </c>
      <c r="I187" s="9">
        <v>5.5936E7</v>
      </c>
      <c r="J187" s="5" t="str">
        <f t="shared" ref="J187:K187" si="187">SUBSTITUTE(H187, ",", "")</f>
        <v>474</v>
      </c>
      <c r="K187" s="5" t="str">
        <f t="shared" si="187"/>
        <v>Rp55936000</v>
      </c>
      <c r="L187" s="5" t="str">
        <f t="shared" si="3"/>
        <v>55936000</v>
      </c>
    </row>
    <row r="188">
      <c r="A188" s="6" t="s">
        <v>503</v>
      </c>
      <c r="B188" s="7" t="str">
        <f>HYPERLINK("https://shopee.co.id/Some-By-Mi-Aha-Bha-Pha-30-Days-Miracle-Serum-i.455311481.11610262254", "https://shopee.co.id/Some-By-Mi-Aha-Bha-Pha-30-Days-Miracle-Serum-i.455311481.11610262254")</f>
        <v>https://shopee.co.id/Some-By-Mi-Aha-Bha-Pha-30-Days-Miracle-Serum-i.455311481.11610262254</v>
      </c>
      <c r="C188" s="6" t="s">
        <v>213</v>
      </c>
      <c r="D188" s="6" t="s">
        <v>214</v>
      </c>
      <c r="E188" s="6" t="s">
        <v>12</v>
      </c>
      <c r="F188" s="6" t="s">
        <v>13</v>
      </c>
      <c r="G188" s="6" t="s">
        <v>130</v>
      </c>
      <c r="H188" s="8" t="s">
        <v>504</v>
      </c>
      <c r="I188" s="9">
        <v>4.7964E7</v>
      </c>
      <c r="J188" s="5" t="str">
        <f t="shared" ref="J188:K188" si="188">SUBSTITUTE(H188, ",", "")</f>
        <v>466</v>
      </c>
      <c r="K188" s="5" t="str">
        <f t="shared" si="188"/>
        <v>Rp47964000</v>
      </c>
      <c r="L188" s="5" t="str">
        <f t="shared" si="3"/>
        <v>47964000</v>
      </c>
    </row>
    <row r="189">
      <c r="A189" s="6" t="s">
        <v>505</v>
      </c>
      <c r="B189" s="7" t="str">
        <f>HYPERLINK("https://shopee.co.id/Buy-Pond-s-Triple-Glow-Serum-30ml-Triple-Glow-Serum-Sheet-Mask-Free-Serum-Burst-Cream-20gr-i.14318452.8872048174", "https://shopee.co.id/Buy-Pond-s-Triple-Glow-Serum-30ml-Triple-Glow-Serum-Sheet-Mask-Free-Serum-Burst-Cream-20gr-i.14318452.8872048174")</f>
        <v>https://shopee.co.id/Buy-Pond-s-Triple-Glow-Serum-30ml-Triple-Glow-Serum-Sheet-Mask-Free-Serum-Burst-Cream-20gr-i.14318452.8872048174</v>
      </c>
      <c r="C189" s="6" t="s">
        <v>325</v>
      </c>
      <c r="D189" s="6" t="s">
        <v>326</v>
      </c>
      <c r="E189" s="6" t="s">
        <v>12</v>
      </c>
      <c r="F189" s="6" t="s">
        <v>13</v>
      </c>
      <c r="G189" s="6" t="s">
        <v>296</v>
      </c>
      <c r="H189" s="8" t="s">
        <v>506</v>
      </c>
      <c r="I189" s="9">
        <v>8.556975E7</v>
      </c>
      <c r="J189" s="5" t="str">
        <f t="shared" ref="J189:K189" si="189">SUBSTITUTE(H189, ",", "")</f>
        <v>462</v>
      </c>
      <c r="K189" s="5" t="str">
        <f t="shared" si="189"/>
        <v>Rp85569750</v>
      </c>
      <c r="L189" s="5" t="str">
        <f t="shared" si="3"/>
        <v>85569750</v>
      </c>
    </row>
    <row r="190">
      <c r="A190" s="6" t="s">
        <v>507</v>
      </c>
      <c r="B190" s="7" t="str">
        <f>HYPERLINK("https://shopee.co.id/Dear-Me-Beauty-2-Salicylic-Acid-BHA-Lemon-Extract-Face-Serum-32ml-i.45495764.8948396961", "https://shopee.co.id/Dear-Me-Beauty-2-Salicylic-Acid-BHA-Lemon-Extract-Face-Serum-32ml-i.45495764.8948396961")</f>
        <v>https://shopee.co.id/Dear-Me-Beauty-2-Salicylic-Acid-BHA-Lemon-Extract-Face-Serum-32ml-i.45495764.8948396961</v>
      </c>
      <c r="C190" s="6" t="s">
        <v>70</v>
      </c>
      <c r="D190" s="6" t="s">
        <v>71</v>
      </c>
      <c r="E190" s="6" t="s">
        <v>12</v>
      </c>
      <c r="F190" s="6" t="s">
        <v>13</v>
      </c>
      <c r="G190" s="6" t="s">
        <v>61</v>
      </c>
      <c r="H190" s="8" t="s">
        <v>508</v>
      </c>
      <c r="I190" s="9">
        <v>7.13E7</v>
      </c>
      <c r="J190" s="5" t="str">
        <f t="shared" ref="J190:K190" si="190">SUBSTITUTE(H190, ",", "")</f>
        <v>460</v>
      </c>
      <c r="K190" s="5" t="str">
        <f t="shared" si="190"/>
        <v>Rp71300000</v>
      </c>
      <c r="L190" s="5" t="str">
        <f t="shared" si="3"/>
        <v>71300000</v>
      </c>
    </row>
    <row r="191">
      <c r="A191" s="6" t="s">
        <v>509</v>
      </c>
      <c r="B191" s="7" t="str">
        <f>HYPERLINK("https://shopee.co.id/LUNICA-Bundle-Bright-Bloom-Serum-Cream-i.298959895.11324230315", "https://shopee.co.id/LUNICA-Bundle-Bright-Bloom-Serum-Cream-i.298959895.11324230315")</f>
        <v>https://shopee.co.id/LUNICA-Bundle-Bright-Bloom-Serum-Cream-i.298959895.11324230315</v>
      </c>
      <c r="C191" s="6" t="s">
        <v>510</v>
      </c>
      <c r="D191" s="6" t="s">
        <v>511</v>
      </c>
      <c r="E191" s="6" t="s">
        <v>12</v>
      </c>
      <c r="F191" s="6" t="s">
        <v>13</v>
      </c>
      <c r="G191" s="6" t="s">
        <v>36</v>
      </c>
      <c r="H191" s="8" t="s">
        <v>512</v>
      </c>
      <c r="I191" s="9">
        <v>1.01172E7</v>
      </c>
      <c r="J191" s="5" t="str">
        <f t="shared" ref="J191:K191" si="191">SUBSTITUTE(H191, ",", "")</f>
        <v>456</v>
      </c>
      <c r="K191" s="5" t="str">
        <f t="shared" si="191"/>
        <v>Rp10117200</v>
      </c>
      <c r="L191" s="5" t="str">
        <f t="shared" si="3"/>
        <v>10117200</v>
      </c>
    </row>
    <row r="192">
      <c r="A192" s="6" t="s">
        <v>513</v>
      </c>
      <c r="B192" s="7" t="str">
        <f>HYPERLINK("https://shopee.co.id/VAVL-Vightne-Blemish-Serum-15ml-i.270965687.5184906048", "https://shopee.co.id/VAVL-Vightne-Blemish-Serum-15ml-i.270965687.5184906048")</f>
        <v>https://shopee.co.id/VAVL-Vightne-Blemish-Serum-15ml-i.270965687.5184906048</v>
      </c>
      <c r="C192" s="6" t="s">
        <v>514</v>
      </c>
      <c r="D192" s="6" t="s">
        <v>379</v>
      </c>
      <c r="E192" s="6" t="s">
        <v>12</v>
      </c>
      <c r="F192" s="6" t="s">
        <v>13</v>
      </c>
      <c r="G192" s="6" t="s">
        <v>380</v>
      </c>
      <c r="H192" s="8" t="s">
        <v>515</v>
      </c>
      <c r="I192" s="9">
        <v>6.2299E7</v>
      </c>
      <c r="J192" s="5" t="str">
        <f t="shared" ref="J192:K192" si="192">SUBSTITUTE(H192, ",", "")</f>
        <v>449</v>
      </c>
      <c r="K192" s="5" t="str">
        <f t="shared" si="192"/>
        <v>Rp62299000</v>
      </c>
      <c r="L192" s="5" t="str">
        <f t="shared" si="3"/>
        <v>62299000</v>
      </c>
    </row>
    <row r="193">
      <c r="A193" s="6" t="s">
        <v>516</v>
      </c>
      <c r="B193" s="7" t="str">
        <f>HYPERLINK("https://shopee.co.id/Noera-Acne-Fight-Serum-Serum-Wajah-Acne-Kulit-Berjerawat-Moisturizer-i.10339663.4590757235", "https://shopee.co.id/Noera-Acne-Fight-Serum-Serum-Wajah-Acne-Kulit-Berjerawat-Moisturizer-i.10339663.4590757235")</f>
        <v>https://shopee.co.id/Noera-Acne-Fight-Serum-Serum-Wajah-Acne-Kulit-Berjerawat-Moisturizer-i.10339663.4590757235</v>
      </c>
      <c r="C193" s="6" t="s">
        <v>517</v>
      </c>
      <c r="D193" s="6" t="s">
        <v>518</v>
      </c>
      <c r="E193" s="6" t="s">
        <v>12</v>
      </c>
      <c r="F193" s="6" t="s">
        <v>13</v>
      </c>
      <c r="G193" s="6" t="s">
        <v>370</v>
      </c>
      <c r="H193" s="8" t="s">
        <v>519</v>
      </c>
      <c r="I193" s="9">
        <v>3.926235E7</v>
      </c>
      <c r="J193" s="5" t="str">
        <f t="shared" ref="J193:K193" si="193">SUBSTITUTE(H193, ",", "")</f>
        <v>448</v>
      </c>
      <c r="K193" s="5" t="str">
        <f t="shared" si="193"/>
        <v>Rp39262350</v>
      </c>
      <c r="L193" s="5" t="str">
        <f t="shared" si="3"/>
        <v>39262350</v>
      </c>
    </row>
    <row r="194">
      <c r="A194" s="6" t="s">
        <v>520</v>
      </c>
      <c r="B194" s="7" t="str">
        <f>HYPERLINK("https://shopee.co.id/Laneige-White-Dew-Ampoule-Essence-40ml-OL21--i.52917348.7717272197", "https://shopee.co.id/Laneige-White-Dew-Ampoule-Essence-40ml-OL21--i.52917348.7717272197")</f>
        <v>https://shopee.co.id/Laneige-White-Dew-Ampoule-Essence-40ml-OL21--i.52917348.7717272197</v>
      </c>
      <c r="C194" s="6" t="s">
        <v>364</v>
      </c>
      <c r="D194" s="6" t="s">
        <v>365</v>
      </c>
      <c r="E194" s="6" t="s">
        <v>12</v>
      </c>
      <c r="F194" s="6" t="s">
        <v>13</v>
      </c>
      <c r="G194" s="6" t="s">
        <v>61</v>
      </c>
      <c r="H194" s="8" t="s">
        <v>521</v>
      </c>
      <c r="I194" s="9">
        <v>5.2241E7</v>
      </c>
      <c r="J194" s="5" t="str">
        <f t="shared" ref="J194:K194" si="194">SUBSTITUTE(H194, ",", "")</f>
        <v>439</v>
      </c>
      <c r="K194" s="5" t="str">
        <f t="shared" si="194"/>
        <v>Rp52241000</v>
      </c>
      <c r="L194" s="5" t="str">
        <f t="shared" si="3"/>
        <v>52241000</v>
      </c>
    </row>
    <row r="195">
      <c r="A195" s="6" t="s">
        <v>522</v>
      </c>
      <c r="B195" s="7" t="str">
        <f>HYPERLINK("https://shopee.co.id/Skin-Game-Skin-Barricade-Serum-30-gr-i.108420030.6083584246", "https://shopee.co.id/Skin-Game-Skin-Barricade-Serum-30-gr-i.108420030.6083584246")</f>
        <v>https://shopee.co.id/Skin-Game-Skin-Barricade-Serum-30-gr-i.108420030.6083584246</v>
      </c>
      <c r="C195" s="6" t="s">
        <v>523</v>
      </c>
      <c r="D195" s="6" t="s">
        <v>524</v>
      </c>
      <c r="E195" s="6" t="s">
        <v>12</v>
      </c>
      <c r="F195" s="6" t="s">
        <v>13</v>
      </c>
      <c r="G195" s="6" t="s">
        <v>61</v>
      </c>
      <c r="H195" s="8" t="s">
        <v>521</v>
      </c>
      <c r="I195" s="9">
        <v>6.8385E7</v>
      </c>
      <c r="J195" s="5" t="str">
        <f t="shared" ref="J195:K195" si="195">SUBSTITUTE(H195, ",", "")</f>
        <v>439</v>
      </c>
      <c r="K195" s="5" t="str">
        <f t="shared" si="195"/>
        <v>Rp68385000</v>
      </c>
      <c r="L195" s="5" t="str">
        <f t="shared" si="3"/>
        <v>68385000</v>
      </c>
    </row>
    <row r="196">
      <c r="A196" s="6" t="s">
        <v>525</v>
      </c>
      <c r="B196" s="7" t="str">
        <f>HYPERLINK("https://shopee.co.id/MSBB-Avoskin-Your-Skin-Bae-Marine-Collagen-10-Ginseng-Root-i.288588702.6069142036", "https://shopee.co.id/MSBB-Avoskin-Your-Skin-Bae-Marine-Collagen-10-Ginseng-Root-i.288588702.6069142036")</f>
        <v>https://shopee.co.id/MSBB-Avoskin-Your-Skin-Bae-Marine-Collagen-10-Ginseng-Root-i.288588702.6069142036</v>
      </c>
      <c r="C196" s="6" t="s">
        <v>83</v>
      </c>
      <c r="D196" s="6" t="s">
        <v>79</v>
      </c>
      <c r="E196" s="6" t="s">
        <v>12</v>
      </c>
      <c r="F196" s="6" t="s">
        <v>13</v>
      </c>
      <c r="G196" s="6" t="s">
        <v>80</v>
      </c>
      <c r="H196" s="8" t="s">
        <v>526</v>
      </c>
      <c r="I196" s="9">
        <v>1.49891E7</v>
      </c>
      <c r="J196" s="5" t="str">
        <f t="shared" ref="J196:K196" si="196">SUBSTITUTE(H196, ",", "")</f>
        <v>432</v>
      </c>
      <c r="K196" s="5" t="str">
        <f t="shared" si="196"/>
        <v>Rp14989100</v>
      </c>
      <c r="L196" s="5" t="str">
        <f t="shared" si="3"/>
        <v>14989100</v>
      </c>
    </row>
    <row r="197">
      <c r="A197" s="6" t="s">
        <v>527</v>
      </c>
      <c r="B197" s="7" t="str">
        <f>HYPERLINK("https://shopee.co.id/Garnier-Sakura-White-Day-Treatment-Skin-Care-Perawatan-Siang-Hari-Untuk-Kulit-Cerah-Merona--i.62583853.5638436667", "https://shopee.co.id/Garnier-Sakura-White-Day-Treatment-Skin-Care-Perawatan-Siang-Hari-Untuk-Kulit-Cerah-Merona--i.62583853.5638436667")</f>
        <v>https://shopee.co.id/Garnier-Sakura-White-Day-Treatment-Skin-Care-Perawatan-Siang-Hari-Untuk-Kulit-Cerah-Merona--i.62583853.5638436667</v>
      </c>
      <c r="C197" s="6" t="s">
        <v>74</v>
      </c>
      <c r="D197" s="6" t="s">
        <v>75</v>
      </c>
      <c r="E197" s="6" t="s">
        <v>12</v>
      </c>
      <c r="F197" s="6" t="s">
        <v>13</v>
      </c>
      <c r="G197" s="6" t="s">
        <v>61</v>
      </c>
      <c r="H197" s="8" t="s">
        <v>528</v>
      </c>
      <c r="I197" s="9">
        <v>4.958715E7</v>
      </c>
      <c r="J197" s="5" t="str">
        <f t="shared" ref="J197:K197" si="197">SUBSTITUTE(H197, ",", "")</f>
        <v>430</v>
      </c>
      <c r="K197" s="5" t="str">
        <f t="shared" si="197"/>
        <v>Rp49587150</v>
      </c>
      <c r="L197" s="5" t="str">
        <f t="shared" si="3"/>
        <v>49587150</v>
      </c>
    </row>
    <row r="198">
      <c r="A198" s="6" t="s">
        <v>529</v>
      </c>
      <c r="B198" s="7" t="str">
        <f>HYPERLINK("https://shopee.co.id/Nature-Reaction-Wajah-Glowing-Putih-Bersih-Bebas-Jerawat-Kusam-Bintik-Hitam-Terdaftar-BPOM-Original-i.375565670.8461071280", "https://shopee.co.id/Nature-Reaction-Wajah-Glowing-Putih-Bersih-Bebas-Jerawat-Kusam-Bintik-Hitam-Terdaftar-BPOM-Original-i.375565670.8461071280")</f>
        <v>https://shopee.co.id/Nature-Reaction-Wajah-Glowing-Putih-Bersih-Bebas-Jerawat-Kusam-Bintik-Hitam-Terdaftar-BPOM-Original-i.375565670.8461071280</v>
      </c>
      <c r="C198" s="6" t="s">
        <v>530</v>
      </c>
      <c r="D198" s="6" t="s">
        <v>531</v>
      </c>
      <c r="E198" s="6" t="s">
        <v>12</v>
      </c>
      <c r="F198" s="6" t="s">
        <v>13</v>
      </c>
      <c r="G198" s="6" t="s">
        <v>532</v>
      </c>
      <c r="H198" s="8" t="s">
        <v>533</v>
      </c>
      <c r="I198" s="9">
        <v>5.67839E7</v>
      </c>
      <c r="J198" s="5" t="str">
        <f t="shared" ref="J198:K198" si="198">SUBSTITUTE(H198, ",", "")</f>
        <v>429</v>
      </c>
      <c r="K198" s="5" t="str">
        <f t="shared" si="198"/>
        <v>Rp56783900</v>
      </c>
      <c r="L198" s="5" t="str">
        <f t="shared" si="3"/>
        <v>56783900</v>
      </c>
    </row>
    <row r="199">
      <c r="A199" s="6" t="s">
        <v>534</v>
      </c>
      <c r="B199" s="7" t="str">
        <f>HYPERLINK("https://shopee.co.id/Some-By-Mi-Propolis-B5-Glow-Barrier-Calming-Serum-Essence--i.455311481.10843978974", "https://shopee.co.id/Some-By-Mi-Propolis-B5-Glow-Barrier-Calming-Serum-Essence--i.455311481.10843978974")</f>
        <v>https://shopee.co.id/Some-By-Mi-Propolis-B5-Glow-Barrier-Calming-Serum-Essence--i.455311481.10843978974</v>
      </c>
      <c r="C199" s="6" t="s">
        <v>213</v>
      </c>
      <c r="D199" s="6" t="s">
        <v>214</v>
      </c>
      <c r="E199" s="6" t="s">
        <v>12</v>
      </c>
      <c r="F199" s="6" t="s">
        <v>13</v>
      </c>
      <c r="G199" s="6" t="s">
        <v>130</v>
      </c>
      <c r="H199" s="8" t="s">
        <v>535</v>
      </c>
      <c r="I199" s="9">
        <v>2.7224E7</v>
      </c>
      <c r="J199" s="5" t="str">
        <f t="shared" ref="J199:K199" si="199">SUBSTITUTE(H199, ",", "")</f>
        <v>428</v>
      </c>
      <c r="K199" s="5" t="str">
        <f t="shared" si="199"/>
        <v>Rp27224000</v>
      </c>
      <c r="L199" s="5" t="str">
        <f t="shared" si="3"/>
        <v>27224000</v>
      </c>
    </row>
    <row r="200">
      <c r="A200" s="6" t="s">
        <v>536</v>
      </c>
      <c r="B200" s="7" t="str">
        <f>HYPERLINK("https://shopee.co.id/Nacific-Phyto-Niacin-Whitening-Essence-50ml--i.238379974.10113370335", "https://shopee.co.id/Nacific-Phyto-Niacin-Whitening-Essence-50ml--i.238379974.10113370335")</f>
        <v>https://shopee.co.id/Nacific-Phyto-Niacin-Whitening-Essence-50ml--i.238379974.10113370335</v>
      </c>
      <c r="C200" s="6" t="s">
        <v>344</v>
      </c>
      <c r="D200" s="6" t="s">
        <v>345</v>
      </c>
      <c r="E200" s="6" t="s">
        <v>12</v>
      </c>
      <c r="F200" s="6" t="s">
        <v>13</v>
      </c>
      <c r="G200" s="6" t="s">
        <v>130</v>
      </c>
      <c r="H200" s="8" t="s">
        <v>537</v>
      </c>
      <c r="I200" s="9">
        <v>1.56775E7</v>
      </c>
      <c r="J200" s="5" t="str">
        <f t="shared" ref="J200:K200" si="200">SUBSTITUTE(H200, ",", "")</f>
        <v>422</v>
      </c>
      <c r="K200" s="5" t="str">
        <f t="shared" si="200"/>
        <v>Rp15677500</v>
      </c>
      <c r="L200" s="5" t="str">
        <f t="shared" si="3"/>
        <v>15677500</v>
      </c>
    </row>
    <row r="201">
      <c r="A201" s="6" t="s">
        <v>538</v>
      </c>
      <c r="B201" s="7" t="str">
        <f>HYPERLINK("https://shopee.co.id/ADLEEVA-by-ADEEVA-Flawless-Brightening-Serum-i.180408602.5800618016", "https://shopee.co.id/ADLEEVA-by-ADEEVA-Flawless-Brightening-Serum-i.180408602.5800618016")</f>
        <v>https://shopee.co.id/ADLEEVA-by-ADEEVA-Flawless-Brightening-Serum-i.180408602.5800618016</v>
      </c>
      <c r="C201" s="6" t="s">
        <v>539</v>
      </c>
      <c r="D201" s="6" t="s">
        <v>540</v>
      </c>
      <c r="E201" s="6" t="s">
        <v>12</v>
      </c>
      <c r="F201" s="6" t="s">
        <v>13</v>
      </c>
      <c r="G201" s="6" t="s">
        <v>541</v>
      </c>
      <c r="H201" s="8" t="s">
        <v>542</v>
      </c>
      <c r="I201" s="9">
        <v>5.66029E7</v>
      </c>
      <c r="J201" s="5" t="str">
        <f t="shared" ref="J201:K201" si="201">SUBSTITUTE(H201, ",", "")</f>
        <v>421</v>
      </c>
      <c r="K201" s="5" t="str">
        <f t="shared" si="201"/>
        <v>Rp56602900</v>
      </c>
      <c r="L201" s="5" t="str">
        <f t="shared" si="3"/>
        <v>56602900</v>
      </c>
    </row>
    <row r="202">
      <c r="A202" s="6" t="s">
        <v>543</v>
      </c>
      <c r="B202" s="7" t="str">
        <f>HYPERLINK("https://shopee.co.id/Pond-S-Age-Miracle-Mini-Serum-15-Ml-Serum-Sheet-Mask-Eye-Mask-Free-Eye-Cream-15-Ml-i.14318452.5083494701", "https://shopee.co.id/Pond-S-Age-Miracle-Mini-Serum-15-Ml-Serum-Sheet-Mask-Eye-Mask-Free-Eye-Cream-15-Ml-i.14318452.5083494701")</f>
        <v>https://shopee.co.id/Pond-S-Age-Miracle-Mini-Serum-15-Ml-Serum-Sheet-Mask-Eye-Mask-Free-Eye-Cream-15-Ml-i.14318452.5083494701</v>
      </c>
      <c r="C202" s="6" t="s">
        <v>325</v>
      </c>
      <c r="D202" s="6" t="s">
        <v>326</v>
      </c>
      <c r="E202" s="6" t="s">
        <v>12</v>
      </c>
      <c r="F202" s="6" t="s">
        <v>13</v>
      </c>
      <c r="G202" s="6" t="s">
        <v>296</v>
      </c>
      <c r="H202" s="8" t="s">
        <v>544</v>
      </c>
      <c r="I202" s="9">
        <v>1.39924E8</v>
      </c>
      <c r="J202" s="5" t="str">
        <f t="shared" ref="J202:K202" si="202">SUBSTITUTE(H202, ",", "")</f>
        <v>419</v>
      </c>
      <c r="K202" s="5" t="str">
        <f t="shared" si="202"/>
        <v>Rp139924000</v>
      </c>
      <c r="L202" s="5" t="str">
        <f t="shared" si="3"/>
        <v>139924000</v>
      </c>
    </row>
    <row r="203">
      <c r="A203" s="6" t="s">
        <v>545</v>
      </c>
      <c r="B203" s="7" t="str">
        <f>HYPERLINK("https://shopee.co.id/Wardah-Crystallure-Supreme-Activating-Booster-Essence-30-ml-Pelembab-Wajah-i.59763733.6810542741", "https://shopee.co.id/Wardah-Crystallure-Supreme-Activating-Booster-Essence-30-ml-Pelembab-Wajah-i.59763733.6810542741")</f>
        <v>https://shopee.co.id/Wardah-Crystallure-Supreme-Activating-Booster-Essence-30-ml-Pelembab-Wajah-i.59763733.6810542741</v>
      </c>
      <c r="C203" s="6" t="s">
        <v>169</v>
      </c>
      <c r="D203" s="6" t="s">
        <v>170</v>
      </c>
      <c r="E203" s="6" t="s">
        <v>12</v>
      </c>
      <c r="F203" s="6" t="s">
        <v>13</v>
      </c>
      <c r="G203" s="6" t="s">
        <v>98</v>
      </c>
      <c r="H203" s="8" t="s">
        <v>544</v>
      </c>
      <c r="I203" s="9">
        <v>4.258085E7</v>
      </c>
      <c r="J203" s="5" t="str">
        <f t="shared" ref="J203:K203" si="203">SUBSTITUTE(H203, ",", "")</f>
        <v>419</v>
      </c>
      <c r="K203" s="5" t="str">
        <f t="shared" si="203"/>
        <v>Rp42580850</v>
      </c>
      <c r="L203" s="5" t="str">
        <f t="shared" si="3"/>
        <v>42580850</v>
      </c>
    </row>
    <row r="204">
      <c r="A204" s="6" t="s">
        <v>546</v>
      </c>
      <c r="B204" s="7" t="str">
        <f>HYPERLINK("https://shopee.co.id/Real-White-Niacinamide-10-Collagen-Brightening-Face-Serum-i.349337394.6767446786", "https://shopee.co.id/Real-White-Niacinamide-10-Collagen-Brightening-Face-Serum-i.349337394.6767446786")</f>
        <v>https://shopee.co.id/Real-White-Niacinamide-10-Collagen-Brightening-Face-Serum-i.349337394.6767446786</v>
      </c>
      <c r="C204" s="6" t="s">
        <v>547</v>
      </c>
      <c r="D204" s="6" t="s">
        <v>548</v>
      </c>
      <c r="E204" s="6" t="s">
        <v>12</v>
      </c>
      <c r="F204" s="6" t="s">
        <v>13</v>
      </c>
      <c r="G204" s="6" t="s">
        <v>380</v>
      </c>
      <c r="H204" s="8" t="s">
        <v>544</v>
      </c>
      <c r="I204" s="9">
        <v>2.70864E7</v>
      </c>
      <c r="J204" s="5" t="str">
        <f t="shared" ref="J204:K204" si="204">SUBSTITUTE(H204, ",", "")</f>
        <v>419</v>
      </c>
      <c r="K204" s="5" t="str">
        <f t="shared" si="204"/>
        <v>Rp27086400</v>
      </c>
      <c r="L204" s="5" t="str">
        <f t="shared" si="3"/>
        <v>27086400</v>
      </c>
    </row>
    <row r="205">
      <c r="A205" s="6" t="s">
        <v>549</v>
      </c>
      <c r="B205" s="7" t="str">
        <f>HYPERLINK("https://shopee.co.id/Olay-Serum-Wajah-White-Radiance-Light-Perfecting-Essence-Pencerah-Skincare-30ml-i.11487927.224987734", "https://shopee.co.id/Olay-Serum-Wajah-White-Radiance-Light-Perfecting-Essence-Pencerah-Skincare-30ml-i.11487927.224987734")</f>
        <v>https://shopee.co.id/Olay-Serum-Wajah-White-Radiance-Light-Perfecting-Essence-Pencerah-Skincare-30ml-i.11487927.224987734</v>
      </c>
      <c r="C205" s="6" t="s">
        <v>317</v>
      </c>
      <c r="D205" s="6" t="s">
        <v>318</v>
      </c>
      <c r="E205" s="6" t="s">
        <v>12</v>
      </c>
      <c r="F205" s="6" t="s">
        <v>13</v>
      </c>
      <c r="G205" s="6" t="s">
        <v>296</v>
      </c>
      <c r="H205" s="8" t="s">
        <v>550</v>
      </c>
      <c r="I205" s="9">
        <v>2.344252E7</v>
      </c>
      <c r="J205" s="5" t="str">
        <f t="shared" ref="J205:K205" si="205">SUBSTITUTE(H205, ",", "")</f>
        <v>417</v>
      </c>
      <c r="K205" s="5" t="str">
        <f t="shared" si="205"/>
        <v>Rp23442520</v>
      </c>
      <c r="L205" s="5" t="str">
        <f t="shared" si="3"/>
        <v>23442520</v>
      </c>
    </row>
    <row r="206">
      <c r="A206" s="6" t="s">
        <v>551</v>
      </c>
      <c r="B206" s="7" t="str">
        <f>HYPERLINK("https://shopee.co.id/AVOSKIN-YOUR-SKIN-BAE-SERIES-ALPHA-ARBUTIN-3-GRAPESEED-BRIGHTENING-AND-ANTIOXIDANT-SERUM-30-ML-i.50972887.6672704907", "https://shopee.co.id/AVOSKIN-YOUR-SKIN-BAE-SERIES-ALPHA-ARBUTIN-3-GRAPESEED-BRIGHTENING-AND-ANTIOXIDANT-SERUM-30-ML-i.50972887.6672704907")</f>
        <v>https://shopee.co.id/AVOSKIN-YOUR-SKIN-BAE-SERIES-ALPHA-ARBUTIN-3-GRAPESEED-BRIGHTENING-AND-ANTIOXIDANT-SERUM-30-ML-i.50972887.6672704907</v>
      </c>
      <c r="C206" s="6" t="s">
        <v>83</v>
      </c>
      <c r="D206" s="6" t="s">
        <v>552</v>
      </c>
      <c r="E206" s="6" t="s">
        <v>12</v>
      </c>
      <c r="F206" s="6" t="s">
        <v>13</v>
      </c>
      <c r="G206" s="6" t="s">
        <v>61</v>
      </c>
      <c r="H206" s="8" t="s">
        <v>553</v>
      </c>
      <c r="I206" s="9">
        <v>9.4215E7</v>
      </c>
      <c r="J206" s="5" t="str">
        <f t="shared" ref="J206:K206" si="206">SUBSTITUTE(H206, ",", "")</f>
        <v>410</v>
      </c>
      <c r="K206" s="5" t="str">
        <f t="shared" si="206"/>
        <v>Rp94215000</v>
      </c>
      <c r="L206" s="5" t="str">
        <f t="shared" si="3"/>
        <v>94215000</v>
      </c>
    </row>
    <row r="207">
      <c r="A207" s="6" t="s">
        <v>554</v>
      </c>
      <c r="B207" s="7" t="str">
        <f>HYPERLINK("https://shopee.co.id/L-Oreal-Paris-Revitalift-Crystal-Micro-Essence-Water-Serum-Skin-Care-22-ml-i.62579622.2654937889", "https://shopee.co.id/L-Oreal-Paris-Revitalift-Crystal-Micro-Essence-Water-Serum-Skin-Care-22-ml-i.62579622.2654937889")</f>
        <v>https://shopee.co.id/L-Oreal-Paris-Revitalift-Crystal-Micro-Essence-Water-Serum-Skin-Care-22-ml-i.62579622.2654937889</v>
      </c>
      <c r="C207" s="6" t="s">
        <v>105</v>
      </c>
      <c r="D207" s="6" t="s">
        <v>106</v>
      </c>
      <c r="E207" s="6" t="s">
        <v>12</v>
      </c>
      <c r="F207" s="6" t="s">
        <v>13</v>
      </c>
      <c r="G207" s="6" t="s">
        <v>61</v>
      </c>
      <c r="H207" s="8" t="s">
        <v>555</v>
      </c>
      <c r="I207" s="9">
        <v>4.8035E7</v>
      </c>
      <c r="J207" s="5" t="str">
        <f t="shared" ref="J207:K207" si="207">SUBSTITUTE(H207, ",", "")</f>
        <v>408</v>
      </c>
      <c r="K207" s="5" t="str">
        <f t="shared" si="207"/>
        <v>Rp48035000</v>
      </c>
      <c r="L207" s="5" t="str">
        <f t="shared" si="3"/>
        <v>48035000</v>
      </c>
    </row>
    <row r="208">
      <c r="A208" s="6" t="s">
        <v>556</v>
      </c>
      <c r="B208" s="7" t="str">
        <f>HYPERLINK("https://shopee.co.id/Avoskin-Your-Skin-Bae-Alpha-Arbutin-3-Grapeseed-30ml-i.30736001.9049361834", "https://shopee.co.id/Avoskin-Your-Skin-Bae-Alpha-Arbutin-3-Grapeseed-30ml-i.30736001.9049361834")</f>
        <v>https://shopee.co.id/Avoskin-Your-Skin-Bae-Alpha-Arbutin-3-Grapeseed-30ml-i.30736001.9049361834</v>
      </c>
      <c r="C208" s="6" t="s">
        <v>83</v>
      </c>
      <c r="D208" s="6" t="s">
        <v>335</v>
      </c>
      <c r="E208" s="6" t="s">
        <v>12</v>
      </c>
      <c r="F208" s="6" t="s">
        <v>13</v>
      </c>
      <c r="G208" s="6" t="s">
        <v>36</v>
      </c>
      <c r="H208" s="8" t="s">
        <v>555</v>
      </c>
      <c r="I208" s="9">
        <v>5.6712E7</v>
      </c>
      <c r="J208" s="5" t="str">
        <f t="shared" ref="J208:K208" si="208">SUBSTITUTE(H208, ",", "")</f>
        <v>408</v>
      </c>
      <c r="K208" s="5" t="str">
        <f t="shared" si="208"/>
        <v>Rp56712000</v>
      </c>
      <c r="L208" s="5" t="str">
        <f t="shared" si="3"/>
        <v>56712000</v>
      </c>
    </row>
    <row r="209">
      <c r="A209" s="6" t="s">
        <v>557</v>
      </c>
      <c r="B209" s="7" t="str">
        <f>HYPERLINK("https://shopee.co.id/Avoskin-Perfect-Hydrating-Treatment-Essence-100ml-Special-Edition-i.154494405.4173595239", "https://shopee.co.id/Avoskin-Perfect-Hydrating-Treatment-Essence-100ml-Special-Edition-i.154494405.4173595239")</f>
        <v>https://shopee.co.id/Avoskin-Perfect-Hydrating-Treatment-Essence-100ml-Special-Edition-i.154494405.4173595239</v>
      </c>
      <c r="C209" s="6" t="s">
        <v>83</v>
      </c>
      <c r="D209" s="6" t="s">
        <v>84</v>
      </c>
      <c r="E209" s="6" t="s">
        <v>12</v>
      </c>
      <c r="F209" s="6" t="s">
        <v>13</v>
      </c>
      <c r="G209" s="6" t="s">
        <v>85</v>
      </c>
      <c r="H209" s="8" t="s">
        <v>555</v>
      </c>
      <c r="I209" s="9">
        <v>4.7124E7</v>
      </c>
      <c r="J209" s="5" t="str">
        <f t="shared" ref="J209:K209" si="209">SUBSTITUTE(H209, ",", "")</f>
        <v>408</v>
      </c>
      <c r="K209" s="5" t="str">
        <f t="shared" si="209"/>
        <v>Rp47124000</v>
      </c>
      <c r="L209" s="5" t="str">
        <f t="shared" si="3"/>
        <v>47124000</v>
      </c>
    </row>
    <row r="210">
      <c r="A210" s="6" t="s">
        <v>558</v>
      </c>
      <c r="B210" s="7" t="str">
        <f>HYPERLINK("https://shopee.co.id/Garnier-Light-Complete-Vitamin-C-30x-Booster-Serum-Skin-Care-15-ml-Cepat-Cerahkan-Noda-Hitam--i.62583853.8338141693", "https://shopee.co.id/Garnier-Light-Complete-Vitamin-C-30x-Booster-Serum-Skin-Care-15-ml-Cepat-Cerahkan-Noda-Hitam--i.62583853.8338141693")</f>
        <v>https://shopee.co.id/Garnier-Light-Complete-Vitamin-C-30x-Booster-Serum-Skin-Care-15-ml-Cepat-Cerahkan-Noda-Hitam--i.62583853.8338141693</v>
      </c>
      <c r="C210" s="6" t="s">
        <v>74</v>
      </c>
      <c r="D210" s="6" t="s">
        <v>75</v>
      </c>
      <c r="E210" s="6" t="s">
        <v>12</v>
      </c>
      <c r="F210" s="6" t="s">
        <v>13</v>
      </c>
      <c r="G210" s="6" t="s">
        <v>61</v>
      </c>
      <c r="H210" s="8" t="s">
        <v>559</v>
      </c>
      <c r="I210" s="9">
        <v>2.105485E8</v>
      </c>
      <c r="J210" s="5" t="str">
        <f t="shared" ref="J210:K210" si="210">SUBSTITUTE(H210, ",", "")</f>
        <v>405</v>
      </c>
      <c r="K210" s="5" t="str">
        <f t="shared" si="210"/>
        <v>Rp210548500</v>
      </c>
      <c r="L210" s="5" t="str">
        <f t="shared" si="3"/>
        <v>210548500</v>
      </c>
    </row>
    <row r="211">
      <c r="A211" s="6" t="s">
        <v>560</v>
      </c>
      <c r="B211" s="7" t="str">
        <f>HYPERLINK("https://shopee.co.id/Garnier-Sakura-White-Pinkish-Radiance-Essence-Lotion-Skin-Care-120ml-i.62583853.2043249395", "https://shopee.co.id/Garnier-Sakura-White-Pinkish-Radiance-Essence-Lotion-Skin-Care-120ml-i.62583853.2043249395")</f>
        <v>https://shopee.co.id/Garnier-Sakura-White-Pinkish-Radiance-Essence-Lotion-Skin-Care-120ml-i.62583853.2043249395</v>
      </c>
      <c r="C211" s="6" t="s">
        <v>74</v>
      </c>
      <c r="D211" s="6" t="s">
        <v>75</v>
      </c>
      <c r="E211" s="6" t="s">
        <v>12</v>
      </c>
      <c r="F211" s="6" t="s">
        <v>13</v>
      </c>
      <c r="G211" s="6" t="s">
        <v>61</v>
      </c>
      <c r="H211" s="8" t="s">
        <v>561</v>
      </c>
      <c r="I211" s="9">
        <v>4.7282899E7</v>
      </c>
      <c r="J211" s="5" t="str">
        <f t="shared" ref="J211:K211" si="211">SUBSTITUTE(H211, ",", "")</f>
        <v>402</v>
      </c>
      <c r="K211" s="5" t="str">
        <f t="shared" si="211"/>
        <v>Rp47282899</v>
      </c>
      <c r="L211" s="5" t="str">
        <f t="shared" si="3"/>
        <v>47282899</v>
      </c>
    </row>
    <row r="212">
      <c r="A212" s="6" t="s">
        <v>562</v>
      </c>
      <c r="B212" s="7" t="str">
        <f>HYPERLINK("https://shopee.co.id/-LEBIH-HEMAT-Olay-Regenerist-Ritual-Serum-Wajah-Anti-Aging-Skincare-50ml-Paket-isi-2-i.11487927.6030533049", "https://shopee.co.id/-LEBIH-HEMAT-Olay-Regenerist-Ritual-Serum-Wajah-Anti-Aging-Skincare-50ml-Paket-isi-2-i.11487927.6030533049")</f>
        <v>https://shopee.co.id/-LEBIH-HEMAT-Olay-Regenerist-Ritual-Serum-Wajah-Anti-Aging-Skincare-50ml-Paket-isi-2-i.11487927.6030533049</v>
      </c>
      <c r="C212" s="6" t="s">
        <v>317</v>
      </c>
      <c r="D212" s="6" t="s">
        <v>318</v>
      </c>
      <c r="E212" s="6" t="s">
        <v>12</v>
      </c>
      <c r="F212" s="6" t="s">
        <v>13</v>
      </c>
      <c r="G212" s="6" t="s">
        <v>296</v>
      </c>
      <c r="H212" s="8" t="s">
        <v>563</v>
      </c>
      <c r="I212" s="9">
        <v>3.99249675E8</v>
      </c>
      <c r="J212" s="5" t="str">
        <f t="shared" ref="J212:K212" si="212">SUBSTITUTE(H212, ",", "")</f>
        <v>400</v>
      </c>
      <c r="K212" s="5" t="str">
        <f t="shared" si="212"/>
        <v>Rp399249675</v>
      </c>
      <c r="L212" s="5" t="str">
        <f t="shared" si="3"/>
        <v>399249675</v>
      </c>
    </row>
    <row r="213">
      <c r="A213" s="6" t="s">
        <v>564</v>
      </c>
      <c r="B213" s="7" t="str">
        <f>HYPERLINK("https://shopee.co.id/SNP-PREP-PEPTARONIC-SERUM-i.88399725.4220148328", "https://shopee.co.id/SNP-PREP-PEPTARONIC-SERUM-i.88399725.4220148328")</f>
        <v>https://shopee.co.id/SNP-PREP-PEPTARONIC-SERUM-i.88399725.4220148328</v>
      </c>
      <c r="C213" s="6" t="s">
        <v>565</v>
      </c>
      <c r="D213" s="6" t="s">
        <v>566</v>
      </c>
      <c r="E213" s="6" t="s">
        <v>12</v>
      </c>
      <c r="F213" s="6" t="s">
        <v>13</v>
      </c>
      <c r="G213" s="6" t="s">
        <v>98</v>
      </c>
      <c r="H213" s="8" t="s">
        <v>567</v>
      </c>
      <c r="I213" s="9">
        <v>3.09364E7</v>
      </c>
      <c r="J213" s="5" t="str">
        <f t="shared" ref="J213:K213" si="213">SUBSTITUTE(H213, ",", "")</f>
        <v>398</v>
      </c>
      <c r="K213" s="5" t="str">
        <f t="shared" si="213"/>
        <v>Rp30936400</v>
      </c>
      <c r="L213" s="5" t="str">
        <f t="shared" si="3"/>
        <v>30936400</v>
      </c>
    </row>
    <row r="214">
      <c r="A214" s="6" t="s">
        <v>568</v>
      </c>
      <c r="B214" s="7" t="str">
        <f>HYPERLINK("https://shopee.co.id/Premiere-Beaute-Skincare-Luminous-White-Skincare-Series-Serum-Essence-Toner-Facial-Wash-Night-Cream-i.237204571.8284500974", "https://shopee.co.id/Premiere-Beaute-Skincare-Luminous-White-Skincare-Series-Serum-Essence-Toner-Facial-Wash-Night-Cream-i.237204571.8284500974")</f>
        <v>https://shopee.co.id/Premiere-Beaute-Skincare-Luminous-White-Skincare-Series-Serum-Essence-Toner-Facial-Wash-Night-Cream-i.237204571.8284500974</v>
      </c>
      <c r="C214" s="6" t="s">
        <v>254</v>
      </c>
      <c r="D214" s="6" t="s">
        <v>255</v>
      </c>
      <c r="E214" s="6" t="s">
        <v>12</v>
      </c>
      <c r="F214" s="6" t="s">
        <v>13</v>
      </c>
      <c r="G214" s="6" t="s">
        <v>61</v>
      </c>
      <c r="H214" s="8" t="s">
        <v>569</v>
      </c>
      <c r="I214" s="9">
        <v>5.28192E7</v>
      </c>
      <c r="J214" s="5" t="str">
        <f t="shared" ref="J214:K214" si="214">SUBSTITUTE(H214, ",", "")</f>
        <v>396</v>
      </c>
      <c r="K214" s="5" t="str">
        <f t="shared" si="214"/>
        <v>Rp52819200</v>
      </c>
      <c r="L214" s="5" t="str">
        <f t="shared" si="3"/>
        <v>52819200</v>
      </c>
    </row>
    <row r="215">
      <c r="A215" s="6" t="s">
        <v>570</v>
      </c>
      <c r="B215" s="7" t="str">
        <f>HYPERLINK("https://shopee.co.id/Aish-Acne-Care-Serum-Serum-untuk-merawat-kulit-berjerawat-15ml-i.406360531.9428393278", "https://shopee.co.id/Aish-Acne-Care-Serum-Serum-untuk-merawat-kulit-berjerawat-15ml-i.406360531.9428393278")</f>
        <v>https://shopee.co.id/Aish-Acne-Care-Serum-Serum-untuk-merawat-kulit-berjerawat-15ml-i.406360531.9428393278</v>
      </c>
      <c r="C215" s="6" t="s">
        <v>348</v>
      </c>
      <c r="D215" s="6" t="s">
        <v>444</v>
      </c>
      <c r="E215" s="6" t="s">
        <v>12</v>
      </c>
      <c r="F215" s="6" t="s">
        <v>13</v>
      </c>
      <c r="G215" s="6" t="s">
        <v>241</v>
      </c>
      <c r="H215" s="8" t="s">
        <v>571</v>
      </c>
      <c r="I215" s="9">
        <v>4.0376E7</v>
      </c>
      <c r="J215" s="5" t="str">
        <f t="shared" ref="J215:K215" si="215">SUBSTITUTE(H215, ",", "")</f>
        <v>394</v>
      </c>
      <c r="K215" s="5" t="str">
        <f t="shared" si="215"/>
        <v>Rp40376000</v>
      </c>
      <c r="L215" s="5" t="str">
        <f t="shared" si="3"/>
        <v>40376000</v>
      </c>
    </row>
    <row r="216">
      <c r="A216" s="6" t="s">
        <v>572</v>
      </c>
      <c r="B216" s="7" t="str">
        <f>HYPERLINK("https://shopee.co.id/Cleora-Beauty-Deep-Hydrating-Essence-i.215119251.12702612740", "https://shopee.co.id/Cleora-Beauty-Deep-Hydrating-Essence-i.215119251.12702612740")</f>
        <v>https://shopee.co.id/Cleora-Beauty-Deep-Hydrating-Essence-i.215119251.12702612740</v>
      </c>
      <c r="C216" s="6" t="s">
        <v>573</v>
      </c>
      <c r="D216" s="6" t="s">
        <v>574</v>
      </c>
      <c r="E216" s="6" t="s">
        <v>12</v>
      </c>
      <c r="F216" s="6" t="s">
        <v>13</v>
      </c>
      <c r="G216" s="6" t="s">
        <v>370</v>
      </c>
      <c r="H216" s="8" t="s">
        <v>575</v>
      </c>
      <c r="I216" s="9">
        <v>3.66609E7</v>
      </c>
      <c r="J216" s="5" t="str">
        <f t="shared" ref="J216:K216" si="216">SUBSTITUTE(H216, ",", "")</f>
        <v>392</v>
      </c>
      <c r="K216" s="5" t="str">
        <f t="shared" si="216"/>
        <v>Rp36660900</v>
      </c>
      <c r="L216" s="5" t="str">
        <f t="shared" si="3"/>
        <v>36660900</v>
      </c>
    </row>
    <row r="217">
      <c r="A217" s="6" t="s">
        <v>576</v>
      </c>
      <c r="B217" s="7" t="str">
        <f>HYPERLINK("https://shopee.co.id/Bening-s-PORE-SERUM-Serum-Pengecil-Pori-Pori-i.190390143.4923934251", "https://shopee.co.id/Bening-s-PORE-SERUM-Serum-Pengecil-Pori-Pori-i.190390143.4923934251")</f>
        <v>https://shopee.co.id/Bening-s-PORE-SERUM-Serum-Pengecil-Pori-Pori-i.190390143.4923934251</v>
      </c>
      <c r="C217" s="6" t="s">
        <v>10</v>
      </c>
      <c r="D217" s="6" t="s">
        <v>11</v>
      </c>
      <c r="E217" s="6" t="s">
        <v>12</v>
      </c>
      <c r="F217" s="6" t="s">
        <v>13</v>
      </c>
      <c r="G217" s="6" t="s">
        <v>14</v>
      </c>
      <c r="H217" s="8" t="s">
        <v>577</v>
      </c>
      <c r="I217" s="9">
        <v>7.644325E7</v>
      </c>
      <c r="J217" s="5" t="str">
        <f t="shared" ref="J217:K217" si="217">SUBSTITUTE(H217, ",", "")</f>
        <v>391</v>
      </c>
      <c r="K217" s="5" t="str">
        <f t="shared" si="217"/>
        <v>Rp76443250</v>
      </c>
      <c r="L217" s="5" t="str">
        <f t="shared" si="3"/>
        <v>76443250</v>
      </c>
    </row>
    <row r="218">
      <c r="A218" s="6" t="s">
        <v>578</v>
      </c>
      <c r="B218" s="7" t="str">
        <f>HYPERLINK("https://shopee.co.id/L-Occitane-Immortelle-Overnight-Reset-Serum-30-ML--i.88079439.1735163299", "https://shopee.co.id/L-Occitane-Immortelle-Overnight-Reset-Serum-30-ML--i.88079439.1735163299")</f>
        <v>https://shopee.co.id/L-Occitane-Immortelle-Overnight-Reset-Serum-30-ML--i.88079439.1735163299</v>
      </c>
      <c r="C218" s="6" t="s">
        <v>579</v>
      </c>
      <c r="D218" s="6" t="s">
        <v>580</v>
      </c>
      <c r="E218" s="6" t="s">
        <v>12</v>
      </c>
      <c r="F218" s="6" t="s">
        <v>13</v>
      </c>
      <c r="G218" s="6" t="s">
        <v>532</v>
      </c>
      <c r="H218" s="8" t="s">
        <v>581</v>
      </c>
      <c r="I218" s="9">
        <v>5.421E7</v>
      </c>
      <c r="J218" s="5" t="str">
        <f t="shared" ref="J218:K218" si="218">SUBSTITUTE(H218, ",", "")</f>
        <v>390</v>
      </c>
      <c r="K218" s="5" t="str">
        <f t="shared" si="218"/>
        <v>Rp54210000</v>
      </c>
      <c r="L218" s="5" t="str">
        <f t="shared" si="3"/>
        <v>54210000</v>
      </c>
    </row>
    <row r="219">
      <c r="A219" s="6" t="s">
        <v>582</v>
      </c>
      <c r="B219" s="7" t="str">
        <f>HYPERLINK("https://shopee.co.id/La-Roche-Posay-Acne-Fighter-Serum-Bundle-i.433144176.10746661281", "https://shopee.co.id/La-Roche-Posay-Acne-Fighter-Serum-Bundle-i.433144176.10746661281")</f>
        <v>https://shopee.co.id/La-Roche-Posay-Acne-Fighter-Serum-Bundle-i.433144176.10746661281</v>
      </c>
      <c r="C219" s="6" t="s">
        <v>147</v>
      </c>
      <c r="D219" s="6" t="s">
        <v>148</v>
      </c>
      <c r="E219" s="6" t="s">
        <v>12</v>
      </c>
      <c r="F219" s="6" t="s">
        <v>13</v>
      </c>
      <c r="G219" s="6" t="s">
        <v>61</v>
      </c>
      <c r="H219" s="8" t="s">
        <v>583</v>
      </c>
      <c r="I219" s="9">
        <v>5.4071E7</v>
      </c>
      <c r="J219" s="5" t="str">
        <f t="shared" ref="J219:K219" si="219">SUBSTITUTE(H219, ",", "")</f>
        <v>389</v>
      </c>
      <c r="K219" s="5" t="str">
        <f t="shared" si="219"/>
        <v>Rp54071000</v>
      </c>
      <c r="L219" s="5" t="str">
        <f t="shared" si="3"/>
        <v>54071000</v>
      </c>
    </row>
    <row r="220">
      <c r="A220" s="6" t="s">
        <v>584</v>
      </c>
      <c r="B220" s="7" t="str">
        <f>HYPERLINK("https://shopee.co.id/Safi-White-Expert-Ultimate-Essence-Serum-20ml-Perawatan-Wajah-i.63823668.1158875676", "https://shopee.co.id/Safi-White-Expert-Ultimate-Essence-Serum-20ml-Perawatan-Wajah-i.63823668.1158875676")</f>
        <v>https://shopee.co.id/Safi-White-Expert-Ultimate-Essence-Serum-20ml-Perawatan-Wajah-i.63823668.1158875676</v>
      </c>
      <c r="C220" s="6" t="s">
        <v>278</v>
      </c>
      <c r="D220" s="6" t="s">
        <v>279</v>
      </c>
      <c r="E220" s="6" t="s">
        <v>12</v>
      </c>
      <c r="F220" s="6" t="s">
        <v>13</v>
      </c>
      <c r="G220" s="6" t="s">
        <v>61</v>
      </c>
      <c r="H220" s="8" t="s">
        <v>585</v>
      </c>
      <c r="I220" s="9">
        <v>9619000.0</v>
      </c>
      <c r="J220" s="5" t="str">
        <f t="shared" ref="J220:K220" si="220">SUBSTITUTE(H220, ",", "")</f>
        <v>385</v>
      </c>
      <c r="K220" s="5" t="str">
        <f t="shared" si="220"/>
        <v>Rp9619000</v>
      </c>
      <c r="L220" s="5" t="str">
        <f t="shared" si="3"/>
        <v>9619000</v>
      </c>
    </row>
    <row r="221">
      <c r="A221" s="6" t="s">
        <v>586</v>
      </c>
      <c r="B221" s="7" t="str">
        <f>HYPERLINK("https://shopee.co.id/MSBB-Avoskin-Your-Skin-Bae-Vitamin-C-3-Niacinamide-2-Mandarin-Orange-Fruit-Extract-i.288588702.9828929619", "https://shopee.co.id/MSBB-Avoskin-Your-Skin-Bae-Vitamin-C-3-Niacinamide-2-Mandarin-Orange-Fruit-Extract-i.288588702.9828929619")</f>
        <v>https://shopee.co.id/MSBB-Avoskin-Your-Skin-Bae-Vitamin-C-3-Niacinamide-2-Mandarin-Orange-Fruit-Extract-i.288588702.9828929619</v>
      </c>
      <c r="C221" s="6" t="s">
        <v>83</v>
      </c>
      <c r="D221" s="6" t="s">
        <v>79</v>
      </c>
      <c r="E221" s="6" t="s">
        <v>12</v>
      </c>
      <c r="F221" s="6" t="s">
        <v>13</v>
      </c>
      <c r="G221" s="6" t="s">
        <v>80</v>
      </c>
      <c r="H221" s="8" t="s">
        <v>587</v>
      </c>
      <c r="I221" s="9">
        <v>2.805426E7</v>
      </c>
      <c r="J221" s="5" t="str">
        <f t="shared" ref="J221:K221" si="221">SUBSTITUTE(H221, ",", "")</f>
        <v>380</v>
      </c>
      <c r="K221" s="5" t="str">
        <f t="shared" si="221"/>
        <v>Rp28054260</v>
      </c>
      <c r="L221" s="5" t="str">
        <f t="shared" si="3"/>
        <v>28054260</v>
      </c>
    </row>
    <row r="222">
      <c r="A222" s="6" t="s">
        <v>588</v>
      </c>
      <c r="B222" s="7" t="str">
        <f>HYPERLINK("https://shopee.co.id/Everwhite-Peptide-Anti-Aging-Serum-i.85451896.4457905955", "https://shopee.co.id/Everwhite-Peptide-Anti-Aging-Serum-i.85451896.4457905955")</f>
        <v>https://shopee.co.id/Everwhite-Peptide-Anti-Aging-Serum-i.85451896.4457905955</v>
      </c>
      <c r="C222" s="6" t="s">
        <v>157</v>
      </c>
      <c r="D222" s="6" t="s">
        <v>158</v>
      </c>
      <c r="E222" s="6" t="s">
        <v>12</v>
      </c>
      <c r="F222" s="6" t="s">
        <v>13</v>
      </c>
      <c r="G222" s="6" t="s">
        <v>61</v>
      </c>
      <c r="H222" s="8" t="s">
        <v>589</v>
      </c>
      <c r="I222" s="9">
        <v>1.778715E7</v>
      </c>
      <c r="J222" s="5" t="str">
        <f t="shared" ref="J222:K222" si="222">SUBSTITUTE(H222, ",", "")</f>
        <v>379</v>
      </c>
      <c r="K222" s="5" t="str">
        <f t="shared" si="222"/>
        <v>Rp17787150</v>
      </c>
      <c r="L222" s="5" t="str">
        <f t="shared" si="3"/>
        <v>17787150</v>
      </c>
    </row>
    <row r="223">
      <c r="A223" s="6" t="s">
        <v>590</v>
      </c>
      <c r="B223" s="7" t="str">
        <f>HYPERLINK("https://shopee.co.id/Dove-Deodorant-Dry-Serum-Underarm-Care-Regenerate-Care-Collagen-And-Vitamin-B3-50Ml-i.14318452.5606578325", "https://shopee.co.id/Dove-Deodorant-Dry-Serum-Underarm-Care-Regenerate-Care-Collagen-And-Vitamin-B3-50Ml-i.14318452.5606578325")</f>
        <v>https://shopee.co.id/Dove-Deodorant-Dry-Serum-Underarm-Care-Regenerate-Care-Collagen-And-Vitamin-B3-50Ml-i.14318452.5606578325</v>
      </c>
      <c r="C223" s="6" t="s">
        <v>591</v>
      </c>
      <c r="D223" s="6" t="s">
        <v>326</v>
      </c>
      <c r="E223" s="6" t="s">
        <v>12</v>
      </c>
      <c r="F223" s="6" t="s">
        <v>13</v>
      </c>
      <c r="G223" s="6" t="s">
        <v>296</v>
      </c>
      <c r="H223" s="8" t="s">
        <v>592</v>
      </c>
      <c r="I223" s="9">
        <v>4.316013E7</v>
      </c>
      <c r="J223" s="5" t="str">
        <f t="shared" ref="J223:K223" si="223">SUBSTITUTE(H223, ",", "")</f>
        <v>374</v>
      </c>
      <c r="K223" s="5" t="str">
        <f t="shared" si="223"/>
        <v>Rp43160130</v>
      </c>
      <c r="L223" s="5" t="str">
        <f t="shared" si="3"/>
        <v>43160130</v>
      </c>
    </row>
    <row r="224">
      <c r="A224" s="6" t="s">
        <v>593</v>
      </c>
      <c r="B224" s="7" t="str">
        <f>HYPERLINK("https://shopee.co.id/Wardah-Renew-You-Treatment-Essence-100-ml-Hydrating-Toner-Anti-Aging-dengan-Apple-PhytoCell-Extrac-i.59763733.1080221419", "https://shopee.co.id/Wardah-Renew-You-Treatment-Essence-100-ml-Hydrating-Toner-Anti-Aging-dengan-Apple-PhytoCell-Extrac-i.59763733.1080221419")</f>
        <v>https://shopee.co.id/Wardah-Renew-You-Treatment-Essence-100-ml-Hydrating-Toner-Anti-Aging-dengan-Apple-PhytoCell-Extrac-i.59763733.1080221419</v>
      </c>
      <c r="C224" s="6" t="s">
        <v>169</v>
      </c>
      <c r="D224" s="6" t="s">
        <v>170</v>
      </c>
      <c r="E224" s="6" t="s">
        <v>12</v>
      </c>
      <c r="F224" s="6" t="s">
        <v>13</v>
      </c>
      <c r="G224" s="6" t="s">
        <v>98</v>
      </c>
      <c r="H224" s="8" t="s">
        <v>594</v>
      </c>
      <c r="I224" s="9">
        <v>5.850405E7</v>
      </c>
      <c r="J224" s="5" t="str">
        <f t="shared" ref="J224:K224" si="224">SUBSTITUTE(H224, ",", "")</f>
        <v>372</v>
      </c>
      <c r="K224" s="5" t="str">
        <f t="shared" si="224"/>
        <v>Rp58504050</v>
      </c>
      <c r="L224" s="5" t="str">
        <f t="shared" si="3"/>
        <v>58504050</v>
      </c>
    </row>
    <row r="225">
      <c r="A225" s="6" t="s">
        <v>595</v>
      </c>
      <c r="B225" s="7" t="str">
        <f>HYPERLINK("https://shopee.co.id/Olay-Serum-Wajah-RETINOL-24-Anti-Aging-Skincare-30ml-i.11487927.6744303952", "https://shopee.co.id/Olay-Serum-Wajah-RETINOL-24-Anti-Aging-Skincare-30ml-i.11487927.6744303952")</f>
        <v>https://shopee.co.id/Olay-Serum-Wajah-RETINOL-24-Anti-Aging-Skincare-30ml-i.11487927.6744303952</v>
      </c>
      <c r="C225" s="6" t="s">
        <v>317</v>
      </c>
      <c r="D225" s="6" t="s">
        <v>318</v>
      </c>
      <c r="E225" s="6" t="s">
        <v>12</v>
      </c>
      <c r="F225" s="6" t="s">
        <v>13</v>
      </c>
      <c r="G225" s="6" t="s">
        <v>296</v>
      </c>
      <c r="H225" s="8" t="s">
        <v>596</v>
      </c>
      <c r="I225" s="9">
        <v>1.6148E7</v>
      </c>
      <c r="J225" s="5" t="str">
        <f t="shared" ref="J225:K225" si="225">SUBSTITUTE(H225, ",", "")</f>
        <v>367</v>
      </c>
      <c r="K225" s="5" t="str">
        <f t="shared" si="225"/>
        <v>Rp16148000</v>
      </c>
      <c r="L225" s="5" t="str">
        <f t="shared" si="3"/>
        <v>16148000</v>
      </c>
    </row>
    <row r="226">
      <c r="A226" s="6" t="s">
        <v>597</v>
      </c>
      <c r="B226" s="7" t="str">
        <f>HYPERLINK("https://shopee.co.id/Ella-Skincare-Glass-Skin-Serum-Whitening-i.95154428.1616420979", "https://shopee.co.id/Ella-Skincare-Glass-Skin-Serum-Whitening-i.95154428.1616420979")</f>
        <v>https://shopee.co.id/Ella-Skincare-Glass-Skin-Serum-Whitening-i.95154428.1616420979</v>
      </c>
      <c r="C226" s="6" t="s">
        <v>451</v>
      </c>
      <c r="D226" s="6" t="s">
        <v>598</v>
      </c>
      <c r="E226" s="6" t="s">
        <v>12</v>
      </c>
      <c r="F226" s="6" t="s">
        <v>13</v>
      </c>
      <c r="G226" s="6" t="s">
        <v>409</v>
      </c>
      <c r="H226" s="8" t="s">
        <v>596</v>
      </c>
      <c r="I226" s="9">
        <v>4.92632E7</v>
      </c>
      <c r="J226" s="5" t="str">
        <f t="shared" ref="J226:K226" si="226">SUBSTITUTE(H226, ",", "")</f>
        <v>367</v>
      </c>
      <c r="K226" s="5" t="str">
        <f t="shared" si="226"/>
        <v>Rp49263200</v>
      </c>
      <c r="L226" s="5" t="str">
        <f t="shared" si="3"/>
        <v>49263200</v>
      </c>
    </row>
    <row r="227">
      <c r="A227" s="6" t="s">
        <v>599</v>
      </c>
      <c r="B227" s="7" t="str">
        <f>HYPERLINK("https://shopee.co.id/Olay-White-Radiance-Niacinamide-Vitamin-C-Super-Serum-Brightening-Skincare-30ML-i.11487927.6879004484", "https://shopee.co.id/Olay-White-Radiance-Niacinamide-Vitamin-C-Super-Serum-Brightening-Skincare-30ML-i.11487927.6879004484")</f>
        <v>https://shopee.co.id/Olay-White-Radiance-Niacinamide-Vitamin-C-Super-Serum-Brightening-Skincare-30ML-i.11487927.6879004484</v>
      </c>
      <c r="C227" s="6" t="s">
        <v>317</v>
      </c>
      <c r="D227" s="6" t="s">
        <v>318</v>
      </c>
      <c r="E227" s="6" t="s">
        <v>12</v>
      </c>
      <c r="F227" s="6" t="s">
        <v>13</v>
      </c>
      <c r="G227" s="6" t="s">
        <v>296</v>
      </c>
      <c r="H227" s="8" t="s">
        <v>600</v>
      </c>
      <c r="I227" s="9">
        <v>5.7876E7</v>
      </c>
      <c r="J227" s="5" t="str">
        <f t="shared" ref="J227:K227" si="227">SUBSTITUTE(H227, ",", "")</f>
        <v>364</v>
      </c>
      <c r="K227" s="5" t="str">
        <f t="shared" si="227"/>
        <v>Rp57876000</v>
      </c>
      <c r="L227" s="5" t="str">
        <f t="shared" si="3"/>
        <v>57876000</v>
      </c>
    </row>
    <row r="228">
      <c r="A228" s="6" t="s">
        <v>601</v>
      </c>
      <c r="B228" s="7" t="str">
        <f>HYPERLINK("https://shopee.co.id/La-Roche-Posay-Effaclar-Serum-Bundle-FREE-Kerastase-i.433144176.12310468394", "https://shopee.co.id/La-Roche-Posay-Effaclar-Serum-Bundle-FREE-Kerastase-i.433144176.12310468394")</f>
        <v>https://shopee.co.id/La-Roche-Posay-Effaclar-Serum-Bundle-FREE-Kerastase-i.433144176.12310468394</v>
      </c>
      <c r="C228" s="6" t="s">
        <v>147</v>
      </c>
      <c r="D228" s="6" t="s">
        <v>148</v>
      </c>
      <c r="E228" s="6" t="s">
        <v>12</v>
      </c>
      <c r="F228" s="6" t="s">
        <v>13</v>
      </c>
      <c r="G228" s="6" t="s">
        <v>61</v>
      </c>
      <c r="H228" s="8" t="s">
        <v>602</v>
      </c>
      <c r="I228" s="9">
        <v>4.033029E7</v>
      </c>
      <c r="J228" s="5" t="str">
        <f t="shared" ref="J228:K228" si="228">SUBSTITUTE(H228, ",", "")</f>
        <v>362</v>
      </c>
      <c r="K228" s="5" t="str">
        <f t="shared" si="228"/>
        <v>Rp40330290</v>
      </c>
      <c r="L228" s="5" t="str">
        <f t="shared" si="3"/>
        <v>40330290</v>
      </c>
    </row>
    <row r="229">
      <c r="A229" s="6" t="s">
        <v>603</v>
      </c>
      <c r="B229" s="7" t="str">
        <f>HYPERLINK("https://shopee.co.id/MSBB-Nutrishe-Intensive-Bright-Glow-Serum-i.288588702.3782590270", "https://shopee.co.id/MSBB-Nutrishe-Intensive-Bright-Glow-Serum-i.288588702.3782590270")</f>
        <v>https://shopee.co.id/MSBB-Nutrishe-Intensive-Bright-Glow-Serum-i.288588702.3782590270</v>
      </c>
      <c r="C229" s="6" t="s">
        <v>195</v>
      </c>
      <c r="D229" s="6" t="s">
        <v>79</v>
      </c>
      <c r="E229" s="6" t="s">
        <v>12</v>
      </c>
      <c r="F229" s="6" t="s">
        <v>13</v>
      </c>
      <c r="G229" s="6" t="s">
        <v>80</v>
      </c>
      <c r="H229" s="8" t="s">
        <v>604</v>
      </c>
      <c r="I229" s="9">
        <v>6394000.0</v>
      </c>
      <c r="J229" s="5" t="str">
        <f t="shared" ref="J229:K229" si="229">SUBSTITUTE(H229, ",", "")</f>
        <v>360</v>
      </c>
      <c r="K229" s="5" t="str">
        <f t="shared" si="229"/>
        <v>Rp6394000</v>
      </c>
      <c r="L229" s="5" t="str">
        <f t="shared" si="3"/>
        <v>6394000</v>
      </c>
    </row>
    <row r="230">
      <c r="A230" s="6" t="s">
        <v>605</v>
      </c>
      <c r="B230" s="7" t="str">
        <f>HYPERLINK("https://shopee.co.id/Azarine-Revitalizing-Anti-Aging-Serum-20ml-i.80036545.8237636140", "https://shopee.co.id/Azarine-Revitalizing-Anti-Aging-Serum-20ml-i.80036545.8237636140")</f>
        <v>https://shopee.co.id/Azarine-Revitalizing-Anti-Aging-Serum-20ml-i.80036545.8237636140</v>
      </c>
      <c r="C230" s="6" t="s">
        <v>233</v>
      </c>
      <c r="D230" s="6" t="s">
        <v>234</v>
      </c>
      <c r="E230" s="6" t="s">
        <v>12</v>
      </c>
      <c r="F230" s="6" t="s">
        <v>13</v>
      </c>
      <c r="G230" s="6" t="s">
        <v>115</v>
      </c>
      <c r="H230" s="8" t="s">
        <v>606</v>
      </c>
      <c r="I230" s="9">
        <v>2.4828E7</v>
      </c>
      <c r="J230" s="5" t="str">
        <f t="shared" ref="J230:K230" si="230">SUBSTITUTE(H230, ",", "")</f>
        <v>359</v>
      </c>
      <c r="K230" s="5" t="str">
        <f t="shared" si="230"/>
        <v>Rp24828000</v>
      </c>
      <c r="L230" s="5" t="str">
        <f t="shared" si="3"/>
        <v>24828000</v>
      </c>
    </row>
    <row r="231">
      <c r="A231" s="6" t="s">
        <v>607</v>
      </c>
      <c r="B231" s="7" t="str">
        <f>HYPERLINK("https://shopee.co.id/Madame-Gie-Madame-Serum-i.94309880.4580257709", "https://shopee.co.id/Madame-Gie-Madame-Serum-i.94309880.4580257709")</f>
        <v>https://shopee.co.id/Madame-Gie-Madame-Serum-i.94309880.4580257709</v>
      </c>
      <c r="C231" s="6" t="s">
        <v>286</v>
      </c>
      <c r="D231" s="6" t="s">
        <v>287</v>
      </c>
      <c r="E231" s="6" t="s">
        <v>12</v>
      </c>
      <c r="F231" s="6" t="s">
        <v>13</v>
      </c>
      <c r="G231" s="6" t="s">
        <v>21</v>
      </c>
      <c r="H231" s="8" t="s">
        <v>606</v>
      </c>
      <c r="I231" s="9">
        <v>5.56711E7</v>
      </c>
      <c r="J231" s="5" t="str">
        <f t="shared" ref="J231:K231" si="231">SUBSTITUTE(H231, ",", "")</f>
        <v>359</v>
      </c>
      <c r="K231" s="5" t="str">
        <f t="shared" si="231"/>
        <v>Rp55671100</v>
      </c>
      <c r="L231" s="5" t="str">
        <f t="shared" si="3"/>
        <v>55671100</v>
      </c>
    </row>
    <row r="232">
      <c r="A232" s="6" t="s">
        <v>608</v>
      </c>
      <c r="B232" s="7" t="str">
        <f>HYPERLINK("https://shopee.co.id/Adleeva-Acne-Fighter-Serum-i.180408602.6400627780", "https://shopee.co.id/Adleeva-Acne-Fighter-Serum-i.180408602.6400627780")</f>
        <v>https://shopee.co.id/Adleeva-Acne-Fighter-Serum-i.180408602.6400627780</v>
      </c>
      <c r="C232" s="6" t="s">
        <v>539</v>
      </c>
      <c r="D232" s="6" t="s">
        <v>540</v>
      </c>
      <c r="E232" s="6" t="s">
        <v>12</v>
      </c>
      <c r="F232" s="6" t="s">
        <v>13</v>
      </c>
      <c r="G232" s="6" t="s">
        <v>541</v>
      </c>
      <c r="H232" s="8" t="s">
        <v>609</v>
      </c>
      <c r="I232" s="9">
        <v>4.9762E7</v>
      </c>
      <c r="J232" s="5" t="str">
        <f t="shared" ref="J232:K232" si="232">SUBSTITUTE(H232, ",", "")</f>
        <v>358</v>
      </c>
      <c r="K232" s="5" t="str">
        <f t="shared" si="232"/>
        <v>Rp49762000</v>
      </c>
      <c r="L232" s="5" t="str">
        <f t="shared" si="3"/>
        <v>49762000</v>
      </c>
    </row>
    <row r="233">
      <c r="A233" s="6" t="s">
        <v>610</v>
      </c>
      <c r="B233" s="7" t="str">
        <f>HYPERLINK("https://shopee.co.id/Erto-s-Pore-Minimizer-Serum-i.96907343.1980405480", "https://shopee.co.id/Erto-s-Pore-Minimizer-Serum-i.96907343.1980405480")</f>
        <v>https://shopee.co.id/Erto-s-Pore-Minimizer-Serum-i.96907343.1980405480</v>
      </c>
      <c r="C233" s="6" t="s">
        <v>467</v>
      </c>
      <c r="D233" s="6" t="s">
        <v>468</v>
      </c>
      <c r="E233" s="6" t="s">
        <v>12</v>
      </c>
      <c r="F233" s="6" t="s">
        <v>13</v>
      </c>
      <c r="G233" s="6" t="s">
        <v>469</v>
      </c>
      <c r="H233" s="8" t="s">
        <v>611</v>
      </c>
      <c r="I233" s="9">
        <v>4.5861525E7</v>
      </c>
      <c r="J233" s="5" t="str">
        <f t="shared" ref="J233:K233" si="233">SUBSTITUTE(H233, ",", "")</f>
        <v>356</v>
      </c>
      <c r="K233" s="5" t="str">
        <f t="shared" si="233"/>
        <v>Rp45861525</v>
      </c>
      <c r="L233" s="5" t="str">
        <f t="shared" si="3"/>
        <v>45861525</v>
      </c>
    </row>
    <row r="234">
      <c r="A234" s="6" t="s">
        <v>612</v>
      </c>
      <c r="B234" s="7" t="str">
        <f>HYPERLINK("https://shopee.co.id/THE-BATH-BOX-Brassica-Lightening-Serum-With-Niacinamide-Whitening-Serum-i.52581685.1139779255", "https://shopee.co.id/THE-BATH-BOX-Brassica-Lightening-Serum-With-Niacinamide-Whitening-Serum-i.52581685.1139779255")</f>
        <v>https://shopee.co.id/THE-BATH-BOX-Brassica-Lightening-Serum-With-Niacinamide-Whitening-Serum-i.52581685.1139779255</v>
      </c>
      <c r="C234" s="6" t="s">
        <v>613</v>
      </c>
      <c r="D234" s="6" t="s">
        <v>614</v>
      </c>
      <c r="E234" s="6" t="s">
        <v>12</v>
      </c>
      <c r="F234" s="6" t="s">
        <v>13</v>
      </c>
      <c r="G234" s="6" t="s">
        <v>61</v>
      </c>
      <c r="H234" s="8" t="s">
        <v>615</v>
      </c>
      <c r="I234" s="9">
        <v>4.535487E7</v>
      </c>
      <c r="J234" s="5" t="str">
        <f t="shared" ref="J234:K234" si="234">SUBSTITUTE(H234, ",", "")</f>
        <v>352</v>
      </c>
      <c r="K234" s="5" t="str">
        <f t="shared" si="234"/>
        <v>Rp45354870</v>
      </c>
      <c r="L234" s="5" t="str">
        <f t="shared" si="3"/>
        <v>45354870</v>
      </c>
    </row>
    <row r="235">
      <c r="A235" s="6" t="s">
        <v>616</v>
      </c>
      <c r="B235" s="7" t="str">
        <f>HYPERLINK("https://shopee.co.id/Skin-Game-Acne-Combat-Serum-30-gr-i.108420030.8832897374", "https://shopee.co.id/Skin-Game-Acne-Combat-Serum-30-gr-i.108420030.8832897374")</f>
        <v>https://shopee.co.id/Skin-Game-Acne-Combat-Serum-30-gr-i.108420030.8832897374</v>
      </c>
      <c r="C235" s="6" t="s">
        <v>523</v>
      </c>
      <c r="D235" s="6" t="s">
        <v>524</v>
      </c>
      <c r="E235" s="6" t="s">
        <v>12</v>
      </c>
      <c r="F235" s="6" t="s">
        <v>13</v>
      </c>
      <c r="G235" s="6" t="s">
        <v>61</v>
      </c>
      <c r="H235" s="8" t="s">
        <v>617</v>
      </c>
      <c r="I235" s="9">
        <v>3.594E7</v>
      </c>
      <c r="J235" s="5" t="str">
        <f t="shared" ref="J235:K235" si="235">SUBSTITUTE(H235, ",", "")</f>
        <v>351</v>
      </c>
      <c r="K235" s="5" t="str">
        <f t="shared" si="235"/>
        <v>Rp35940000</v>
      </c>
      <c r="L235" s="5" t="str">
        <f t="shared" si="3"/>
        <v>35940000</v>
      </c>
    </row>
    <row r="236">
      <c r="A236" s="6" t="s">
        <v>618</v>
      </c>
      <c r="B236" s="7" t="str">
        <f>HYPERLINK("https://shopee.co.id/Lovila-Glow-Activation-Booster-Serum-i.227193745.6217013163", "https://shopee.co.id/Lovila-Glow-Activation-Booster-Serum-i.227193745.6217013163")</f>
        <v>https://shopee.co.id/Lovila-Glow-Activation-Booster-Serum-i.227193745.6217013163</v>
      </c>
      <c r="C236" s="6" t="s">
        <v>619</v>
      </c>
      <c r="D236" s="6" t="s">
        <v>620</v>
      </c>
      <c r="E236" s="6" t="s">
        <v>12</v>
      </c>
      <c r="F236" s="6" t="s">
        <v>13</v>
      </c>
      <c r="G236" s="6" t="s">
        <v>469</v>
      </c>
      <c r="H236" s="8" t="s">
        <v>621</v>
      </c>
      <c r="I236" s="9">
        <v>2.9689E7</v>
      </c>
      <c r="J236" s="5" t="str">
        <f t="shared" ref="J236:K236" si="236">SUBSTITUTE(H236, ",", "")</f>
        <v>344</v>
      </c>
      <c r="K236" s="5" t="str">
        <f t="shared" si="236"/>
        <v>Rp29689000</v>
      </c>
      <c r="L236" s="5" t="str">
        <f t="shared" si="3"/>
        <v>29689000</v>
      </c>
    </row>
    <row r="237">
      <c r="A237" s="6" t="s">
        <v>622</v>
      </c>
      <c r="B237" s="7" t="str">
        <f>HYPERLINK("https://shopee.co.id/Somethinc-10-Niacinamide-Moisture-Sabi-White-Max-Brightening-Serum-20ml-i.110573301.5579522383", "https://shopee.co.id/Somethinc-10-Niacinamide-Moisture-Sabi-White-Max-Brightening-Serum-20ml-i.110573301.5579522383")</f>
        <v>https://shopee.co.id/Somethinc-10-Niacinamide-Moisture-Sabi-White-Max-Brightening-Serum-20ml-i.110573301.5579522383</v>
      </c>
      <c r="C237" s="6" t="s">
        <v>45</v>
      </c>
      <c r="D237" s="6" t="s">
        <v>227</v>
      </c>
      <c r="E237" s="6" t="s">
        <v>12</v>
      </c>
      <c r="F237" s="6" t="s">
        <v>13</v>
      </c>
      <c r="G237" s="6" t="s">
        <v>61</v>
      </c>
      <c r="H237" s="8" t="s">
        <v>623</v>
      </c>
      <c r="I237" s="9">
        <v>6.39337E7</v>
      </c>
      <c r="J237" s="5" t="str">
        <f t="shared" ref="J237:K237" si="237">SUBSTITUTE(H237, ",", "")</f>
        <v>343</v>
      </c>
      <c r="K237" s="5" t="str">
        <f t="shared" si="237"/>
        <v>Rp63933700</v>
      </c>
      <c r="L237" s="5" t="str">
        <f t="shared" si="3"/>
        <v>63933700</v>
      </c>
    </row>
    <row r="238">
      <c r="A238" s="6" t="s">
        <v>624</v>
      </c>
      <c r="B238" s="7" t="str">
        <f>HYPERLINK("https://shopee.co.id/Dear-Me-Beauty-8-Snap-8-Peptide-Avocado-Extract-Face-Serum-12ml-i.45495764.3041294402", "https://shopee.co.id/Dear-Me-Beauty-8-Snap-8-Peptide-Avocado-Extract-Face-Serum-12ml-i.45495764.3041294402")</f>
        <v>https://shopee.co.id/Dear-Me-Beauty-8-Snap-8-Peptide-Avocado-Extract-Face-Serum-12ml-i.45495764.3041294402</v>
      </c>
      <c r="C238" s="6" t="s">
        <v>70</v>
      </c>
      <c r="D238" s="6" t="s">
        <v>71</v>
      </c>
      <c r="E238" s="6" t="s">
        <v>12</v>
      </c>
      <c r="F238" s="6" t="s">
        <v>13</v>
      </c>
      <c r="G238" s="6" t="s">
        <v>61</v>
      </c>
      <c r="H238" s="8" t="s">
        <v>625</v>
      </c>
      <c r="I238" s="9">
        <v>1.112721E8</v>
      </c>
      <c r="J238" s="5" t="str">
        <f t="shared" ref="J238:K238" si="238">SUBSTITUTE(H238, ",", "")</f>
        <v>342</v>
      </c>
      <c r="K238" s="5" t="str">
        <f t="shared" si="238"/>
        <v>Rp111272100</v>
      </c>
      <c r="L238" s="5" t="str">
        <f t="shared" si="3"/>
        <v>111272100</v>
      </c>
    </row>
    <row r="239">
      <c r="A239" s="6" t="s">
        <v>626</v>
      </c>
      <c r="B239" s="7" t="str">
        <f>HYPERLINK("https://shopee.co.id/Calm-PIE-PIH-Serum-Gel-Moisturizer-i.59474489.9776892074", "https://shopee.co.id/Calm-PIE-PIH-Serum-Gel-Moisturizer-i.59474489.9776892074")</f>
        <v>https://shopee.co.id/Calm-PIE-PIH-Serum-Gel-Moisturizer-i.59474489.9776892074</v>
      </c>
      <c r="C239" s="6" t="s">
        <v>627</v>
      </c>
      <c r="D239" s="6" t="s">
        <v>627</v>
      </c>
      <c r="E239" s="6" t="s">
        <v>12</v>
      </c>
      <c r="F239" s="6" t="s">
        <v>13</v>
      </c>
      <c r="G239" s="6" t="s">
        <v>21</v>
      </c>
      <c r="H239" s="8" t="s">
        <v>628</v>
      </c>
      <c r="I239" s="9">
        <v>8266750.0</v>
      </c>
      <c r="J239" s="5" t="str">
        <f t="shared" ref="J239:K239" si="239">SUBSTITUTE(H239, ",", "")</f>
        <v>341</v>
      </c>
      <c r="K239" s="5" t="str">
        <f t="shared" si="239"/>
        <v>Rp8266750</v>
      </c>
      <c r="L239" s="5" t="str">
        <f t="shared" si="3"/>
        <v>8266750</v>
      </c>
    </row>
    <row r="240">
      <c r="A240" s="6" t="s">
        <v>629</v>
      </c>
      <c r="B240" s="7" t="str">
        <f>HYPERLINK("https://shopee.co.id/Wardah-Crystallure-Supreme-Revitalizing-Oil-Serum-30-ml-Pelembab-Wajah-Mengandung-7-botanical-oil-i.59763733.4310543261", "https://shopee.co.id/Wardah-Crystallure-Supreme-Revitalizing-Oil-Serum-30-ml-Pelembab-Wajah-Mengandung-7-botanical-oil-i.59763733.4310543261")</f>
        <v>https://shopee.co.id/Wardah-Crystallure-Supreme-Revitalizing-Oil-Serum-30-ml-Pelembab-Wajah-Mengandung-7-botanical-oil-i.59763733.4310543261</v>
      </c>
      <c r="C240" s="6" t="s">
        <v>169</v>
      </c>
      <c r="D240" s="6" t="s">
        <v>170</v>
      </c>
      <c r="E240" s="6" t="s">
        <v>12</v>
      </c>
      <c r="F240" s="6" t="s">
        <v>13</v>
      </c>
      <c r="G240" s="6" t="s">
        <v>98</v>
      </c>
      <c r="H240" s="8" t="s">
        <v>630</v>
      </c>
      <c r="I240" s="9">
        <v>3.270267E7</v>
      </c>
      <c r="J240" s="5" t="str">
        <f t="shared" ref="J240:K240" si="240">SUBSTITUTE(H240, ",", "")</f>
        <v>340</v>
      </c>
      <c r="K240" s="5" t="str">
        <f t="shared" si="240"/>
        <v>Rp32702670</v>
      </c>
      <c r="L240" s="5" t="str">
        <f t="shared" si="3"/>
        <v>32702670</v>
      </c>
    </row>
    <row r="241">
      <c r="A241" s="6" t="s">
        <v>631</v>
      </c>
      <c r="B241" s="7" t="str">
        <f>HYPERLINK("https://shopee.co.id/Avoskin-Your-Skin-Bae-Serum-All-Varian-i.136011044.5269966934", "https://shopee.co.id/Avoskin-Your-Skin-Bae-Serum-All-Varian-i.136011044.5269966934")</f>
        <v>https://shopee.co.id/Avoskin-Your-Skin-Bae-Serum-All-Varian-i.136011044.5269966934</v>
      </c>
      <c r="C241" s="6" t="s">
        <v>83</v>
      </c>
      <c r="D241" s="6" t="s">
        <v>632</v>
      </c>
      <c r="E241" s="6" t="s">
        <v>12</v>
      </c>
      <c r="F241" s="6" t="s">
        <v>13</v>
      </c>
      <c r="G241" s="6" t="s">
        <v>21</v>
      </c>
      <c r="H241" s="8" t="s">
        <v>633</v>
      </c>
      <c r="I241" s="9">
        <v>6.5442E7</v>
      </c>
      <c r="J241" s="5" t="str">
        <f t="shared" ref="J241:K241" si="241">SUBSTITUTE(H241, ",", "")</f>
        <v>336</v>
      </c>
      <c r="K241" s="5" t="str">
        <f t="shared" si="241"/>
        <v>Rp65442000</v>
      </c>
      <c r="L241" s="5" t="str">
        <f t="shared" si="3"/>
        <v>65442000</v>
      </c>
    </row>
    <row r="242">
      <c r="A242" s="6" t="s">
        <v>634</v>
      </c>
      <c r="B242" s="7" t="str">
        <f>HYPERLINK("https://shopee.co.id/Skin-Game-Spot-Guard-Serum-30-gr-i.108420030.9032907269", "https://shopee.co.id/Skin-Game-Spot-Guard-Serum-30-gr-i.108420030.9032907269")</f>
        <v>https://shopee.co.id/Skin-Game-Spot-Guard-Serum-30-gr-i.108420030.9032907269</v>
      </c>
      <c r="C242" s="6" t="s">
        <v>523</v>
      </c>
      <c r="D242" s="6" t="s">
        <v>524</v>
      </c>
      <c r="E242" s="6" t="s">
        <v>12</v>
      </c>
      <c r="F242" s="6" t="s">
        <v>13</v>
      </c>
      <c r="G242" s="6" t="s">
        <v>61</v>
      </c>
      <c r="H242" s="8" t="s">
        <v>635</v>
      </c>
      <c r="I242" s="9">
        <v>4.6287E7</v>
      </c>
      <c r="J242" s="5" t="str">
        <f t="shared" ref="J242:K242" si="242">SUBSTITUTE(H242, ",", "")</f>
        <v>333</v>
      </c>
      <c r="K242" s="5" t="str">
        <f t="shared" si="242"/>
        <v>Rp46287000</v>
      </c>
      <c r="L242" s="5" t="str">
        <f t="shared" si="3"/>
        <v>46287000</v>
      </c>
    </row>
    <row r="243">
      <c r="A243" s="6" t="s">
        <v>636</v>
      </c>
      <c r="B243" s="7" t="str">
        <f>HYPERLINK("https://shopee.co.id/MSBB-Avoskin-Your-Skin-Bae-Ceramide-LC-S-20-1-Mugwort-Cica-Toner-i.288588702.8573167349", "https://shopee.co.id/MSBB-Avoskin-Your-Skin-Bae-Ceramide-LC-S-20-1-Mugwort-Cica-Toner-i.288588702.8573167349")</f>
        <v>https://shopee.co.id/MSBB-Avoskin-Your-Skin-Bae-Ceramide-LC-S-20-1-Mugwort-Cica-Toner-i.288588702.8573167349</v>
      </c>
      <c r="C243" s="6" t="s">
        <v>78</v>
      </c>
      <c r="D243" s="6" t="s">
        <v>79</v>
      </c>
      <c r="E243" s="6" t="s">
        <v>12</v>
      </c>
      <c r="F243" s="6" t="s">
        <v>13</v>
      </c>
      <c r="G243" s="6" t="s">
        <v>80</v>
      </c>
      <c r="H243" s="8" t="s">
        <v>637</v>
      </c>
      <c r="I243" s="9">
        <v>1.678873E8</v>
      </c>
      <c r="J243" s="5" t="str">
        <f t="shared" ref="J243:K243" si="243">SUBSTITUTE(H243, ",", "")</f>
        <v>331</v>
      </c>
      <c r="K243" s="5" t="str">
        <f t="shared" si="243"/>
        <v>Rp167887300</v>
      </c>
      <c r="L243" s="5" t="str">
        <f t="shared" si="3"/>
        <v>167887300</v>
      </c>
    </row>
    <row r="244">
      <c r="A244" s="6" t="s">
        <v>638</v>
      </c>
      <c r="B244" s="7" t="str">
        <f>HYPERLINK("https://shopee.co.id/Dr-Jart-Cicapair-Serum-i.126014132.4910237655", "https://shopee.co.id/Dr-Jart-Cicapair-Serum-i.126014132.4910237655")</f>
        <v>https://shopee.co.id/Dr-Jart-Cicapair-Serum-i.126014132.4910237655</v>
      </c>
      <c r="C244" s="6" t="s">
        <v>639</v>
      </c>
      <c r="D244" s="6" t="s">
        <v>640</v>
      </c>
      <c r="E244" s="6" t="s">
        <v>12</v>
      </c>
      <c r="F244" s="6" t="s">
        <v>13</v>
      </c>
      <c r="G244" s="6" t="s">
        <v>61</v>
      </c>
      <c r="H244" s="8" t="s">
        <v>641</v>
      </c>
      <c r="I244" s="9">
        <v>1.001187E8</v>
      </c>
      <c r="J244" s="5" t="str">
        <f t="shared" ref="J244:K244" si="244">SUBSTITUTE(H244, ",", "")</f>
        <v>325</v>
      </c>
      <c r="K244" s="5" t="str">
        <f t="shared" si="244"/>
        <v>Rp100118700</v>
      </c>
      <c r="L244" s="5" t="str">
        <f t="shared" si="3"/>
        <v>100118700</v>
      </c>
    </row>
    <row r="245">
      <c r="A245" s="6" t="s">
        <v>642</v>
      </c>
      <c r="B245" s="7" t="str">
        <f>HYPERLINK("https://shopee.co.id/Bio-Talk-BPOM-Centella-Calendula-Intensive-Bright-Serum-i.12803922.7879449823", "https://shopee.co.id/Bio-Talk-BPOM-Centella-Calendula-Intensive-Bright-Serum-i.12803922.7879449823")</f>
        <v>https://shopee.co.id/Bio-Talk-BPOM-Centella-Calendula-Intensive-Bright-Serum-i.12803922.7879449823</v>
      </c>
      <c r="C245" s="6" t="s">
        <v>643</v>
      </c>
      <c r="D245" s="6" t="s">
        <v>644</v>
      </c>
      <c r="E245" s="6" t="s">
        <v>12</v>
      </c>
      <c r="F245" s="6" t="s">
        <v>13</v>
      </c>
      <c r="G245" s="6" t="s">
        <v>21</v>
      </c>
      <c r="H245" s="8" t="s">
        <v>645</v>
      </c>
      <c r="I245" s="9">
        <v>3.0693526E7</v>
      </c>
      <c r="J245" s="5" t="str">
        <f t="shared" ref="J245:K245" si="245">SUBSTITUTE(H245, ",", "")</f>
        <v>324</v>
      </c>
      <c r="K245" s="5" t="str">
        <f t="shared" si="245"/>
        <v>Rp30693526</v>
      </c>
      <c r="L245" s="5" t="str">
        <f t="shared" si="3"/>
        <v>30693526</v>
      </c>
    </row>
    <row r="246">
      <c r="A246" s="6" t="s">
        <v>646</v>
      </c>
      <c r="B246" s="7" t="str">
        <f>HYPERLINK("https://shopee.co.id/Viva-Queen-Whitening-Advanced-Face-Serum-30-ml-WHITENING--i.255024673.6437543413", "https://shopee.co.id/Viva-Queen-Whitening-Advanced-Face-Serum-30-ml-WHITENING--i.255024673.6437543413")</f>
        <v>https://shopee.co.id/Viva-Queen-Whitening-Advanced-Face-Serum-30-ml-WHITENING--i.255024673.6437543413</v>
      </c>
      <c r="C246" s="6" t="s">
        <v>647</v>
      </c>
      <c r="D246" s="6" t="s">
        <v>648</v>
      </c>
      <c r="E246" s="6" t="s">
        <v>12</v>
      </c>
      <c r="F246" s="6" t="s">
        <v>13</v>
      </c>
      <c r="G246" s="6" t="s">
        <v>350</v>
      </c>
      <c r="H246" s="8" t="s">
        <v>649</v>
      </c>
      <c r="I246" s="9">
        <v>6.099E7</v>
      </c>
      <c r="J246" s="5" t="str">
        <f t="shared" ref="J246:K246" si="246">SUBSTITUTE(H246, ",", "")</f>
        <v>321</v>
      </c>
      <c r="K246" s="5" t="str">
        <f t="shared" si="246"/>
        <v>Rp60990000</v>
      </c>
      <c r="L246" s="5" t="str">
        <f t="shared" si="3"/>
        <v>60990000</v>
      </c>
    </row>
    <row r="247">
      <c r="A247" s="6" t="s">
        <v>650</v>
      </c>
      <c r="B247" s="7" t="str">
        <f>HYPERLINK("https://shopee.co.id/ElsheSkin-Active-Rejuvenating-Night-Serum-i.9035345.5241484251", "https://shopee.co.id/ElsheSkin-Active-Rejuvenating-Night-Serum-i.9035345.5241484251")</f>
        <v>https://shopee.co.id/ElsheSkin-Active-Rejuvenating-Night-Serum-i.9035345.5241484251</v>
      </c>
      <c r="C247" s="6" t="s">
        <v>135</v>
      </c>
      <c r="D247" s="6" t="s">
        <v>136</v>
      </c>
      <c r="E247" s="6" t="s">
        <v>12</v>
      </c>
      <c r="F247" s="6" t="s">
        <v>13</v>
      </c>
      <c r="G247" s="6" t="s">
        <v>80</v>
      </c>
      <c r="H247" s="8" t="s">
        <v>651</v>
      </c>
      <c r="I247" s="9">
        <v>6.717E7</v>
      </c>
      <c r="J247" s="5" t="str">
        <f t="shared" ref="J247:K247" si="247">SUBSTITUTE(H247, ",", "")</f>
        <v>320</v>
      </c>
      <c r="K247" s="5" t="str">
        <f t="shared" si="247"/>
        <v>Rp67170000</v>
      </c>
      <c r="L247" s="5" t="str">
        <f t="shared" si="3"/>
        <v>67170000</v>
      </c>
    </row>
    <row r="248">
      <c r="A248" s="6" t="s">
        <v>204</v>
      </c>
      <c r="B248" s="7" t="str">
        <f>HYPERLINK("https://shopee.co.id/Garnier-Sakura-White-Hyaluron-30x-Booster-Serum-Skin-Care-i.62583853.3975503214", "https://shopee.co.id/Garnier-Sakura-White-Hyaluron-30x-Booster-Serum-Skin-Care-i.62583853.3975503214")</f>
        <v>https://shopee.co.id/Garnier-Sakura-White-Hyaluron-30x-Booster-Serum-Skin-Care-i.62583853.3975503214</v>
      </c>
      <c r="C248" s="6" t="s">
        <v>74</v>
      </c>
      <c r="D248" s="6" t="s">
        <v>75</v>
      </c>
      <c r="E248" s="6" t="s">
        <v>12</v>
      </c>
      <c r="F248" s="6" t="s">
        <v>13</v>
      </c>
      <c r="G248" s="6" t="s">
        <v>61</v>
      </c>
      <c r="H248" s="8" t="s">
        <v>652</v>
      </c>
      <c r="I248" s="9">
        <v>4.74267E7</v>
      </c>
      <c r="J248" s="5" t="str">
        <f t="shared" ref="J248:K248" si="248">SUBSTITUTE(H248, ",", "")</f>
        <v>319</v>
      </c>
      <c r="K248" s="5" t="str">
        <f t="shared" si="248"/>
        <v>Rp47426700</v>
      </c>
      <c r="L248" s="5" t="str">
        <f t="shared" si="3"/>
        <v>47426700</v>
      </c>
    </row>
    <row r="249">
      <c r="A249" s="6" t="s">
        <v>653</v>
      </c>
      <c r="B249" s="7" t="str">
        <f>HYPERLINK("https://shopee.co.id/Skin-Soul-Brightening-24K-Snail-Gold-Face-Serum-By-Amanda-Manopo-i.382216837.8285821739", "https://shopee.co.id/Skin-Soul-Brightening-24K-Snail-Gold-Face-Serum-By-Amanda-Manopo-i.382216837.8285821739")</f>
        <v>https://shopee.co.id/Skin-Soul-Brightening-24K-Snail-Gold-Face-Serum-By-Amanda-Manopo-i.382216837.8285821739</v>
      </c>
      <c r="C249" s="6" t="s">
        <v>654</v>
      </c>
      <c r="D249" s="6" t="s">
        <v>655</v>
      </c>
      <c r="E249" s="6" t="s">
        <v>12</v>
      </c>
      <c r="F249" s="6" t="s">
        <v>13</v>
      </c>
      <c r="G249" s="6" t="s">
        <v>21</v>
      </c>
      <c r="H249" s="8" t="s">
        <v>656</v>
      </c>
      <c r="I249" s="9">
        <v>3.61445E7</v>
      </c>
      <c r="J249" s="5" t="str">
        <f t="shared" ref="J249:K249" si="249">SUBSTITUTE(H249, ",", "")</f>
        <v>318</v>
      </c>
      <c r="K249" s="5" t="str">
        <f t="shared" si="249"/>
        <v>Rp36144500</v>
      </c>
      <c r="L249" s="5" t="str">
        <f t="shared" si="3"/>
        <v>36144500</v>
      </c>
    </row>
    <row r="250">
      <c r="A250" s="6" t="s">
        <v>657</v>
      </c>
      <c r="B250" s="7" t="str">
        <f>HYPERLINK("https://shopee.co.id/Cleora-Acne-Serum-i.215119251.9964351826", "https://shopee.co.id/Cleora-Acne-Serum-i.215119251.9964351826")</f>
        <v>https://shopee.co.id/Cleora-Acne-Serum-i.215119251.9964351826</v>
      </c>
      <c r="C250" s="6" t="s">
        <v>573</v>
      </c>
      <c r="D250" s="6" t="s">
        <v>574</v>
      </c>
      <c r="E250" s="6" t="s">
        <v>12</v>
      </c>
      <c r="F250" s="6" t="s">
        <v>13</v>
      </c>
      <c r="G250" s="6" t="s">
        <v>370</v>
      </c>
      <c r="H250" s="8" t="s">
        <v>656</v>
      </c>
      <c r="I250" s="9">
        <v>1.8351E7</v>
      </c>
      <c r="J250" s="5" t="str">
        <f t="shared" ref="J250:K250" si="250">SUBSTITUTE(H250, ",", "")</f>
        <v>318</v>
      </c>
      <c r="K250" s="5" t="str">
        <f t="shared" si="250"/>
        <v>Rp18351000</v>
      </c>
      <c r="L250" s="5" t="str">
        <f t="shared" si="3"/>
        <v>18351000</v>
      </c>
    </row>
    <row r="251">
      <c r="A251" s="6" t="s">
        <v>658</v>
      </c>
      <c r="B251" s="7" t="str">
        <f>HYPERLINK("https://shopee.co.id/Azarine-Easy-White-Herbal-Moisturizer-Serum-20ml-i.80036545.7547035010", "https://shopee.co.id/Azarine-Easy-White-Herbal-Moisturizer-Serum-20ml-i.80036545.7547035010")</f>
        <v>https://shopee.co.id/Azarine-Easy-White-Herbal-Moisturizer-Serum-20ml-i.80036545.7547035010</v>
      </c>
      <c r="C251" s="6" t="s">
        <v>233</v>
      </c>
      <c r="D251" s="6" t="s">
        <v>234</v>
      </c>
      <c r="E251" s="6" t="s">
        <v>12</v>
      </c>
      <c r="F251" s="6" t="s">
        <v>13</v>
      </c>
      <c r="G251" s="6" t="s">
        <v>115</v>
      </c>
      <c r="H251" s="8" t="s">
        <v>656</v>
      </c>
      <c r="I251" s="9">
        <v>3.179999682E9</v>
      </c>
      <c r="J251" s="5" t="str">
        <f t="shared" ref="J251:K251" si="251">SUBSTITUTE(H251, ",", "")</f>
        <v>318</v>
      </c>
      <c r="K251" s="5" t="str">
        <f t="shared" si="251"/>
        <v>Rp3179999682</v>
      </c>
      <c r="L251" s="5" t="str">
        <f t="shared" si="3"/>
        <v>3179999682</v>
      </c>
    </row>
    <row r="252">
      <c r="A252" s="6" t="s">
        <v>659</v>
      </c>
      <c r="B252" s="7" t="str">
        <f>HYPERLINK("https://shopee.co.id/Dancoly-Rosemary-Activating-Regrowth-Essence-50-ml-i.73390282.1352414296", "https://shopee.co.id/Dancoly-Rosemary-Activating-Regrowth-Essence-50-ml-i.73390282.1352414296")</f>
        <v>https://shopee.co.id/Dancoly-Rosemary-Activating-Regrowth-Essence-50-ml-i.73390282.1352414296</v>
      </c>
      <c r="C252" s="6" t="s">
        <v>660</v>
      </c>
      <c r="D252" s="6" t="s">
        <v>661</v>
      </c>
      <c r="E252" s="6" t="s">
        <v>12</v>
      </c>
      <c r="F252" s="6" t="s">
        <v>13</v>
      </c>
      <c r="G252" s="6" t="s">
        <v>61</v>
      </c>
      <c r="H252" s="8" t="s">
        <v>656</v>
      </c>
      <c r="I252" s="9">
        <v>4.77318E7</v>
      </c>
      <c r="J252" s="5" t="str">
        <f t="shared" ref="J252:K252" si="252">SUBSTITUTE(H252, ",", "")</f>
        <v>318</v>
      </c>
      <c r="K252" s="5" t="str">
        <f t="shared" si="252"/>
        <v>Rp47731800</v>
      </c>
      <c r="L252" s="5" t="str">
        <f t="shared" si="3"/>
        <v>47731800</v>
      </c>
    </row>
    <row r="253">
      <c r="A253" s="6" t="s">
        <v>662</v>
      </c>
      <c r="B253" s="7" t="str">
        <f>HYPERLINK("https://shopee.co.id/MSBB-Nutrishe-Intensive-Bright-Glow-Serum-20Ml-i.288588702.11314825205", "https://shopee.co.id/MSBB-Nutrishe-Intensive-Bright-Glow-Serum-20Ml-i.288588702.11314825205")</f>
        <v>https://shopee.co.id/MSBB-Nutrishe-Intensive-Bright-Glow-Serum-20Ml-i.288588702.11314825205</v>
      </c>
      <c r="C253" s="6" t="s">
        <v>195</v>
      </c>
      <c r="D253" s="6" t="s">
        <v>79</v>
      </c>
      <c r="E253" s="6" t="s">
        <v>12</v>
      </c>
      <c r="F253" s="6" t="s">
        <v>13</v>
      </c>
      <c r="G253" s="6" t="s">
        <v>80</v>
      </c>
      <c r="H253" s="8" t="s">
        <v>663</v>
      </c>
      <c r="I253" s="9">
        <v>1.82891E8</v>
      </c>
      <c r="J253" s="5" t="str">
        <f t="shared" ref="J253:K253" si="253">SUBSTITUTE(H253, ",", "")</f>
        <v>315</v>
      </c>
      <c r="K253" s="5" t="str">
        <f t="shared" si="253"/>
        <v>Rp182891000</v>
      </c>
      <c r="L253" s="5" t="str">
        <f t="shared" si="3"/>
        <v>182891000</v>
      </c>
    </row>
    <row r="254">
      <c r="A254" s="6" t="s">
        <v>664</v>
      </c>
      <c r="B254" s="7" t="str">
        <f>HYPERLINK("https://shopee.co.id/Aura-Bright-Whitening-Serum-i.127215672.1920914155", "https://shopee.co.id/Aura-Bright-Whitening-Serum-i.127215672.1920914155")</f>
        <v>https://shopee.co.id/Aura-Bright-Whitening-Serum-i.127215672.1920914155</v>
      </c>
      <c r="C254" s="6" t="s">
        <v>90</v>
      </c>
      <c r="D254" s="6" t="s">
        <v>91</v>
      </c>
      <c r="E254" s="6" t="s">
        <v>12</v>
      </c>
      <c r="F254" s="6" t="s">
        <v>13</v>
      </c>
      <c r="G254" s="6" t="s">
        <v>21</v>
      </c>
      <c r="H254" s="8" t="s">
        <v>663</v>
      </c>
      <c r="I254" s="9">
        <v>6.28296E7</v>
      </c>
      <c r="J254" s="5" t="str">
        <f t="shared" ref="J254:K254" si="254">SUBSTITUTE(H254, ",", "")</f>
        <v>315</v>
      </c>
      <c r="K254" s="5" t="str">
        <f t="shared" si="254"/>
        <v>Rp62829600</v>
      </c>
      <c r="L254" s="5" t="str">
        <f t="shared" si="3"/>
        <v>62829600</v>
      </c>
    </row>
    <row r="255">
      <c r="A255" s="6" t="s">
        <v>665</v>
      </c>
      <c r="B255" s="7" t="str">
        <f>HYPERLINK("https://shopee.co.id/True-to-Skin-Niacinamide-10-Zinc-1-Allantoin-Brightening-Serum-i.344023672.7466096641", "https://shopee.co.id/True-to-Skin-Niacinamide-10-Zinc-1-Allantoin-Brightening-Serum-i.344023672.7466096641")</f>
        <v>https://shopee.co.id/True-to-Skin-Niacinamide-10-Zinc-1-Allantoin-Brightening-Serum-i.344023672.7466096641</v>
      </c>
      <c r="C255" s="6" t="s">
        <v>666</v>
      </c>
      <c r="D255" s="6" t="s">
        <v>667</v>
      </c>
      <c r="E255" s="6" t="s">
        <v>12</v>
      </c>
      <c r="F255" s="6" t="s">
        <v>13</v>
      </c>
      <c r="G255" s="6" t="s">
        <v>130</v>
      </c>
      <c r="H255" s="8" t="s">
        <v>668</v>
      </c>
      <c r="I255" s="9">
        <v>8779500.0</v>
      </c>
      <c r="J255" s="5" t="str">
        <f t="shared" ref="J255:K255" si="255">SUBSTITUTE(H255, ",", "")</f>
        <v>313</v>
      </c>
      <c r="K255" s="5" t="str">
        <f t="shared" si="255"/>
        <v>Rp8779500</v>
      </c>
      <c r="L255" s="5" t="str">
        <f t="shared" si="3"/>
        <v>8779500</v>
      </c>
    </row>
    <row r="256">
      <c r="A256" s="6" t="s">
        <v>669</v>
      </c>
      <c r="B256" s="7" t="str">
        <f>HYPERLINK("https://shopee.co.id/-innisfree-Brightening-Pore-Serum-Bundle-i.61504589.9652091396", "https://shopee.co.id/-innisfree-Brightening-Pore-Serum-Bundle-i.61504589.9652091396")</f>
        <v>https://shopee.co.id/-innisfree-Brightening-Pore-Serum-Bundle-i.61504589.9652091396</v>
      </c>
      <c r="C256" s="6" t="s">
        <v>294</v>
      </c>
      <c r="D256" s="6" t="s">
        <v>295</v>
      </c>
      <c r="E256" s="6" t="s">
        <v>12</v>
      </c>
      <c r="F256" s="6" t="s">
        <v>13</v>
      </c>
      <c r="G256" s="6" t="s">
        <v>296</v>
      </c>
      <c r="H256" s="8" t="s">
        <v>670</v>
      </c>
      <c r="I256" s="9">
        <v>9261000.0</v>
      </c>
      <c r="J256" s="5" t="str">
        <f t="shared" ref="J256:K256" si="256">SUBSTITUTE(H256, ",", "")</f>
        <v>312</v>
      </c>
      <c r="K256" s="5" t="str">
        <f t="shared" si="256"/>
        <v>Rp9261000</v>
      </c>
      <c r="L256" s="5" t="str">
        <f t="shared" si="3"/>
        <v>9261000</v>
      </c>
    </row>
    <row r="257">
      <c r="A257" s="6" t="s">
        <v>671</v>
      </c>
      <c r="B257" s="7" t="str">
        <f>HYPERLINK("https://shopee.co.id/Oh-My-Skin-ESSENCE-4in1-produk-i.226760579.5256332116", "https://shopee.co.id/Oh-My-Skin-ESSENCE-4in1-produk-i.226760579.5256332116")</f>
        <v>https://shopee.co.id/Oh-My-Skin-ESSENCE-4in1-produk-i.226760579.5256332116</v>
      </c>
      <c r="C257" s="6" t="s">
        <v>672</v>
      </c>
      <c r="D257" s="6" t="s">
        <v>673</v>
      </c>
      <c r="E257" s="6" t="s">
        <v>12</v>
      </c>
      <c r="F257" s="6" t="s">
        <v>13</v>
      </c>
      <c r="G257" s="6" t="s">
        <v>674</v>
      </c>
      <c r="H257" s="8" t="s">
        <v>675</v>
      </c>
      <c r="I257" s="9">
        <v>7.365669E7</v>
      </c>
      <c r="J257" s="5" t="str">
        <f t="shared" ref="J257:K257" si="257">SUBSTITUTE(H257, ",", "")</f>
        <v>311</v>
      </c>
      <c r="K257" s="5" t="str">
        <f t="shared" si="257"/>
        <v>Rp73656690</v>
      </c>
      <c r="L257" s="5" t="str">
        <f t="shared" si="3"/>
        <v>73656690</v>
      </c>
    </row>
    <row r="258">
      <c r="A258" s="6" t="s">
        <v>676</v>
      </c>
      <c r="B258" s="7" t="str">
        <f>HYPERLINK("https://shopee.co.id/All-Perfect-Beauty-Set-Essence-Toner-100ml-Whitening-Serum-30ml--i.167618454.7114674166", "https://shopee.co.id/All-Perfect-Beauty-Set-Essence-Toner-100ml-Whitening-Serum-30ml--i.167618454.7114674166")</f>
        <v>https://shopee.co.id/All-Perfect-Beauty-Set-Essence-Toner-100ml-Whitening-Serum-30ml--i.167618454.7114674166</v>
      </c>
      <c r="C258" s="6" t="s">
        <v>677</v>
      </c>
      <c r="D258" s="6" t="s">
        <v>678</v>
      </c>
      <c r="E258" s="6" t="s">
        <v>12</v>
      </c>
      <c r="F258" s="6" t="s">
        <v>13</v>
      </c>
      <c r="G258" s="6" t="s">
        <v>296</v>
      </c>
      <c r="H258" s="8" t="s">
        <v>679</v>
      </c>
      <c r="I258" s="9">
        <v>4.57132E7</v>
      </c>
      <c r="J258" s="5" t="str">
        <f t="shared" ref="J258:K258" si="258">SUBSTITUTE(H258, ",", "")</f>
        <v>308</v>
      </c>
      <c r="K258" s="5" t="str">
        <f t="shared" si="258"/>
        <v>Rp45713200</v>
      </c>
      <c r="L258" s="5" t="str">
        <f t="shared" si="3"/>
        <v>45713200</v>
      </c>
    </row>
    <row r="259">
      <c r="A259" s="6" t="s">
        <v>680</v>
      </c>
      <c r="B259" s="7" t="str">
        <f>HYPERLINK("https://shopee.co.id/Sulwhasoo-Concentrated-Ginseng-Renewing-Serum-Trial-Kit-1-1--i.274949344.7192524376", "https://shopee.co.id/Sulwhasoo-Concentrated-Ginseng-Renewing-Serum-Trial-Kit-1-1--i.274949344.7192524376")</f>
        <v>https://shopee.co.id/Sulwhasoo-Concentrated-Ginseng-Renewing-Serum-Trial-Kit-1-1--i.274949344.7192524376</v>
      </c>
      <c r="C259" s="6" t="s">
        <v>282</v>
      </c>
      <c r="D259" s="6" t="s">
        <v>283</v>
      </c>
      <c r="E259" s="6" t="s">
        <v>12</v>
      </c>
      <c r="F259" s="6" t="s">
        <v>13</v>
      </c>
      <c r="G259" s="6" t="s">
        <v>61</v>
      </c>
      <c r="H259" s="8" t="s">
        <v>681</v>
      </c>
      <c r="I259" s="9">
        <v>3.518775E7</v>
      </c>
      <c r="J259" s="5" t="str">
        <f t="shared" ref="J259:K259" si="259">SUBSTITUTE(H259, ",", "")</f>
        <v>303</v>
      </c>
      <c r="K259" s="5" t="str">
        <f t="shared" si="259"/>
        <v>Rp35187750</v>
      </c>
      <c r="L259" s="5" t="str">
        <f t="shared" si="3"/>
        <v>35187750</v>
      </c>
    </row>
    <row r="260">
      <c r="A260" s="6" t="s">
        <v>682</v>
      </c>
      <c r="B260" s="7" t="str">
        <f>HYPERLINK("https://shopee.co.id/L-Oreal-Paris-Clinical-Essence-Vit-C-Serum-Niacinamide-Skin-Care-30-ml-x2-Pcs-i.62579622.4678804673", "https://shopee.co.id/L-Oreal-Paris-Clinical-Essence-Vit-C-Serum-Niacinamide-Skin-Care-30-ml-x2-Pcs-i.62579622.4678804673")</f>
        <v>https://shopee.co.id/L-Oreal-Paris-Clinical-Essence-Vit-C-Serum-Niacinamide-Skin-Care-30-ml-x2-Pcs-i.62579622.4678804673</v>
      </c>
      <c r="C260" s="6" t="s">
        <v>105</v>
      </c>
      <c r="D260" s="6" t="s">
        <v>106</v>
      </c>
      <c r="E260" s="6" t="s">
        <v>12</v>
      </c>
      <c r="F260" s="6" t="s">
        <v>13</v>
      </c>
      <c r="G260" s="6" t="s">
        <v>61</v>
      </c>
      <c r="H260" s="8" t="s">
        <v>681</v>
      </c>
      <c r="I260" s="9">
        <v>4.3935E7</v>
      </c>
      <c r="J260" s="5" t="str">
        <f t="shared" ref="J260:K260" si="260">SUBSTITUTE(H260, ",", "")</f>
        <v>303</v>
      </c>
      <c r="K260" s="5" t="str">
        <f t="shared" si="260"/>
        <v>Rp43935000</v>
      </c>
      <c r="L260" s="5" t="str">
        <f t="shared" si="3"/>
        <v>43935000</v>
      </c>
    </row>
    <row r="261">
      <c r="A261" s="6" t="s">
        <v>683</v>
      </c>
      <c r="B261" s="7" t="str">
        <f>HYPERLINK("https://shopee.co.id/ElsheSkin-Radiant-Skin-Serum-x-Active-Rejuvenating-Night-Serum-LIMITED-EDITION--i.9035345.4249122044", "https://shopee.co.id/ElsheSkin-Radiant-Skin-Serum-x-Active-Rejuvenating-Night-Serum-LIMITED-EDITION--i.9035345.4249122044")</f>
        <v>https://shopee.co.id/ElsheSkin-Radiant-Skin-Serum-x-Active-Rejuvenating-Night-Serum-LIMITED-EDITION--i.9035345.4249122044</v>
      </c>
      <c r="C261" s="6" t="s">
        <v>135</v>
      </c>
      <c r="D261" s="6" t="s">
        <v>136</v>
      </c>
      <c r="E261" s="6" t="s">
        <v>12</v>
      </c>
      <c r="F261" s="6" t="s">
        <v>13</v>
      </c>
      <c r="G261" s="6" t="s">
        <v>80</v>
      </c>
      <c r="H261" s="8" t="s">
        <v>684</v>
      </c>
      <c r="I261" s="9">
        <v>1.620255E8</v>
      </c>
      <c r="J261" s="5" t="str">
        <f t="shared" ref="J261:K261" si="261">SUBSTITUTE(H261, ",", "")</f>
        <v>301</v>
      </c>
      <c r="K261" s="5" t="str">
        <f t="shared" si="261"/>
        <v>Rp162025500</v>
      </c>
      <c r="L261" s="5" t="str">
        <f t="shared" si="3"/>
        <v>162025500</v>
      </c>
    </row>
    <row r="262">
      <c r="A262" s="6" t="s">
        <v>685</v>
      </c>
      <c r="B262" s="7" t="str">
        <f>HYPERLINK("https://shopee.co.id/L-Oreal-Paris-Revitalift-Micro-Essence-Water-Serum-Skin-Care-130-ml-Untuk-Kulit-Cerah-Kencang--i.62579622.2086742142", "https://shopee.co.id/L-Oreal-Paris-Revitalift-Micro-Essence-Water-Serum-Skin-Care-130-ml-Untuk-Kulit-Cerah-Kencang--i.62579622.2086742142")</f>
        <v>https://shopee.co.id/L-Oreal-Paris-Revitalift-Micro-Essence-Water-Serum-Skin-Care-130-ml-Untuk-Kulit-Cerah-Kencang--i.62579622.2086742142</v>
      </c>
      <c r="C262" s="6" t="s">
        <v>105</v>
      </c>
      <c r="D262" s="6" t="s">
        <v>106</v>
      </c>
      <c r="E262" s="6" t="s">
        <v>12</v>
      </c>
      <c r="F262" s="6" t="s">
        <v>13</v>
      </c>
      <c r="G262" s="6" t="s">
        <v>61</v>
      </c>
      <c r="H262" s="8" t="s">
        <v>686</v>
      </c>
      <c r="I262" s="9">
        <v>2.6276E7</v>
      </c>
      <c r="J262" s="5" t="str">
        <f t="shared" ref="J262:K262" si="262">SUBSTITUTE(H262, ",", "")</f>
        <v>298</v>
      </c>
      <c r="K262" s="5" t="str">
        <f t="shared" si="262"/>
        <v>Rp26276000</v>
      </c>
      <c r="L262" s="5" t="str">
        <f t="shared" si="3"/>
        <v>26276000</v>
      </c>
    </row>
    <row r="263">
      <c r="A263" s="6" t="s">
        <v>687</v>
      </c>
      <c r="B263" s="7" t="str">
        <f>HYPERLINK("https://shopee.co.id/Olay-Serum-Wajah-Regenerist-Youth-Pre-Essence-Advanced-Anti-Aging-Skincare-40ml-i.11487927.1086535011", "https://shopee.co.id/Olay-Serum-Wajah-Regenerist-Youth-Pre-Essence-Advanced-Anti-Aging-Skincare-40ml-i.11487927.1086535011")</f>
        <v>https://shopee.co.id/Olay-Serum-Wajah-Regenerist-Youth-Pre-Essence-Advanced-Anti-Aging-Skincare-40ml-i.11487927.1086535011</v>
      </c>
      <c r="C263" s="6" t="s">
        <v>317</v>
      </c>
      <c r="D263" s="6" t="s">
        <v>318</v>
      </c>
      <c r="E263" s="6" t="s">
        <v>12</v>
      </c>
      <c r="F263" s="6" t="s">
        <v>13</v>
      </c>
      <c r="G263" s="6" t="s">
        <v>296</v>
      </c>
      <c r="H263" s="8" t="s">
        <v>688</v>
      </c>
      <c r="I263" s="9">
        <v>1.76825E7</v>
      </c>
      <c r="J263" s="5" t="str">
        <f t="shared" ref="J263:K263" si="263">SUBSTITUTE(H263, ",", "")</f>
        <v>297</v>
      </c>
      <c r="K263" s="5" t="str">
        <f t="shared" si="263"/>
        <v>Rp17682500</v>
      </c>
      <c r="L263" s="5" t="str">
        <f t="shared" si="3"/>
        <v>17682500</v>
      </c>
    </row>
    <row r="264">
      <c r="A264" s="6" t="s">
        <v>689</v>
      </c>
      <c r="B264" s="7" t="str">
        <f>HYPERLINK("https://shopee.co.id/White-Story-Acne-Soothing-Serum-i.405973920.9744704217", "https://shopee.co.id/White-Story-Acne-Soothing-Serum-i.405973920.9744704217")</f>
        <v>https://shopee.co.id/White-Story-Acne-Soothing-Serum-i.405973920.9744704217</v>
      </c>
      <c r="C264" s="6" t="s">
        <v>55</v>
      </c>
      <c r="D264" s="6" t="s">
        <v>56</v>
      </c>
      <c r="E264" s="6" t="s">
        <v>12</v>
      </c>
      <c r="F264" s="6" t="s">
        <v>13</v>
      </c>
      <c r="G264" s="6" t="s">
        <v>36</v>
      </c>
      <c r="H264" s="8" t="s">
        <v>688</v>
      </c>
      <c r="I264" s="9">
        <v>5.5963E7</v>
      </c>
      <c r="J264" s="5" t="str">
        <f t="shared" ref="J264:K264" si="264">SUBSTITUTE(H264, ",", "")</f>
        <v>297</v>
      </c>
      <c r="K264" s="5" t="str">
        <f t="shared" si="264"/>
        <v>Rp55963000</v>
      </c>
      <c r="L264" s="5" t="str">
        <f t="shared" si="3"/>
        <v>55963000</v>
      </c>
    </row>
    <row r="265">
      <c r="A265" s="6" t="s">
        <v>690</v>
      </c>
      <c r="B265" s="7" t="str">
        <f>HYPERLINK("https://shopee.co.id/Niacinamide-Serum-i.96907343.5323745630", "https://shopee.co.id/Niacinamide-Serum-i.96907343.5323745630")</f>
        <v>https://shopee.co.id/Niacinamide-Serum-i.96907343.5323745630</v>
      </c>
      <c r="C265" s="6" t="s">
        <v>467</v>
      </c>
      <c r="D265" s="6" t="s">
        <v>468</v>
      </c>
      <c r="E265" s="6" t="s">
        <v>12</v>
      </c>
      <c r="F265" s="6" t="s">
        <v>13</v>
      </c>
      <c r="G265" s="6" t="s">
        <v>469</v>
      </c>
      <c r="H265" s="8" t="s">
        <v>691</v>
      </c>
      <c r="I265" s="9">
        <v>4.854525E7</v>
      </c>
      <c r="J265" s="5" t="str">
        <f t="shared" ref="J265:K265" si="265">SUBSTITUTE(H265, ",", "")</f>
        <v>296</v>
      </c>
      <c r="K265" s="5" t="str">
        <f t="shared" si="265"/>
        <v>Rp48545250</v>
      </c>
      <c r="L265" s="5" t="str">
        <f t="shared" si="3"/>
        <v>48545250</v>
      </c>
    </row>
    <row r="266">
      <c r="A266" s="6" t="s">
        <v>692</v>
      </c>
      <c r="B266" s="7" t="str">
        <f>HYPERLINK("https://shopee.co.id/True-to-Skin-Bakuchiol-Anti-aging-Serum-Natural-Retinol-Water-Based-serum-FREE-SAMPLE-POTONGAN-40K-i.344023672.4966121874", "https://shopee.co.id/True-to-Skin-Bakuchiol-Anti-aging-Serum-Natural-Retinol-Water-Based-serum-FREE-SAMPLE-POTONGAN-40K-i.344023672.4966121874")</f>
        <v>https://shopee.co.id/True-to-Skin-Bakuchiol-Anti-aging-Serum-Natural-Retinol-Water-Based-serum-FREE-SAMPLE-POTONGAN-40K-i.344023672.4966121874</v>
      </c>
      <c r="C266" s="6" t="s">
        <v>666</v>
      </c>
      <c r="D266" s="6" t="s">
        <v>667</v>
      </c>
      <c r="E266" s="6" t="s">
        <v>12</v>
      </c>
      <c r="F266" s="6" t="s">
        <v>13</v>
      </c>
      <c r="G266" s="6" t="s">
        <v>130</v>
      </c>
      <c r="H266" s="8" t="s">
        <v>693</v>
      </c>
      <c r="I266" s="9">
        <v>2.71135E7</v>
      </c>
      <c r="J266" s="5" t="str">
        <f t="shared" ref="J266:K266" si="266">SUBSTITUTE(H266, ",", "")</f>
        <v>295</v>
      </c>
      <c r="K266" s="5" t="str">
        <f t="shared" si="266"/>
        <v>Rp27113500</v>
      </c>
      <c r="L266" s="5" t="str">
        <f t="shared" si="3"/>
        <v>27113500</v>
      </c>
    </row>
    <row r="267">
      <c r="A267" s="6" t="s">
        <v>694</v>
      </c>
      <c r="B267" s="7" t="str">
        <f>HYPERLINK("https://shopee.co.id/MISSHA-Time-Revolution-The-First-Essence-5X-150ml-Free-2-Mascure-Guaiazulene-Madecasoid--i.37557990.562122040", "https://shopee.co.id/MISSHA-Time-Revolution-The-First-Essence-5X-150ml-Free-2-Mascure-Guaiazulene-Madecasoid--i.37557990.562122040")</f>
        <v>https://shopee.co.id/MISSHA-Time-Revolution-The-First-Essence-5X-150ml-Free-2-Mascure-Guaiazulene-Madecasoid--i.37557990.562122040</v>
      </c>
      <c r="C267" s="6" t="s">
        <v>695</v>
      </c>
      <c r="D267" s="6" t="s">
        <v>696</v>
      </c>
      <c r="E267" s="6" t="s">
        <v>12</v>
      </c>
      <c r="F267" s="6" t="s">
        <v>13</v>
      </c>
      <c r="G267" s="6" t="s">
        <v>80</v>
      </c>
      <c r="H267" s="8" t="s">
        <v>693</v>
      </c>
      <c r="I267" s="9">
        <v>1.5263638E7</v>
      </c>
      <c r="J267" s="5" t="str">
        <f t="shared" ref="J267:K267" si="267">SUBSTITUTE(H267, ",", "")</f>
        <v>295</v>
      </c>
      <c r="K267" s="5" t="str">
        <f t="shared" si="267"/>
        <v>Rp15263638</v>
      </c>
      <c r="L267" s="5" t="str">
        <f t="shared" si="3"/>
        <v>15263638</v>
      </c>
    </row>
    <row r="268">
      <c r="A268" s="6" t="s">
        <v>697</v>
      </c>
      <c r="B268" s="7" t="str">
        <f>HYPERLINK("https://shopee.co.id/Some-By-Mi-Super-Matcha-Pore-Tightening-Serum-i.455311481.10810255071", "https://shopee.co.id/Some-By-Mi-Super-Matcha-Pore-Tightening-Serum-i.455311481.10810255071")</f>
        <v>https://shopee.co.id/Some-By-Mi-Super-Matcha-Pore-Tightening-Serum-i.455311481.10810255071</v>
      </c>
      <c r="C268" s="6" t="s">
        <v>213</v>
      </c>
      <c r="D268" s="6" t="s">
        <v>214</v>
      </c>
      <c r="E268" s="6" t="s">
        <v>12</v>
      </c>
      <c r="F268" s="6" t="s">
        <v>13</v>
      </c>
      <c r="G268" s="6" t="s">
        <v>130</v>
      </c>
      <c r="H268" s="8" t="s">
        <v>698</v>
      </c>
      <c r="I268" s="9">
        <v>3.11742E7</v>
      </c>
      <c r="J268" s="5" t="str">
        <f t="shared" ref="J268:K268" si="268">SUBSTITUTE(H268, ",", "")</f>
        <v>292</v>
      </c>
      <c r="K268" s="5" t="str">
        <f t="shared" si="268"/>
        <v>Rp31174200</v>
      </c>
      <c r="L268" s="5" t="str">
        <f t="shared" si="3"/>
        <v>31174200</v>
      </c>
    </row>
    <row r="269">
      <c r="A269" s="6" t="s">
        <v>699</v>
      </c>
      <c r="B269" s="7" t="str">
        <f>HYPERLINK("https://shopee.co.id/Ella-skin-Care-Serum-Matcha-Sebo-Control-i.95154428.11536523512", "https://shopee.co.id/Ella-skin-Care-Serum-Matcha-Sebo-Control-i.95154428.11536523512")</f>
        <v>https://shopee.co.id/Ella-skin-Care-Serum-Matcha-Sebo-Control-i.95154428.11536523512</v>
      </c>
      <c r="C269" s="6" t="s">
        <v>700</v>
      </c>
      <c r="D269" s="6" t="s">
        <v>598</v>
      </c>
      <c r="E269" s="6" t="s">
        <v>12</v>
      </c>
      <c r="F269" s="6" t="s">
        <v>13</v>
      </c>
      <c r="G269" s="6" t="s">
        <v>409</v>
      </c>
      <c r="H269" s="8" t="s">
        <v>701</v>
      </c>
      <c r="I269" s="9">
        <v>5120700.0</v>
      </c>
      <c r="J269" s="5" t="str">
        <f t="shared" ref="J269:K269" si="269">SUBSTITUTE(H269, ",", "")</f>
        <v>291</v>
      </c>
      <c r="K269" s="5" t="str">
        <f t="shared" si="269"/>
        <v>Rp5120700</v>
      </c>
      <c r="L269" s="5" t="str">
        <f t="shared" si="3"/>
        <v>5120700</v>
      </c>
    </row>
    <row r="270">
      <c r="A270" s="6" t="s">
        <v>702</v>
      </c>
      <c r="B270" s="7" t="str">
        <f>HYPERLINK("https://shopee.co.id/Ponds-Bright-Beauty-Perfect-Potion-Essence-50Ml-i.14318452.3517507234", "https://shopee.co.id/Ponds-Bright-Beauty-Perfect-Potion-Essence-50Ml-i.14318452.3517507234")</f>
        <v>https://shopee.co.id/Ponds-Bright-Beauty-Perfect-Potion-Essence-50Ml-i.14318452.3517507234</v>
      </c>
      <c r="C270" s="6" t="s">
        <v>325</v>
      </c>
      <c r="D270" s="6" t="s">
        <v>326</v>
      </c>
      <c r="E270" s="6" t="s">
        <v>12</v>
      </c>
      <c r="F270" s="6" t="s">
        <v>13</v>
      </c>
      <c r="G270" s="6" t="s">
        <v>296</v>
      </c>
      <c r="H270" s="8" t="s">
        <v>703</v>
      </c>
      <c r="I270" s="9">
        <v>2.726845E7</v>
      </c>
      <c r="J270" s="5" t="str">
        <f t="shared" ref="J270:K270" si="270">SUBSTITUTE(H270, ",", "")</f>
        <v>288</v>
      </c>
      <c r="K270" s="5" t="str">
        <f t="shared" si="270"/>
        <v>Rp27268450</v>
      </c>
      <c r="L270" s="5" t="str">
        <f t="shared" si="3"/>
        <v>27268450</v>
      </c>
    </row>
    <row r="271">
      <c r="A271" s="6" t="s">
        <v>704</v>
      </c>
      <c r="B271" s="7" t="str">
        <f>HYPERLINK("https://shopee.co.id/L-Oreal-Paris-Radiant-Plumping-Starter-Kit-Untuk-Kulit-Lembap-dan-Glowing--i.62579622.3481160110", "https://shopee.co.id/L-Oreal-Paris-Radiant-Plumping-Starter-Kit-Untuk-Kulit-Lembap-dan-Glowing--i.62579622.3481160110")</f>
        <v>https://shopee.co.id/L-Oreal-Paris-Radiant-Plumping-Starter-Kit-Untuk-Kulit-Lembap-dan-Glowing--i.62579622.3481160110</v>
      </c>
      <c r="C271" s="6" t="s">
        <v>105</v>
      </c>
      <c r="D271" s="6" t="s">
        <v>106</v>
      </c>
      <c r="E271" s="6" t="s">
        <v>12</v>
      </c>
      <c r="F271" s="6" t="s">
        <v>13</v>
      </c>
      <c r="G271" s="6" t="s">
        <v>61</v>
      </c>
      <c r="H271" s="8" t="s">
        <v>705</v>
      </c>
      <c r="I271" s="9">
        <v>4.5633E7</v>
      </c>
      <c r="J271" s="5" t="str">
        <f t="shared" ref="J271:K271" si="271">SUBSTITUTE(H271, ",", "")</f>
        <v>287</v>
      </c>
      <c r="K271" s="5" t="str">
        <f t="shared" si="271"/>
        <v>Rp45633000</v>
      </c>
      <c r="L271" s="5" t="str">
        <f t="shared" si="3"/>
        <v>45633000</v>
      </c>
    </row>
    <row r="272">
      <c r="A272" s="6" t="s">
        <v>706</v>
      </c>
      <c r="B272" s="7" t="str">
        <f>HYPERLINK("https://shopee.co.id/White-Story-Hydrating-Face-Essence-i.405973920.6086401281", "https://shopee.co.id/White-Story-Hydrating-Face-Essence-i.405973920.6086401281")</f>
        <v>https://shopee.co.id/White-Story-Hydrating-Face-Essence-i.405973920.6086401281</v>
      </c>
      <c r="C272" s="6" t="s">
        <v>55</v>
      </c>
      <c r="D272" s="6" t="s">
        <v>56</v>
      </c>
      <c r="E272" s="6" t="s">
        <v>12</v>
      </c>
      <c r="F272" s="6" t="s">
        <v>13</v>
      </c>
      <c r="G272" s="6" t="s">
        <v>36</v>
      </c>
      <c r="H272" s="8" t="s">
        <v>707</v>
      </c>
      <c r="I272" s="9">
        <v>5.4947E7</v>
      </c>
      <c r="J272" s="5" t="str">
        <f t="shared" ref="J272:K272" si="272">SUBSTITUTE(H272, ",", "")</f>
        <v>286</v>
      </c>
      <c r="K272" s="5" t="str">
        <f t="shared" si="272"/>
        <v>Rp54947000</v>
      </c>
      <c r="L272" s="5" t="str">
        <f t="shared" si="3"/>
        <v>54947000</v>
      </c>
    </row>
    <row r="273">
      <c r="A273" s="6" t="s">
        <v>708</v>
      </c>
      <c r="B273" s="7" t="str">
        <f>HYPERLINK("https://shopee.co.id/Bening-s-Deluxe-Serum-Serum-Anti-Aging-i.190390143.7024099790", "https://shopee.co.id/Bening-s-Deluxe-Serum-Serum-Anti-Aging-i.190390143.7024099790")</f>
        <v>https://shopee.co.id/Bening-s-Deluxe-Serum-Serum-Anti-Aging-i.190390143.7024099790</v>
      </c>
      <c r="C273" s="6" t="s">
        <v>10</v>
      </c>
      <c r="D273" s="6" t="s">
        <v>11</v>
      </c>
      <c r="E273" s="6" t="s">
        <v>12</v>
      </c>
      <c r="F273" s="6" t="s">
        <v>13</v>
      </c>
      <c r="G273" s="6" t="s">
        <v>14</v>
      </c>
      <c r="H273" s="8" t="s">
        <v>707</v>
      </c>
      <c r="I273" s="9">
        <v>1.7942434E7</v>
      </c>
      <c r="J273" s="5" t="str">
        <f t="shared" ref="J273:K273" si="273">SUBSTITUTE(H273, ",", "")</f>
        <v>286</v>
      </c>
      <c r="K273" s="5" t="str">
        <f t="shared" si="273"/>
        <v>Rp17942434</v>
      </c>
      <c r="L273" s="5" t="str">
        <f t="shared" si="3"/>
        <v>17942434</v>
      </c>
    </row>
    <row r="274">
      <c r="A274" s="6" t="s">
        <v>709</v>
      </c>
      <c r="B274" s="7" t="str">
        <f>HYPERLINK("https://shopee.co.id/Axis-Y-Dark-Spot-Correcting-Glow-Serum-i.270965687.8014633911", "https://shopee.co.id/Axis-Y-Dark-Spot-Correcting-Glow-Serum-i.270965687.8014633911")</f>
        <v>https://shopee.co.id/Axis-Y-Dark-Spot-Correcting-Glow-Serum-i.270965687.8014633911</v>
      </c>
      <c r="C274" s="6" t="s">
        <v>710</v>
      </c>
      <c r="D274" s="6" t="s">
        <v>379</v>
      </c>
      <c r="E274" s="6" t="s">
        <v>12</v>
      </c>
      <c r="F274" s="6" t="s">
        <v>13</v>
      </c>
      <c r="G274" s="6" t="s">
        <v>380</v>
      </c>
      <c r="H274" s="8" t="s">
        <v>711</v>
      </c>
      <c r="I274" s="9">
        <v>6.2662566E7</v>
      </c>
      <c r="J274" s="5" t="str">
        <f t="shared" ref="J274:K274" si="274">SUBSTITUTE(H274, ",", "")</f>
        <v>284</v>
      </c>
      <c r="K274" s="5" t="str">
        <f t="shared" si="274"/>
        <v>Rp62662566</v>
      </c>
      <c r="L274" s="5" t="str">
        <f t="shared" si="3"/>
        <v>62662566</v>
      </c>
    </row>
    <row r="275">
      <c r="A275" s="6" t="s">
        <v>712</v>
      </c>
      <c r="B275" s="7" t="str">
        <f>HYPERLINK("https://shopee.co.id/Benton-Snail-Bee-High-Content-Essence-i.125116082.2753310957", "https://shopee.co.id/Benton-Snail-Bee-High-Content-Essence-i.125116082.2753310957")</f>
        <v>https://shopee.co.id/Benton-Snail-Bee-High-Content-Essence-i.125116082.2753310957</v>
      </c>
      <c r="C275" s="6" t="s">
        <v>456</v>
      </c>
      <c r="D275" s="6" t="s">
        <v>713</v>
      </c>
      <c r="E275" s="6" t="s">
        <v>12</v>
      </c>
      <c r="F275" s="6" t="s">
        <v>13</v>
      </c>
      <c r="G275" s="6" t="s">
        <v>61</v>
      </c>
      <c r="H275" s="8" t="s">
        <v>714</v>
      </c>
      <c r="I275" s="9">
        <v>3.50375E7</v>
      </c>
      <c r="J275" s="5" t="str">
        <f t="shared" ref="J275:K275" si="275">SUBSTITUTE(H275, ",", "")</f>
        <v>283</v>
      </c>
      <c r="K275" s="5" t="str">
        <f t="shared" si="275"/>
        <v>Rp35037500</v>
      </c>
      <c r="L275" s="5" t="str">
        <f t="shared" si="3"/>
        <v>35037500</v>
      </c>
    </row>
    <row r="276">
      <c r="A276" s="6" t="s">
        <v>715</v>
      </c>
      <c r="B276" s="7" t="str">
        <f>HYPERLINK("https://shopee.co.id/Ponds-Bright-Beauty-Perfect-Potion-Essence-Normal-Skin-50ml--i.14318452.4660789514", "https://shopee.co.id/Ponds-Bright-Beauty-Perfect-Potion-Essence-Normal-Skin-50ml--i.14318452.4660789514")</f>
        <v>https://shopee.co.id/Ponds-Bright-Beauty-Perfect-Potion-Essence-Normal-Skin-50ml--i.14318452.4660789514</v>
      </c>
      <c r="C276" s="6" t="s">
        <v>325</v>
      </c>
      <c r="D276" s="6" t="s">
        <v>326</v>
      </c>
      <c r="E276" s="6" t="s">
        <v>12</v>
      </c>
      <c r="F276" s="6" t="s">
        <v>13</v>
      </c>
      <c r="G276" s="6" t="s">
        <v>296</v>
      </c>
      <c r="H276" s="8" t="s">
        <v>716</v>
      </c>
      <c r="I276" s="9">
        <v>3.612E7</v>
      </c>
      <c r="J276" s="5" t="str">
        <f t="shared" ref="J276:K276" si="276">SUBSTITUTE(H276, ",", "")</f>
        <v>280</v>
      </c>
      <c r="K276" s="5" t="str">
        <f t="shared" si="276"/>
        <v>Rp36120000</v>
      </c>
      <c r="L276" s="5" t="str">
        <f t="shared" si="3"/>
        <v>36120000</v>
      </c>
    </row>
    <row r="277">
      <c r="A277" s="6" t="s">
        <v>717</v>
      </c>
      <c r="B277" s="7" t="str">
        <f>HYPERLINK("https://shopee.co.id/All-Perfect-Whitening-Serum-i.167618454.2610569753", "https://shopee.co.id/All-Perfect-Whitening-Serum-i.167618454.2610569753")</f>
        <v>https://shopee.co.id/All-Perfect-Whitening-Serum-i.167618454.2610569753</v>
      </c>
      <c r="C277" s="6" t="s">
        <v>718</v>
      </c>
      <c r="D277" s="6" t="s">
        <v>678</v>
      </c>
      <c r="E277" s="6" t="s">
        <v>12</v>
      </c>
      <c r="F277" s="6" t="s">
        <v>13</v>
      </c>
      <c r="G277" s="6" t="s">
        <v>296</v>
      </c>
      <c r="H277" s="8" t="s">
        <v>719</v>
      </c>
      <c r="I277" s="9">
        <v>7.85934E7</v>
      </c>
      <c r="J277" s="5" t="str">
        <f t="shared" ref="J277:K277" si="277">SUBSTITUTE(H277, ",", "")</f>
        <v>279</v>
      </c>
      <c r="K277" s="5" t="str">
        <f t="shared" si="277"/>
        <v>Rp78593400</v>
      </c>
      <c r="L277" s="5" t="str">
        <f t="shared" si="3"/>
        <v>78593400</v>
      </c>
    </row>
    <row r="278">
      <c r="A278" s="6" t="s">
        <v>720</v>
      </c>
      <c r="B278" s="7" t="str">
        <f>HYPERLINK("https://shopee.co.id/L-Oreal-Paris-Revitalift-Crystal-Micro-Essence-Serum-Skin-Care-130-ml-x2-Pcs-i.62579622.7769228478", "https://shopee.co.id/L-Oreal-Paris-Revitalift-Crystal-Micro-Essence-Serum-Skin-Care-130-ml-x2-Pcs-i.62579622.7769228478")</f>
        <v>https://shopee.co.id/L-Oreal-Paris-Revitalift-Crystal-Micro-Essence-Serum-Skin-Care-130-ml-x2-Pcs-i.62579622.7769228478</v>
      </c>
      <c r="C278" s="6" t="s">
        <v>105</v>
      </c>
      <c r="D278" s="6" t="s">
        <v>106</v>
      </c>
      <c r="E278" s="6" t="s">
        <v>12</v>
      </c>
      <c r="F278" s="6" t="s">
        <v>13</v>
      </c>
      <c r="G278" s="6" t="s">
        <v>61</v>
      </c>
      <c r="H278" s="8" t="s">
        <v>721</v>
      </c>
      <c r="I278" s="9">
        <v>1.118322E8</v>
      </c>
      <c r="J278" s="5" t="str">
        <f t="shared" ref="J278:K278" si="278">SUBSTITUTE(H278, ",", "")</f>
        <v>275</v>
      </c>
      <c r="K278" s="5" t="str">
        <f t="shared" si="278"/>
        <v>Rp111832200</v>
      </c>
      <c r="L278" s="5" t="str">
        <f t="shared" si="3"/>
        <v>111832200</v>
      </c>
    </row>
    <row r="279">
      <c r="A279" s="6" t="s">
        <v>722</v>
      </c>
      <c r="B279" s="7" t="str">
        <f>HYPERLINK("https://shopee.co.id/L-Oreal-Paris-Revitalift-Crystal-Micro-Essence-Serum-Mask-Skin-Care-Pack-of-5--i.62579622.3839606400", "https://shopee.co.id/L-Oreal-Paris-Revitalift-Crystal-Micro-Essence-Serum-Mask-Skin-Care-Pack-of-5--i.62579622.3839606400")</f>
        <v>https://shopee.co.id/L-Oreal-Paris-Revitalift-Crystal-Micro-Essence-Serum-Mask-Skin-Care-Pack-of-5--i.62579622.3839606400</v>
      </c>
      <c r="C279" s="6" t="s">
        <v>105</v>
      </c>
      <c r="D279" s="6" t="s">
        <v>106</v>
      </c>
      <c r="E279" s="6" t="s">
        <v>12</v>
      </c>
      <c r="F279" s="6" t="s">
        <v>13</v>
      </c>
      <c r="G279" s="6" t="s">
        <v>61</v>
      </c>
      <c r="H279" s="8" t="s">
        <v>723</v>
      </c>
      <c r="I279" s="9">
        <v>3.5217E7</v>
      </c>
      <c r="J279" s="5" t="str">
        <f t="shared" ref="J279:K279" si="279">SUBSTITUTE(H279, ",", "")</f>
        <v>273</v>
      </c>
      <c r="K279" s="5" t="str">
        <f t="shared" si="279"/>
        <v>Rp35217000</v>
      </c>
      <c r="L279" s="5" t="str">
        <f t="shared" si="3"/>
        <v>35217000</v>
      </c>
    </row>
    <row r="280">
      <c r="A280" s="6" t="s">
        <v>724</v>
      </c>
      <c r="B280" s="7" t="str">
        <f>HYPERLINK("https://shopee.co.id/Ella-Skincare-Advance-Serum-Vitamin-C-i.95154428.6733168525", "https://shopee.co.id/Ella-Skincare-Advance-Serum-Vitamin-C-i.95154428.6733168525")</f>
        <v>https://shopee.co.id/Ella-Skincare-Advance-Serum-Vitamin-C-i.95154428.6733168525</v>
      </c>
      <c r="C280" s="6" t="s">
        <v>700</v>
      </c>
      <c r="D280" s="6" t="s">
        <v>598</v>
      </c>
      <c r="E280" s="6" t="s">
        <v>12</v>
      </c>
      <c r="F280" s="6" t="s">
        <v>13</v>
      </c>
      <c r="G280" s="6" t="s">
        <v>409</v>
      </c>
      <c r="H280" s="8" t="s">
        <v>725</v>
      </c>
      <c r="I280" s="9">
        <v>4.65042E7</v>
      </c>
      <c r="J280" s="5" t="str">
        <f t="shared" ref="J280:K280" si="280">SUBSTITUTE(H280, ",", "")</f>
        <v>263</v>
      </c>
      <c r="K280" s="5" t="str">
        <f t="shared" si="280"/>
        <v>Rp46504200</v>
      </c>
      <c r="L280" s="5" t="str">
        <f t="shared" si="3"/>
        <v>46504200</v>
      </c>
    </row>
    <row r="281">
      <c r="A281" s="6" t="s">
        <v>726</v>
      </c>
      <c r="B281" s="7" t="str">
        <f>HYPERLINK("https://shopee.co.id/Nama-C-Booster-Brightening-Age-Defying-Face-Serum-i.389941587.10531639291", "https://shopee.co.id/Nama-C-Booster-Brightening-Age-Defying-Face-Serum-i.389941587.10531639291")</f>
        <v>https://shopee.co.id/Nama-C-Booster-Brightening-Age-Defying-Face-Serum-i.389941587.10531639291</v>
      </c>
      <c r="C281" s="6" t="s">
        <v>727</v>
      </c>
      <c r="D281" s="6" t="s">
        <v>728</v>
      </c>
      <c r="E281" s="6" t="s">
        <v>12</v>
      </c>
      <c r="F281" s="6" t="s">
        <v>13</v>
      </c>
      <c r="G281" s="6" t="s">
        <v>21</v>
      </c>
      <c r="H281" s="8" t="s">
        <v>725</v>
      </c>
      <c r="I281" s="9">
        <v>5.5375E7</v>
      </c>
      <c r="J281" s="5" t="str">
        <f t="shared" ref="J281:K281" si="281">SUBSTITUTE(H281, ",", "")</f>
        <v>263</v>
      </c>
      <c r="K281" s="5" t="str">
        <f t="shared" si="281"/>
        <v>Rp55375000</v>
      </c>
      <c r="L281" s="5" t="str">
        <f t="shared" si="3"/>
        <v>55375000</v>
      </c>
    </row>
    <row r="282">
      <c r="A282" s="6" t="s">
        <v>729</v>
      </c>
      <c r="B282" s="7" t="str">
        <f>HYPERLINK("https://shopee.co.id/Dear-Me-Beauty-1-Bakuchiol-Blueberry-Extract-Face-Serum-32ml-i.45495764.9148396967", "https://shopee.co.id/Dear-Me-Beauty-1-Bakuchiol-Blueberry-Extract-Face-Serum-32ml-i.45495764.9148396967")</f>
        <v>https://shopee.co.id/Dear-Me-Beauty-1-Bakuchiol-Blueberry-Extract-Face-Serum-32ml-i.45495764.9148396967</v>
      </c>
      <c r="C282" s="6" t="s">
        <v>70</v>
      </c>
      <c r="D282" s="6" t="s">
        <v>71</v>
      </c>
      <c r="E282" s="6" t="s">
        <v>12</v>
      </c>
      <c r="F282" s="6" t="s">
        <v>13</v>
      </c>
      <c r="G282" s="6" t="s">
        <v>61</v>
      </c>
      <c r="H282" s="8" t="s">
        <v>730</v>
      </c>
      <c r="I282" s="9">
        <v>1.87533E7</v>
      </c>
      <c r="J282" s="5" t="str">
        <f t="shared" ref="J282:K282" si="282">SUBSTITUTE(H282, ",", "")</f>
        <v>261</v>
      </c>
      <c r="K282" s="5" t="str">
        <f t="shared" si="282"/>
        <v>Rp18753300</v>
      </c>
      <c r="L282" s="5" t="str">
        <f t="shared" si="3"/>
        <v>18753300</v>
      </c>
    </row>
    <row r="283">
      <c r="A283" s="6" t="s">
        <v>731</v>
      </c>
      <c r="B283" s="7" t="str">
        <f>HYPERLINK("https://shopee.co.id/Retinol-Serum-Ertos-i.96907343.5027304478", "https://shopee.co.id/Retinol-Serum-Ertos-i.96907343.5027304478")</f>
        <v>https://shopee.co.id/Retinol-Serum-Ertos-i.96907343.5027304478</v>
      </c>
      <c r="C283" s="6" t="s">
        <v>467</v>
      </c>
      <c r="D283" s="6" t="s">
        <v>468</v>
      </c>
      <c r="E283" s="6" t="s">
        <v>12</v>
      </c>
      <c r="F283" s="6" t="s">
        <v>13</v>
      </c>
      <c r="G283" s="6" t="s">
        <v>469</v>
      </c>
      <c r="H283" s="8" t="s">
        <v>732</v>
      </c>
      <c r="I283" s="9">
        <v>1.7974E7</v>
      </c>
      <c r="J283" s="5" t="str">
        <f t="shared" ref="J283:K283" si="283">SUBSTITUTE(H283, ",", "")</f>
        <v>260</v>
      </c>
      <c r="K283" s="5" t="str">
        <f t="shared" si="283"/>
        <v>Rp17974000</v>
      </c>
      <c r="L283" s="5" t="str">
        <f t="shared" si="3"/>
        <v>17974000</v>
      </c>
    </row>
    <row r="284">
      <c r="A284" s="6" t="s">
        <v>733</v>
      </c>
      <c r="B284" s="7" t="str">
        <f>HYPERLINK("https://shopee.co.id/-innisfree-Black-Tea-Youth-Enhancing-Ampoule-Bundle-i.61504589.7183408262", "https://shopee.co.id/-innisfree-Black-Tea-Youth-Enhancing-Ampoule-Bundle-i.61504589.7183408262")</f>
        <v>https://shopee.co.id/-innisfree-Black-Tea-Youth-Enhancing-Ampoule-Bundle-i.61504589.7183408262</v>
      </c>
      <c r="C284" s="6" t="s">
        <v>294</v>
      </c>
      <c r="D284" s="6" t="s">
        <v>295</v>
      </c>
      <c r="E284" s="6" t="s">
        <v>12</v>
      </c>
      <c r="F284" s="6" t="s">
        <v>13</v>
      </c>
      <c r="G284" s="6" t="s">
        <v>296</v>
      </c>
      <c r="H284" s="8" t="s">
        <v>734</v>
      </c>
      <c r="I284" s="9">
        <v>1.554E7</v>
      </c>
      <c r="J284" s="5" t="str">
        <f t="shared" ref="J284:K284" si="284">SUBSTITUTE(H284, ",", "")</f>
        <v>259</v>
      </c>
      <c r="K284" s="5" t="str">
        <f t="shared" si="284"/>
        <v>Rp15540000</v>
      </c>
      <c r="L284" s="5" t="str">
        <f t="shared" si="3"/>
        <v>15540000</v>
      </c>
    </row>
    <row r="285">
      <c r="A285" s="6" t="s">
        <v>735</v>
      </c>
      <c r="B285" s="7" t="str">
        <f>HYPERLINK("https://shopee.co.id/Ponds-Bright-Beauty-Power-Serum-7-5G-i.14318452.8935272757", "https://shopee.co.id/Ponds-Bright-Beauty-Power-Serum-7-5G-i.14318452.8935272757")</f>
        <v>https://shopee.co.id/Ponds-Bright-Beauty-Power-Serum-7-5G-i.14318452.8935272757</v>
      </c>
      <c r="C285" s="6" t="s">
        <v>325</v>
      </c>
      <c r="D285" s="6" t="s">
        <v>326</v>
      </c>
      <c r="E285" s="6" t="s">
        <v>12</v>
      </c>
      <c r="F285" s="6" t="s">
        <v>13</v>
      </c>
      <c r="G285" s="6" t="s">
        <v>296</v>
      </c>
      <c r="H285" s="8" t="s">
        <v>736</v>
      </c>
      <c r="I285" s="9">
        <v>1.1287425E8</v>
      </c>
      <c r="J285" s="5" t="str">
        <f t="shared" ref="J285:K285" si="285">SUBSTITUTE(H285, ",", "")</f>
        <v>253</v>
      </c>
      <c r="K285" s="5" t="str">
        <f t="shared" si="285"/>
        <v>Rp112874250</v>
      </c>
      <c r="L285" s="5" t="str">
        <f t="shared" si="3"/>
        <v>112874250</v>
      </c>
    </row>
    <row r="286">
      <c r="A286" s="6" t="s">
        <v>737</v>
      </c>
      <c r="B286" s="7" t="str">
        <f>HYPERLINK("https://shopee.co.id/Jarkeen-Skin-Purifier-Gel-Serum-Glow-Serum--i.147936010.2379353995", "https://shopee.co.id/Jarkeen-Skin-Purifier-Gel-Serum-Glow-Serum--i.147936010.2379353995")</f>
        <v>https://shopee.co.id/Jarkeen-Skin-Purifier-Gel-Serum-Glow-Serum--i.147936010.2379353995</v>
      </c>
      <c r="C286" s="6" t="s">
        <v>738</v>
      </c>
      <c r="D286" s="6" t="s">
        <v>739</v>
      </c>
      <c r="E286" s="6" t="s">
        <v>12</v>
      </c>
      <c r="F286" s="6" t="s">
        <v>13</v>
      </c>
      <c r="G286" s="6" t="s">
        <v>241</v>
      </c>
      <c r="H286" s="8" t="s">
        <v>740</v>
      </c>
      <c r="I286" s="9">
        <v>2.102475E7</v>
      </c>
      <c r="J286" s="5" t="str">
        <f t="shared" ref="J286:K286" si="286">SUBSTITUTE(H286, ",", "")</f>
        <v>252</v>
      </c>
      <c r="K286" s="5" t="str">
        <f t="shared" si="286"/>
        <v>Rp21024750</v>
      </c>
      <c r="L286" s="5" t="str">
        <f t="shared" si="3"/>
        <v>21024750</v>
      </c>
    </row>
    <row r="287">
      <c r="A287" s="6" t="s">
        <v>741</v>
      </c>
      <c r="B287" s="7" t="str">
        <f>HYPERLINK("https://shopee.co.id/Scarlett-Whitening-Toner-Package-i.255365082.11829844562", "https://shopee.co.id/Scarlett-Whitening-Toner-Package-i.255365082.11829844562")</f>
        <v>https://shopee.co.id/Scarlett-Whitening-Toner-Package-i.255365082.11829844562</v>
      </c>
      <c r="C287" s="6" t="s">
        <v>19</v>
      </c>
      <c r="D287" s="6" t="s">
        <v>20</v>
      </c>
      <c r="E287" s="6" t="s">
        <v>12</v>
      </c>
      <c r="F287" s="6" t="s">
        <v>13</v>
      </c>
      <c r="G287" s="6" t="s">
        <v>21</v>
      </c>
      <c r="H287" s="8" t="s">
        <v>740</v>
      </c>
      <c r="I287" s="9">
        <v>2.3583E7</v>
      </c>
      <c r="J287" s="5" t="str">
        <f t="shared" ref="J287:K287" si="287">SUBSTITUTE(H287, ",", "")</f>
        <v>252</v>
      </c>
      <c r="K287" s="5" t="str">
        <f t="shared" si="287"/>
        <v>Rp23583000</v>
      </c>
      <c r="L287" s="5" t="str">
        <f t="shared" si="3"/>
        <v>23583000</v>
      </c>
    </row>
    <row r="288">
      <c r="A288" s="6" t="s">
        <v>742</v>
      </c>
      <c r="B288" s="7" t="str">
        <f>HYPERLINK("https://shopee.co.id/-innisfree-Black-Tea-Youth-Enhancing-Ampoule-30ML-i.61504589.5669719261", "https://shopee.co.id/-innisfree-Black-Tea-Youth-Enhancing-Ampoule-30ML-i.61504589.5669719261")</f>
        <v>https://shopee.co.id/-innisfree-Black-Tea-Youth-Enhancing-Ampoule-30ML-i.61504589.5669719261</v>
      </c>
      <c r="C288" s="6" t="s">
        <v>294</v>
      </c>
      <c r="D288" s="6" t="s">
        <v>295</v>
      </c>
      <c r="E288" s="6" t="s">
        <v>12</v>
      </c>
      <c r="F288" s="6" t="s">
        <v>13</v>
      </c>
      <c r="G288" s="6" t="s">
        <v>296</v>
      </c>
      <c r="H288" s="8" t="s">
        <v>743</v>
      </c>
      <c r="I288" s="9">
        <v>7016921.0</v>
      </c>
      <c r="J288" s="5" t="str">
        <f t="shared" ref="J288:K288" si="288">SUBSTITUTE(H288, ",", "")</f>
        <v>251</v>
      </c>
      <c r="K288" s="5" t="str">
        <f t="shared" si="288"/>
        <v>Rp7016921</v>
      </c>
      <c r="L288" s="5" t="str">
        <f t="shared" si="3"/>
        <v>7016921</v>
      </c>
    </row>
    <row r="289">
      <c r="A289" s="6" t="s">
        <v>744</v>
      </c>
      <c r="B289" s="7" t="str">
        <f>HYPERLINK("https://shopee.co.id/Avoskin-Your-Skin-Bae-Serum-30ml-i.10689.3376975791", "https://shopee.co.id/Avoskin-Your-Skin-Bae-Serum-30ml-i.10689.3376975791")</f>
        <v>https://shopee.co.id/Avoskin-Your-Skin-Bae-Serum-30ml-i.10689.3376975791</v>
      </c>
      <c r="C289" s="6" t="s">
        <v>83</v>
      </c>
      <c r="D289" s="6" t="s">
        <v>745</v>
      </c>
      <c r="E289" s="6" t="s">
        <v>12</v>
      </c>
      <c r="F289" s="6" t="s">
        <v>13</v>
      </c>
      <c r="G289" s="6" t="s">
        <v>61</v>
      </c>
      <c r="H289" s="8" t="s">
        <v>746</v>
      </c>
      <c r="I289" s="9">
        <v>8584500.0</v>
      </c>
      <c r="J289" s="5" t="str">
        <f t="shared" ref="J289:K289" si="289">SUBSTITUTE(H289, ",", "")</f>
        <v>249</v>
      </c>
      <c r="K289" s="5" t="str">
        <f t="shared" si="289"/>
        <v>Rp8584500</v>
      </c>
      <c r="L289" s="5" t="str">
        <f t="shared" si="3"/>
        <v>8584500</v>
      </c>
    </row>
    <row r="290">
      <c r="A290" s="6" t="s">
        <v>747</v>
      </c>
      <c r="B290" s="7" t="str">
        <f>HYPERLINK("https://shopee.co.id/Purivera-Fermented-Red-Serum-Oil-Whitening-Glowing-Vitamin-C-Kojic-Acid-Natural-Alternative-i.43724442.3184381744", "https://shopee.co.id/Purivera-Fermented-Red-Serum-Oil-Whitening-Glowing-Vitamin-C-Kojic-Acid-Natural-Alternative-i.43724442.3184381744")</f>
        <v>https://shopee.co.id/Purivera-Fermented-Red-Serum-Oil-Whitening-Glowing-Vitamin-C-Kojic-Acid-Natural-Alternative-i.43724442.3184381744</v>
      </c>
      <c r="C290" s="6" t="s">
        <v>428</v>
      </c>
      <c r="D290" s="6" t="s">
        <v>429</v>
      </c>
      <c r="E290" s="6" t="s">
        <v>12</v>
      </c>
      <c r="F290" s="6" t="s">
        <v>13</v>
      </c>
      <c r="G290" s="6" t="s">
        <v>61</v>
      </c>
      <c r="H290" s="8" t="s">
        <v>748</v>
      </c>
      <c r="I290" s="9">
        <v>1.7112E7</v>
      </c>
      <c r="J290" s="5" t="str">
        <f t="shared" ref="J290:K290" si="290">SUBSTITUTE(H290, ",", "")</f>
        <v>248</v>
      </c>
      <c r="K290" s="5" t="str">
        <f t="shared" si="290"/>
        <v>Rp17112000</v>
      </c>
      <c r="L290" s="5" t="str">
        <f t="shared" si="3"/>
        <v>17112000</v>
      </c>
    </row>
    <row r="291">
      <c r="A291" s="6" t="s">
        <v>749</v>
      </c>
      <c r="B291" s="7" t="str">
        <f>HYPERLINK("https://shopee.co.id/Airnderm-Aesthetic-Retinol-Serum-by-AIRIN-BEAUTY--i.112372548.7545489260", "https://shopee.co.id/Airnderm-Aesthetic-Retinol-Serum-by-AIRIN-BEAUTY--i.112372548.7545489260")</f>
        <v>https://shopee.co.id/Airnderm-Aesthetic-Retinol-Serum-by-AIRIN-BEAUTY--i.112372548.7545489260</v>
      </c>
      <c r="C291" s="6" t="s">
        <v>239</v>
      </c>
      <c r="D291" s="6" t="s">
        <v>240</v>
      </c>
      <c r="E291" s="6" t="s">
        <v>12</v>
      </c>
      <c r="F291" s="6" t="s">
        <v>13</v>
      </c>
      <c r="G291" s="6" t="s">
        <v>241</v>
      </c>
      <c r="H291" s="8" t="s">
        <v>748</v>
      </c>
      <c r="I291" s="9">
        <v>3.5428E7</v>
      </c>
      <c r="J291" s="5" t="str">
        <f t="shared" ref="J291:K291" si="291">SUBSTITUTE(H291, ",", "")</f>
        <v>248</v>
      </c>
      <c r="K291" s="5" t="str">
        <f t="shared" si="291"/>
        <v>Rp35428000</v>
      </c>
      <c r="L291" s="5" t="str">
        <f t="shared" si="3"/>
        <v>35428000</v>
      </c>
    </row>
    <row r="292">
      <c r="A292" s="6" t="s">
        <v>750</v>
      </c>
      <c r="B292" s="7" t="str">
        <f>HYPERLINK("https://shopee.co.id/Garnier-Sakura-White-Perfect-Glow-Skin-Care-Booster-Serum-30-ml-Glow-Essence-100-ml-i.62583853.8142399933", "https://shopee.co.id/Garnier-Sakura-White-Perfect-Glow-Skin-Care-Booster-Serum-30-ml-Glow-Essence-100-ml-i.62583853.8142399933")</f>
        <v>https://shopee.co.id/Garnier-Sakura-White-Perfect-Glow-Skin-Care-Booster-Serum-30-ml-Glow-Essence-100-ml-i.62583853.8142399933</v>
      </c>
      <c r="C292" s="6" t="s">
        <v>74</v>
      </c>
      <c r="D292" s="6" t="s">
        <v>75</v>
      </c>
      <c r="E292" s="6" t="s">
        <v>12</v>
      </c>
      <c r="F292" s="6" t="s">
        <v>13</v>
      </c>
      <c r="G292" s="6" t="s">
        <v>61</v>
      </c>
      <c r="H292" s="8" t="s">
        <v>751</v>
      </c>
      <c r="I292" s="9">
        <v>7.45281E7</v>
      </c>
      <c r="J292" s="5" t="str">
        <f t="shared" ref="J292:K292" si="292">SUBSTITUTE(H292, ",", "")</f>
        <v>243</v>
      </c>
      <c r="K292" s="5" t="str">
        <f t="shared" si="292"/>
        <v>Rp74528100</v>
      </c>
      <c r="L292" s="5" t="str">
        <f t="shared" si="3"/>
        <v>74528100</v>
      </c>
    </row>
    <row r="293">
      <c r="A293" s="6" t="s">
        <v>752</v>
      </c>
      <c r="B293" s="7" t="str">
        <f>HYPERLINK("https://shopee.co.id/HPR-Retinol-Serum-i.37421755.9200507377", "https://shopee.co.id/HPR-Retinol-Serum-i.37421755.9200507377")</f>
        <v>https://shopee.co.id/HPR-Retinol-Serum-i.37421755.9200507377</v>
      </c>
      <c r="C293" s="6" t="s">
        <v>753</v>
      </c>
      <c r="D293" s="6" t="s">
        <v>754</v>
      </c>
      <c r="E293" s="6" t="s">
        <v>12</v>
      </c>
      <c r="F293" s="6" t="s">
        <v>13</v>
      </c>
      <c r="G293" s="6" t="s">
        <v>469</v>
      </c>
      <c r="H293" s="8" t="s">
        <v>755</v>
      </c>
      <c r="I293" s="9">
        <v>8.54617E7</v>
      </c>
      <c r="J293" s="5" t="str">
        <f t="shared" ref="J293:K293" si="293">SUBSTITUTE(H293, ",", "")</f>
        <v>241</v>
      </c>
      <c r="K293" s="5" t="str">
        <f t="shared" si="293"/>
        <v>Rp85461700</v>
      </c>
      <c r="L293" s="5" t="str">
        <f t="shared" si="3"/>
        <v>85461700</v>
      </c>
    </row>
    <row r="294">
      <c r="A294" s="6" t="s">
        <v>756</v>
      </c>
      <c r="B294" s="7" t="str">
        <f>HYPERLINK("https://shopee.co.id/Npure-Face-Serum-Marigold-Series-Anti-Aging-Face-Serum--i.115276607.6311768787", "https://shopee.co.id/Npure-Face-Serum-Marigold-Series-Anti-Aging-Face-Serum--i.115276607.6311768787")</f>
        <v>https://shopee.co.id/Npure-Face-Serum-Marigold-Series-Anti-Aging-Face-Serum--i.115276607.6311768787</v>
      </c>
      <c r="C294" s="6" t="s">
        <v>266</v>
      </c>
      <c r="D294" s="6" t="s">
        <v>267</v>
      </c>
      <c r="E294" s="6" t="s">
        <v>12</v>
      </c>
      <c r="F294" s="6" t="s">
        <v>13</v>
      </c>
      <c r="G294" s="6" t="s">
        <v>61</v>
      </c>
      <c r="H294" s="8" t="s">
        <v>757</v>
      </c>
      <c r="I294" s="9">
        <v>2.59529E7</v>
      </c>
      <c r="J294" s="5" t="str">
        <f t="shared" ref="J294:K294" si="294">SUBSTITUTE(H294, ",", "")</f>
        <v>239</v>
      </c>
      <c r="K294" s="5" t="str">
        <f t="shared" si="294"/>
        <v>Rp25952900</v>
      </c>
      <c r="L294" s="5" t="str">
        <f t="shared" si="3"/>
        <v>25952900</v>
      </c>
    </row>
    <row r="295">
      <c r="A295" s="6" t="s">
        <v>758</v>
      </c>
      <c r="B295" s="7" t="str">
        <f>HYPERLINK("https://shopee.co.id/Olay-White-Radiance-Light-Perfecting-Essence-Water-150-ml-i.11487927.6865089160", "https://shopee.co.id/Olay-White-Radiance-Light-Perfecting-Essence-Water-150-ml-i.11487927.6865089160")</f>
        <v>https://shopee.co.id/Olay-White-Radiance-Light-Perfecting-Essence-Water-150-ml-i.11487927.6865089160</v>
      </c>
      <c r="C295" s="6" t="s">
        <v>317</v>
      </c>
      <c r="D295" s="6" t="s">
        <v>318</v>
      </c>
      <c r="E295" s="6" t="s">
        <v>12</v>
      </c>
      <c r="F295" s="6" t="s">
        <v>13</v>
      </c>
      <c r="G295" s="6" t="s">
        <v>296</v>
      </c>
      <c r="H295" s="8" t="s">
        <v>757</v>
      </c>
      <c r="I295" s="9">
        <v>1.12892E7</v>
      </c>
      <c r="J295" s="5" t="str">
        <f t="shared" ref="J295:K295" si="295">SUBSTITUTE(H295, ",", "")</f>
        <v>239</v>
      </c>
      <c r="K295" s="5" t="str">
        <f t="shared" si="295"/>
        <v>Rp11289200</v>
      </c>
      <c r="L295" s="5" t="str">
        <f t="shared" si="3"/>
        <v>11289200</v>
      </c>
    </row>
    <row r="296">
      <c r="A296" s="6" t="s">
        <v>759</v>
      </c>
      <c r="B296" s="7" t="str">
        <f>HYPERLINK("https://shopee.co.id/Votre-Peau-Vitamin-C-Serum-30ml-i.46300234.7421902339", "https://shopee.co.id/Votre-Peau-Vitamin-C-Serum-30ml-i.46300234.7421902339")</f>
        <v>https://shopee.co.id/Votre-Peau-Vitamin-C-Serum-30ml-i.46300234.7421902339</v>
      </c>
      <c r="C296" s="6" t="s">
        <v>471</v>
      </c>
      <c r="D296" s="6" t="s">
        <v>472</v>
      </c>
      <c r="E296" s="6" t="s">
        <v>12</v>
      </c>
      <c r="F296" s="6" t="s">
        <v>13</v>
      </c>
      <c r="G296" s="6" t="s">
        <v>98</v>
      </c>
      <c r="H296" s="8" t="s">
        <v>757</v>
      </c>
      <c r="I296" s="9">
        <v>1.687983E7</v>
      </c>
      <c r="J296" s="5" t="str">
        <f t="shared" ref="J296:K296" si="296">SUBSTITUTE(H296, ",", "")</f>
        <v>239</v>
      </c>
      <c r="K296" s="5" t="str">
        <f t="shared" si="296"/>
        <v>Rp16879830</v>
      </c>
      <c r="L296" s="5" t="str">
        <f t="shared" si="3"/>
        <v>16879830</v>
      </c>
    </row>
    <row r="297">
      <c r="A297" s="6" t="s">
        <v>760</v>
      </c>
      <c r="B297" s="7" t="str">
        <f>HYPERLINK("https://shopee.co.id/HAYEJIN-Blessing-of-Sprout-Enriched-Serum-i.240712269.3467699876", "https://shopee.co.id/HAYEJIN-Blessing-of-Sprout-Enriched-Serum-i.240712269.3467699876")</f>
        <v>https://shopee.co.id/HAYEJIN-Blessing-of-Sprout-Enriched-Serum-i.240712269.3467699876</v>
      </c>
      <c r="C297" s="6" t="s">
        <v>761</v>
      </c>
      <c r="D297" s="6" t="s">
        <v>762</v>
      </c>
      <c r="E297" s="6" t="s">
        <v>12</v>
      </c>
      <c r="F297" s="6" t="s">
        <v>13</v>
      </c>
      <c r="G297" s="6" t="s">
        <v>98</v>
      </c>
      <c r="H297" s="8" t="s">
        <v>763</v>
      </c>
      <c r="I297" s="9">
        <v>7.4676455E7</v>
      </c>
      <c r="J297" s="5" t="str">
        <f t="shared" ref="J297:K297" si="297">SUBSTITUTE(H297, ",", "")</f>
        <v>237</v>
      </c>
      <c r="K297" s="5" t="str">
        <f t="shared" si="297"/>
        <v>Rp74676455</v>
      </c>
      <c r="L297" s="5" t="str">
        <f t="shared" si="3"/>
        <v>74676455</v>
      </c>
    </row>
    <row r="298">
      <c r="A298" s="6" t="s">
        <v>764</v>
      </c>
      <c r="B298" s="7" t="str">
        <f>HYPERLINK("https://shopee.co.id/ElsheSkin-Radiant-Skin-Serum-x-Active-Rejuvenating-Night-Serum-i.9035345.9917973886", "https://shopee.co.id/ElsheSkin-Radiant-Skin-Serum-x-Active-Rejuvenating-Night-Serum-i.9035345.9917973886")</f>
        <v>https://shopee.co.id/ElsheSkin-Radiant-Skin-Serum-x-Active-Rejuvenating-Night-Serum-i.9035345.9917973886</v>
      </c>
      <c r="C298" s="6" t="s">
        <v>135</v>
      </c>
      <c r="D298" s="6" t="s">
        <v>136</v>
      </c>
      <c r="E298" s="6" t="s">
        <v>12</v>
      </c>
      <c r="F298" s="6" t="s">
        <v>13</v>
      </c>
      <c r="G298" s="6" t="s">
        <v>80</v>
      </c>
      <c r="H298" s="8" t="s">
        <v>765</v>
      </c>
      <c r="I298" s="9">
        <v>9966500.0</v>
      </c>
      <c r="J298" s="5" t="str">
        <f t="shared" ref="J298:K298" si="298">SUBSTITUTE(H298, ",", "")</f>
        <v>236</v>
      </c>
      <c r="K298" s="5" t="str">
        <f t="shared" si="298"/>
        <v>Rp9966500</v>
      </c>
      <c r="L298" s="5" t="str">
        <f t="shared" si="3"/>
        <v>9966500</v>
      </c>
    </row>
    <row r="299">
      <c r="A299" s="6" t="s">
        <v>766</v>
      </c>
      <c r="B299" s="7" t="str">
        <f>HYPERLINK("https://shopee.co.id/White-Story-Advanced-Care-Serum-i.405973920.9444710095", "https://shopee.co.id/White-Story-Advanced-Care-Serum-i.405973920.9444710095")</f>
        <v>https://shopee.co.id/White-Story-Advanced-Care-Serum-i.405973920.9444710095</v>
      </c>
      <c r="C299" s="6" t="s">
        <v>55</v>
      </c>
      <c r="D299" s="6" t="s">
        <v>56</v>
      </c>
      <c r="E299" s="6" t="s">
        <v>12</v>
      </c>
      <c r="F299" s="6" t="s">
        <v>13</v>
      </c>
      <c r="G299" s="6" t="s">
        <v>36</v>
      </c>
      <c r="H299" s="8" t="s">
        <v>765</v>
      </c>
      <c r="I299" s="9">
        <v>1.63986E7</v>
      </c>
      <c r="J299" s="5" t="str">
        <f t="shared" ref="J299:K299" si="299">SUBSTITUTE(H299, ",", "")</f>
        <v>236</v>
      </c>
      <c r="K299" s="5" t="str">
        <f t="shared" si="299"/>
        <v>Rp16398600</v>
      </c>
      <c r="L299" s="5" t="str">
        <f t="shared" si="3"/>
        <v>16398600</v>
      </c>
    </row>
    <row r="300">
      <c r="A300" s="6" t="s">
        <v>767</v>
      </c>
      <c r="B300" s="7" t="str">
        <f>HYPERLINK("https://shopee.co.id/-innisfree-Jeju-Pomegranate-Revitalizing-Serum-50ML-Serum-Wajah-Perawatan-Wajah-i.61504589.2262316718", "https://shopee.co.id/-innisfree-Jeju-Pomegranate-Revitalizing-Serum-50ML-Serum-Wajah-Perawatan-Wajah-i.61504589.2262316718")</f>
        <v>https://shopee.co.id/-innisfree-Jeju-Pomegranate-Revitalizing-Serum-50ML-Serum-Wajah-Perawatan-Wajah-i.61504589.2262316718</v>
      </c>
      <c r="C300" s="6" t="s">
        <v>294</v>
      </c>
      <c r="D300" s="6" t="s">
        <v>295</v>
      </c>
      <c r="E300" s="6" t="s">
        <v>12</v>
      </c>
      <c r="F300" s="6" t="s">
        <v>13</v>
      </c>
      <c r="G300" s="6" t="s">
        <v>296</v>
      </c>
      <c r="H300" s="8" t="s">
        <v>768</v>
      </c>
      <c r="I300" s="9">
        <v>4044300.0</v>
      </c>
      <c r="J300" s="5" t="str">
        <f t="shared" ref="J300:K300" si="300">SUBSTITUTE(H300, ",", "")</f>
        <v>235</v>
      </c>
      <c r="K300" s="5" t="str">
        <f t="shared" si="300"/>
        <v>Rp4044300</v>
      </c>
      <c r="L300" s="5" t="str">
        <f t="shared" si="3"/>
        <v>4044300</v>
      </c>
    </row>
    <row r="301">
      <c r="A301" s="6" t="s">
        <v>769</v>
      </c>
      <c r="B301" s="7" t="str">
        <f>HYPERLINK("https://shopee.co.id/L-Oreal-Paris-Youth-Code-Ferment-Pre-Essence-Serum-Skin-Care-30ml-Untuk-Kulit-Cerah-Kencang--i.62579622.1023031416", "https://shopee.co.id/L-Oreal-Paris-Youth-Code-Ferment-Pre-Essence-Serum-Skin-Care-30ml-Untuk-Kulit-Cerah-Kencang--i.62579622.1023031416")</f>
        <v>https://shopee.co.id/L-Oreal-Paris-Youth-Code-Ferment-Pre-Essence-Serum-Skin-Care-30ml-Untuk-Kulit-Cerah-Kencang--i.62579622.1023031416</v>
      </c>
      <c r="C301" s="6" t="s">
        <v>105</v>
      </c>
      <c r="D301" s="6" t="s">
        <v>106</v>
      </c>
      <c r="E301" s="6" t="s">
        <v>12</v>
      </c>
      <c r="F301" s="6" t="s">
        <v>13</v>
      </c>
      <c r="G301" s="6" t="s">
        <v>61</v>
      </c>
      <c r="H301" s="8" t="s">
        <v>770</v>
      </c>
      <c r="I301" s="9">
        <v>2.94894E7</v>
      </c>
      <c r="J301" s="5" t="str">
        <f t="shared" ref="J301:K301" si="301">SUBSTITUTE(H301, ",", "")</f>
        <v>232</v>
      </c>
      <c r="K301" s="5" t="str">
        <f t="shared" si="301"/>
        <v>Rp29489400</v>
      </c>
      <c r="L301" s="5" t="str">
        <f t="shared" si="3"/>
        <v>29489400</v>
      </c>
    </row>
    <row r="302">
      <c r="A302" s="6" t="s">
        <v>771</v>
      </c>
      <c r="B302" s="7" t="str">
        <f>HYPERLINK("https://shopee.co.id/The-Aubree-Niacinamide-Skin-Booster-30-ml-i.495290309.7595374405", "https://shopee.co.id/The-Aubree-Niacinamide-Skin-Booster-30-ml-i.495290309.7595374405")</f>
        <v>https://shopee.co.id/The-Aubree-Niacinamide-Skin-Booster-30-ml-i.495290309.7595374405</v>
      </c>
      <c r="C302" s="6" t="s">
        <v>772</v>
      </c>
      <c r="D302" s="6" t="s">
        <v>773</v>
      </c>
      <c r="E302" s="6" t="s">
        <v>12</v>
      </c>
      <c r="F302" s="6" t="s">
        <v>13</v>
      </c>
      <c r="G302" s="6" t="s">
        <v>241</v>
      </c>
      <c r="H302" s="8" t="s">
        <v>770</v>
      </c>
      <c r="I302" s="9">
        <v>8.8697E7</v>
      </c>
      <c r="J302" s="5" t="str">
        <f t="shared" ref="J302:K302" si="302">SUBSTITUTE(H302, ",", "")</f>
        <v>232</v>
      </c>
      <c r="K302" s="5" t="str">
        <f t="shared" si="302"/>
        <v>Rp88697000</v>
      </c>
      <c r="L302" s="5" t="str">
        <f t="shared" si="3"/>
        <v>88697000</v>
      </c>
    </row>
    <row r="303">
      <c r="A303" s="6" t="s">
        <v>774</v>
      </c>
      <c r="B303" s="7" t="str">
        <f>HYPERLINK("https://shopee.co.id/Scarlett-Whitening-Paket-Reseller-12-Item-i.255365082.7932029643", "https://shopee.co.id/Scarlett-Whitening-Paket-Reseller-12-Item-i.255365082.7932029643")</f>
        <v>https://shopee.co.id/Scarlett-Whitening-Paket-Reseller-12-Item-i.255365082.7932029643</v>
      </c>
      <c r="C303" s="6" t="s">
        <v>19</v>
      </c>
      <c r="D303" s="6" t="s">
        <v>20</v>
      </c>
      <c r="E303" s="6" t="s">
        <v>12</v>
      </c>
      <c r="F303" s="6" t="s">
        <v>13</v>
      </c>
      <c r="G303" s="6" t="s">
        <v>21</v>
      </c>
      <c r="H303" s="8" t="s">
        <v>775</v>
      </c>
      <c r="I303" s="9">
        <v>3.61089E7</v>
      </c>
      <c r="J303" s="5" t="str">
        <f t="shared" ref="J303:K303" si="303">SUBSTITUTE(H303, ",", "")</f>
        <v>231</v>
      </c>
      <c r="K303" s="5" t="str">
        <f t="shared" si="303"/>
        <v>Rp36108900</v>
      </c>
      <c r="L303" s="5" t="str">
        <f t="shared" si="3"/>
        <v>36108900</v>
      </c>
    </row>
    <row r="304">
      <c r="A304" s="6" t="s">
        <v>776</v>
      </c>
      <c r="B304" s="7" t="str">
        <f>HYPERLINK("https://shopee.co.id/Garnier-Sakura-Glow-Hyaluron-Water-Glow-Essence-Skin-Care-2-pcs-Untuk-Kulit-Glowing-Dari-Dalam--i.62583853.8567882525", "https://shopee.co.id/Garnier-Sakura-Glow-Hyaluron-Water-Glow-Essence-Skin-Care-2-pcs-Untuk-Kulit-Glowing-Dari-Dalam--i.62583853.8567882525")</f>
        <v>https://shopee.co.id/Garnier-Sakura-Glow-Hyaluron-Water-Glow-Essence-Skin-Care-2-pcs-Untuk-Kulit-Glowing-Dari-Dalam--i.62583853.8567882525</v>
      </c>
      <c r="C304" s="6" t="s">
        <v>74</v>
      </c>
      <c r="D304" s="6" t="s">
        <v>75</v>
      </c>
      <c r="E304" s="6" t="s">
        <v>12</v>
      </c>
      <c r="F304" s="6" t="s">
        <v>13</v>
      </c>
      <c r="G304" s="6" t="s">
        <v>61</v>
      </c>
      <c r="H304" s="8" t="s">
        <v>777</v>
      </c>
      <c r="I304" s="9">
        <v>3.197E7</v>
      </c>
      <c r="J304" s="5" t="str">
        <f t="shared" ref="J304:K304" si="304">SUBSTITUTE(H304, ",", "")</f>
        <v>230</v>
      </c>
      <c r="K304" s="5" t="str">
        <f t="shared" si="304"/>
        <v>Rp31970000</v>
      </c>
      <c r="L304" s="5" t="str">
        <f t="shared" si="3"/>
        <v>31970000</v>
      </c>
    </row>
    <row r="305">
      <c r="A305" s="6" t="s">
        <v>778</v>
      </c>
      <c r="B305" s="7" t="str">
        <f>HYPERLINK("https://shopee.co.id/Erha-Age-Corrector-Serum-Essence-i.129153987.9448407003", "https://shopee.co.id/Erha-Age-Corrector-Serum-Essence-i.129153987.9448407003")</f>
        <v>https://shopee.co.id/Erha-Age-Corrector-Serum-Essence-i.129153987.9448407003</v>
      </c>
      <c r="C305" s="6" t="s">
        <v>181</v>
      </c>
      <c r="D305" s="6" t="s">
        <v>182</v>
      </c>
      <c r="E305" s="6" t="s">
        <v>12</v>
      </c>
      <c r="F305" s="6" t="s">
        <v>13</v>
      </c>
      <c r="G305" s="6" t="s">
        <v>61</v>
      </c>
      <c r="H305" s="8" t="s">
        <v>779</v>
      </c>
      <c r="I305" s="9">
        <v>1.4837456E7</v>
      </c>
      <c r="J305" s="5" t="str">
        <f t="shared" ref="J305:K305" si="305">SUBSTITUTE(H305, ",", "")</f>
        <v>229</v>
      </c>
      <c r="K305" s="5" t="str">
        <f t="shared" si="305"/>
        <v>Rp14837456</v>
      </c>
      <c r="L305" s="5" t="str">
        <f t="shared" si="3"/>
        <v>14837456</v>
      </c>
    </row>
    <row r="306">
      <c r="A306" s="6" t="s">
        <v>780</v>
      </c>
      <c r="B306" s="7" t="str">
        <f>HYPERLINK("https://shopee.co.id/ElsheSkin-Smoothing-Serum-For-Acne-Skin-i.9035345.11008992557", "https://shopee.co.id/ElsheSkin-Smoothing-Serum-For-Acne-Skin-i.9035345.11008992557")</f>
        <v>https://shopee.co.id/ElsheSkin-Smoothing-Serum-For-Acne-Skin-i.9035345.11008992557</v>
      </c>
      <c r="C306" s="6" t="s">
        <v>135</v>
      </c>
      <c r="D306" s="6" t="s">
        <v>136</v>
      </c>
      <c r="E306" s="6" t="s">
        <v>12</v>
      </c>
      <c r="F306" s="6" t="s">
        <v>13</v>
      </c>
      <c r="G306" s="6" t="s">
        <v>80</v>
      </c>
      <c r="H306" s="8" t="s">
        <v>779</v>
      </c>
      <c r="I306" s="9">
        <v>1.52056E7</v>
      </c>
      <c r="J306" s="5" t="str">
        <f t="shared" ref="J306:K306" si="306">SUBSTITUTE(H306, ",", "")</f>
        <v>229</v>
      </c>
      <c r="K306" s="5" t="str">
        <f t="shared" si="306"/>
        <v>Rp15205600</v>
      </c>
      <c r="L306" s="5" t="str">
        <f t="shared" si="3"/>
        <v>15205600</v>
      </c>
    </row>
    <row r="307">
      <c r="A307" s="6" t="s">
        <v>781</v>
      </c>
      <c r="B307" s="7" t="str">
        <f>HYPERLINK("https://shopee.co.id/Noera-Bright-Glow-Serum-Serum-Wajah-Brightening-Glowing-Moisturizer-Anti-Aging-i.10339663.6790754978", "https://shopee.co.id/Noera-Bright-Glow-Serum-Serum-Wajah-Brightening-Glowing-Moisturizer-Anti-Aging-i.10339663.6790754978")</f>
        <v>https://shopee.co.id/Noera-Bright-Glow-Serum-Serum-Wajah-Brightening-Glowing-Moisturizer-Anti-Aging-i.10339663.6790754978</v>
      </c>
      <c r="C307" s="6" t="s">
        <v>517</v>
      </c>
      <c r="D307" s="6" t="s">
        <v>518</v>
      </c>
      <c r="E307" s="6" t="s">
        <v>12</v>
      </c>
      <c r="F307" s="6" t="s">
        <v>13</v>
      </c>
      <c r="G307" s="6" t="s">
        <v>370</v>
      </c>
      <c r="H307" s="8" t="s">
        <v>782</v>
      </c>
      <c r="I307" s="9">
        <v>3.762E7</v>
      </c>
      <c r="J307" s="5" t="str">
        <f t="shared" ref="J307:K307" si="307">SUBSTITUTE(H307, ",", "")</f>
        <v>228</v>
      </c>
      <c r="K307" s="5" t="str">
        <f t="shared" si="307"/>
        <v>Rp37620000</v>
      </c>
      <c r="L307" s="5" t="str">
        <f t="shared" si="3"/>
        <v>37620000</v>
      </c>
    </row>
    <row r="308">
      <c r="A308" s="6" t="s">
        <v>783</v>
      </c>
      <c r="B308" s="7" t="str">
        <f>HYPERLINK("https://shopee.co.id/Hanasui-Intense-Treatment-Serum-Bright-Up-i.129681299.3103573183", "https://shopee.co.id/Hanasui-Intense-Treatment-Serum-Bright-Up-i.129681299.3103573183")</f>
        <v>https://shopee.co.id/Hanasui-Intense-Treatment-Serum-Bright-Up-i.129681299.3103573183</v>
      </c>
      <c r="C308" s="6" t="s">
        <v>784</v>
      </c>
      <c r="D308" s="6" t="s">
        <v>785</v>
      </c>
      <c r="E308" s="6" t="s">
        <v>12</v>
      </c>
      <c r="F308" s="6" t="s">
        <v>13</v>
      </c>
      <c r="G308" s="6" t="s">
        <v>36</v>
      </c>
      <c r="H308" s="8" t="s">
        <v>786</v>
      </c>
      <c r="I308" s="9">
        <v>2.405085E7</v>
      </c>
      <c r="J308" s="5" t="str">
        <f t="shared" ref="J308:K308" si="308">SUBSTITUTE(H308, ",", "")</f>
        <v>224</v>
      </c>
      <c r="K308" s="5" t="str">
        <f t="shared" si="308"/>
        <v>Rp24050850</v>
      </c>
      <c r="L308" s="5" t="str">
        <f t="shared" si="3"/>
        <v>24050850</v>
      </c>
    </row>
    <row r="309">
      <c r="A309" s="6" t="s">
        <v>787</v>
      </c>
      <c r="B309" s="7" t="str">
        <f>HYPERLINK("https://shopee.co.id/Some-By-Mi-Galactomyces-Pure-Vitamin-C-Glow-Serum-i.455311481.11709811684", "https://shopee.co.id/Some-By-Mi-Galactomyces-Pure-Vitamin-C-Glow-Serum-i.455311481.11709811684")</f>
        <v>https://shopee.co.id/Some-By-Mi-Galactomyces-Pure-Vitamin-C-Glow-Serum-i.455311481.11709811684</v>
      </c>
      <c r="C309" s="6" t="s">
        <v>213</v>
      </c>
      <c r="D309" s="6" t="s">
        <v>214</v>
      </c>
      <c r="E309" s="6" t="s">
        <v>12</v>
      </c>
      <c r="F309" s="6" t="s">
        <v>13</v>
      </c>
      <c r="G309" s="6" t="s">
        <v>130</v>
      </c>
      <c r="H309" s="8" t="s">
        <v>788</v>
      </c>
      <c r="I309" s="9">
        <v>1.96398E7</v>
      </c>
      <c r="J309" s="5" t="str">
        <f t="shared" ref="J309:K309" si="309">SUBSTITUTE(H309, ",", "")</f>
        <v>223</v>
      </c>
      <c r="K309" s="5" t="str">
        <f t="shared" si="309"/>
        <v>Rp19639800</v>
      </c>
      <c r="L309" s="5" t="str">
        <f t="shared" si="3"/>
        <v>19639800</v>
      </c>
    </row>
    <row r="310">
      <c r="A310" s="6" t="s">
        <v>789</v>
      </c>
      <c r="B310" s="7" t="str">
        <f>HYPERLINK("https://shopee.co.id/Frudia-Blueberry-Hydrating-Serum-FREE-Frudia-Pouch-Garis-Vertikal-i.98124209.1610470956", "https://shopee.co.id/Frudia-Blueberry-Hydrating-Serum-FREE-Frudia-Pouch-Garis-Vertikal-i.98124209.1610470956")</f>
        <v>https://shopee.co.id/Frudia-Blueberry-Hydrating-Serum-FREE-Frudia-Pouch-Garis-Vertikal-i.98124209.1610470956</v>
      </c>
      <c r="C310" s="6" t="s">
        <v>790</v>
      </c>
      <c r="D310" s="6" t="s">
        <v>791</v>
      </c>
      <c r="E310" s="6" t="s">
        <v>12</v>
      </c>
      <c r="F310" s="6" t="s">
        <v>13</v>
      </c>
      <c r="G310" s="6" t="s">
        <v>85</v>
      </c>
      <c r="H310" s="8" t="s">
        <v>788</v>
      </c>
      <c r="I310" s="9">
        <v>3.50359E7</v>
      </c>
      <c r="J310" s="5" t="str">
        <f t="shared" ref="J310:K310" si="310">SUBSTITUTE(H310, ",", "")</f>
        <v>223</v>
      </c>
      <c r="K310" s="5" t="str">
        <f t="shared" si="310"/>
        <v>Rp35035900</v>
      </c>
      <c r="L310" s="5" t="str">
        <f t="shared" si="3"/>
        <v>35035900</v>
      </c>
    </row>
    <row r="311">
      <c r="A311" s="6" t="s">
        <v>792</v>
      </c>
      <c r="B311" s="7" t="str">
        <f>HYPERLINK("https://shopee.co.id/Natasha-by-dr-Fredi-Setyawan-Pure-Vit-C-Glow-Serum-i.40121814.9820413505", "https://shopee.co.id/Natasha-by-dr-Fredi-Setyawan-Pure-Vit-C-Glow-Serum-i.40121814.9820413505")</f>
        <v>https://shopee.co.id/Natasha-by-dr-Fredi-Setyawan-Pure-Vit-C-Glow-Serum-i.40121814.9820413505</v>
      </c>
      <c r="C311" s="6" t="s">
        <v>793</v>
      </c>
      <c r="D311" s="6" t="s">
        <v>794</v>
      </c>
      <c r="E311" s="6" t="s">
        <v>12</v>
      </c>
      <c r="F311" s="6" t="s">
        <v>13</v>
      </c>
      <c r="G311" s="6" t="s">
        <v>380</v>
      </c>
      <c r="H311" s="8" t="s">
        <v>788</v>
      </c>
      <c r="I311" s="9">
        <v>4.86771E7</v>
      </c>
      <c r="J311" s="5" t="str">
        <f t="shared" ref="J311:K311" si="311">SUBSTITUTE(H311, ",", "")</f>
        <v>223</v>
      </c>
      <c r="K311" s="5" t="str">
        <f t="shared" si="311"/>
        <v>Rp48677100</v>
      </c>
      <c r="L311" s="5" t="str">
        <f t="shared" si="3"/>
        <v>48677100</v>
      </c>
    </row>
    <row r="312">
      <c r="A312" s="6" t="s">
        <v>795</v>
      </c>
      <c r="B312" s="7" t="str">
        <f>HYPERLINK("https://shopee.co.id/Glowing-Serum-BPOM-Skinsena-i.180702724.6700623262", "https://shopee.co.id/Glowing-Serum-BPOM-Skinsena-i.180702724.6700623262")</f>
        <v>https://shopee.co.id/Glowing-Serum-BPOM-Skinsena-i.180702724.6700623262</v>
      </c>
      <c r="C312" s="6" t="s">
        <v>796</v>
      </c>
      <c r="D312" s="6" t="s">
        <v>797</v>
      </c>
      <c r="E312" s="6" t="s">
        <v>12</v>
      </c>
      <c r="F312" s="6" t="s">
        <v>13</v>
      </c>
      <c r="G312" s="6" t="s">
        <v>21</v>
      </c>
      <c r="H312" s="8" t="s">
        <v>798</v>
      </c>
      <c r="I312" s="9">
        <v>4.6125E7</v>
      </c>
      <c r="J312" s="5" t="str">
        <f t="shared" ref="J312:K312" si="312">SUBSTITUTE(H312, ",", "")</f>
        <v>222</v>
      </c>
      <c r="K312" s="5" t="str">
        <f t="shared" si="312"/>
        <v>Rp46125000</v>
      </c>
      <c r="L312" s="5" t="str">
        <f t="shared" si="3"/>
        <v>46125000</v>
      </c>
    </row>
    <row r="313">
      <c r="A313" s="6" t="s">
        <v>799</v>
      </c>
      <c r="B313" s="7" t="str">
        <f>HYPERLINK("https://shopee.co.id/Ponds-Age-Miracle-Face-Serum-30-ml-Ponds-Age-Miracle-Facial-Foam-100g-i.14318452.7358132679", "https://shopee.co.id/Ponds-Age-Miracle-Face-Serum-30-ml-Ponds-Age-Miracle-Facial-Foam-100g-i.14318452.7358132679")</f>
        <v>https://shopee.co.id/Ponds-Age-Miracle-Face-Serum-30-ml-Ponds-Age-Miracle-Facial-Foam-100g-i.14318452.7358132679</v>
      </c>
      <c r="C313" s="6" t="s">
        <v>325</v>
      </c>
      <c r="D313" s="6" t="s">
        <v>326</v>
      </c>
      <c r="E313" s="6" t="s">
        <v>12</v>
      </c>
      <c r="F313" s="6" t="s">
        <v>13</v>
      </c>
      <c r="G313" s="6" t="s">
        <v>296</v>
      </c>
      <c r="H313" s="8" t="s">
        <v>800</v>
      </c>
      <c r="I313" s="9">
        <v>3.5469E7</v>
      </c>
      <c r="J313" s="5" t="str">
        <f t="shared" ref="J313:K313" si="313">SUBSTITUTE(H313, ",", "")</f>
        <v>221</v>
      </c>
      <c r="K313" s="5" t="str">
        <f t="shared" si="313"/>
        <v>Rp35469000</v>
      </c>
      <c r="L313" s="5" t="str">
        <f t="shared" si="3"/>
        <v>35469000</v>
      </c>
    </row>
    <row r="314">
      <c r="A314" s="6" t="s">
        <v>801</v>
      </c>
      <c r="B314" s="7" t="str">
        <f>HYPERLINK("https://shopee.co.id/L-Oreal-Paris-Crystal-Micro-Essence-22-ml-x-2-pcs-i.62579622.3253737581", "https://shopee.co.id/L-Oreal-Paris-Crystal-Micro-Essence-22-ml-x-2-pcs-i.62579622.3253737581")</f>
        <v>https://shopee.co.id/L-Oreal-Paris-Crystal-Micro-Essence-22-ml-x-2-pcs-i.62579622.3253737581</v>
      </c>
      <c r="C314" s="6" t="s">
        <v>105</v>
      </c>
      <c r="D314" s="6" t="s">
        <v>106</v>
      </c>
      <c r="E314" s="6" t="s">
        <v>12</v>
      </c>
      <c r="F314" s="6" t="s">
        <v>13</v>
      </c>
      <c r="G314" s="6" t="s">
        <v>61</v>
      </c>
      <c r="H314" s="8" t="s">
        <v>800</v>
      </c>
      <c r="I314" s="9">
        <v>2.5458E7</v>
      </c>
      <c r="J314" s="5" t="str">
        <f t="shared" ref="J314:K314" si="314">SUBSTITUTE(H314, ",", "")</f>
        <v>221</v>
      </c>
      <c r="K314" s="5" t="str">
        <f t="shared" si="314"/>
        <v>Rp25458000</v>
      </c>
      <c r="L314" s="5" t="str">
        <f t="shared" si="3"/>
        <v>25458000</v>
      </c>
    </row>
    <row r="315">
      <c r="A315" s="6" t="s">
        <v>802</v>
      </c>
      <c r="B315" s="7" t="str">
        <f>HYPERLINK("https://shopee.co.id/Dear-Me-Beauty-Hyaluronic-Acid-Pomegranate-Extract-Face-Serum-12ml-i.45495764.8748397064", "https://shopee.co.id/Dear-Me-Beauty-Hyaluronic-Acid-Pomegranate-Extract-Face-Serum-12ml-i.45495764.8748397064")</f>
        <v>https://shopee.co.id/Dear-Me-Beauty-Hyaluronic-Acid-Pomegranate-Extract-Face-Serum-12ml-i.45495764.8748397064</v>
      </c>
      <c r="C315" s="6" t="s">
        <v>70</v>
      </c>
      <c r="D315" s="6" t="s">
        <v>71</v>
      </c>
      <c r="E315" s="6" t="s">
        <v>12</v>
      </c>
      <c r="F315" s="6" t="s">
        <v>13</v>
      </c>
      <c r="G315" s="6" t="s">
        <v>61</v>
      </c>
      <c r="H315" s="8" t="s">
        <v>800</v>
      </c>
      <c r="I315" s="9">
        <v>1.341032E7</v>
      </c>
      <c r="J315" s="5" t="str">
        <f t="shared" ref="J315:K315" si="315">SUBSTITUTE(H315, ",", "")</f>
        <v>221</v>
      </c>
      <c r="K315" s="5" t="str">
        <f t="shared" si="315"/>
        <v>Rp13410320</v>
      </c>
      <c r="L315" s="5" t="str">
        <f t="shared" si="3"/>
        <v>13410320</v>
      </c>
    </row>
    <row r="316">
      <c r="A316" s="6" t="s">
        <v>803</v>
      </c>
      <c r="B316" s="7" t="str">
        <f>HYPERLINK("https://shopee.co.id/The-Body-Shop-Tea-Tree-Daily-Solution-Serum-50ml-i.28053737.383051039", "https://shopee.co.id/The-Body-Shop-Tea-Tree-Daily-Solution-Serum-50ml-i.28053737.383051039")</f>
        <v>https://shopee.co.id/The-Body-Shop-Tea-Tree-Daily-Solution-Serum-50ml-i.28053737.383051039</v>
      </c>
      <c r="C316" s="6" t="s">
        <v>221</v>
      </c>
      <c r="D316" s="6" t="s">
        <v>222</v>
      </c>
      <c r="E316" s="6" t="s">
        <v>12</v>
      </c>
      <c r="F316" s="6" t="s">
        <v>13</v>
      </c>
      <c r="G316" s="6" t="s">
        <v>80</v>
      </c>
      <c r="H316" s="8" t="s">
        <v>804</v>
      </c>
      <c r="I316" s="9">
        <v>4.90241E7</v>
      </c>
      <c r="J316" s="5" t="str">
        <f t="shared" ref="J316:K316" si="316">SUBSTITUTE(H316, ",", "")</f>
        <v>220</v>
      </c>
      <c r="K316" s="5" t="str">
        <f t="shared" si="316"/>
        <v>Rp49024100</v>
      </c>
      <c r="L316" s="5" t="str">
        <f t="shared" si="3"/>
        <v>49024100</v>
      </c>
    </row>
    <row r="317">
      <c r="A317" s="6" t="s">
        <v>805</v>
      </c>
      <c r="B317" s="7" t="str">
        <f>HYPERLINK("https://shopee.co.id/AVOSKIN-RETINOL-AMPOULE-30ml-i.68111.6136656122", "https://shopee.co.id/AVOSKIN-RETINOL-AMPOULE-30ml-i.68111.6136656122")</f>
        <v>https://shopee.co.id/AVOSKIN-RETINOL-AMPOULE-30ml-i.68111.6136656122</v>
      </c>
      <c r="C317" s="6" t="s">
        <v>83</v>
      </c>
      <c r="D317" s="6" t="s">
        <v>441</v>
      </c>
      <c r="E317" s="6" t="s">
        <v>12</v>
      </c>
      <c r="F317" s="6" t="s">
        <v>13</v>
      </c>
      <c r="G317" s="6" t="s">
        <v>130</v>
      </c>
      <c r="H317" s="8" t="s">
        <v>804</v>
      </c>
      <c r="I317" s="9">
        <v>1.958E7</v>
      </c>
      <c r="J317" s="5" t="str">
        <f t="shared" ref="J317:K317" si="317">SUBSTITUTE(H317, ",", "")</f>
        <v>220</v>
      </c>
      <c r="K317" s="5" t="str">
        <f t="shared" si="317"/>
        <v>Rp19580000</v>
      </c>
      <c r="L317" s="5" t="str">
        <f t="shared" si="3"/>
        <v>19580000</v>
      </c>
    </row>
    <row r="318">
      <c r="A318" s="6" t="s">
        <v>806</v>
      </c>
      <c r="B318" s="7" t="str">
        <f>HYPERLINK("https://shopee.co.id/Mineral-Botanica-Hyaluronic-Acid-Serum-with-Kakadu-Plum-Fruit-Extract--i.124549994.9827217847", "https://shopee.co.id/Mineral-Botanica-Hyaluronic-Acid-Serum-with-Kakadu-Plum-Fruit-Extract--i.124549994.9827217847")</f>
        <v>https://shopee.co.id/Mineral-Botanica-Hyaluronic-Acid-Serum-with-Kakadu-Plum-Fruit-Extract--i.124549994.9827217847</v>
      </c>
      <c r="C318" s="6" t="s">
        <v>807</v>
      </c>
      <c r="D318" s="6" t="s">
        <v>808</v>
      </c>
      <c r="E318" s="6" t="s">
        <v>12</v>
      </c>
      <c r="F318" s="6" t="s">
        <v>13</v>
      </c>
      <c r="G318" s="6" t="s">
        <v>80</v>
      </c>
      <c r="H318" s="8" t="s">
        <v>809</v>
      </c>
      <c r="I318" s="9">
        <v>9329190.0</v>
      </c>
      <c r="J318" s="5" t="str">
        <f t="shared" ref="J318:K318" si="318">SUBSTITUTE(H318, ",", "")</f>
        <v>219</v>
      </c>
      <c r="K318" s="5" t="str">
        <f t="shared" si="318"/>
        <v>Rp9329190</v>
      </c>
      <c r="L318" s="5" t="str">
        <f t="shared" si="3"/>
        <v>9329190</v>
      </c>
    </row>
    <row r="319">
      <c r="A319" s="6" t="s">
        <v>810</v>
      </c>
      <c r="B319" s="7" t="str">
        <f>HYPERLINK("https://shopee.co.id/Dear-Me-Beauty-Paket-Serum-Glowing-12-ml-Retinol-Cica-i.45495764.8386274370", "https://shopee.co.id/Dear-Me-Beauty-Paket-Serum-Glowing-12-ml-Retinol-Cica-i.45495764.8386274370")</f>
        <v>https://shopee.co.id/Dear-Me-Beauty-Paket-Serum-Glowing-12-ml-Retinol-Cica-i.45495764.8386274370</v>
      </c>
      <c r="C319" s="6" t="s">
        <v>70</v>
      </c>
      <c r="D319" s="6" t="s">
        <v>71</v>
      </c>
      <c r="E319" s="6" t="s">
        <v>12</v>
      </c>
      <c r="F319" s="6" t="s">
        <v>13</v>
      </c>
      <c r="G319" s="6" t="s">
        <v>61</v>
      </c>
      <c r="H319" s="8" t="s">
        <v>809</v>
      </c>
      <c r="I319" s="9">
        <v>4128150.0</v>
      </c>
      <c r="J319" s="5" t="str">
        <f t="shared" ref="J319:K319" si="319">SUBSTITUTE(H319, ",", "")</f>
        <v>219</v>
      </c>
      <c r="K319" s="5" t="str">
        <f t="shared" si="319"/>
        <v>Rp4128150</v>
      </c>
      <c r="L319" s="5" t="str">
        <f t="shared" si="3"/>
        <v>4128150</v>
      </c>
    </row>
    <row r="320">
      <c r="A320" s="6" t="s">
        <v>811</v>
      </c>
      <c r="B320" s="7" t="str">
        <f>HYPERLINK("https://shopee.co.id/Everwhite-Granactive-Retinoid-Multi-action-Serum-i.85451896.9218986920", "https://shopee.co.id/Everwhite-Granactive-Retinoid-Multi-action-Serum-i.85451896.9218986920")</f>
        <v>https://shopee.co.id/Everwhite-Granactive-Retinoid-Multi-action-Serum-i.85451896.9218986920</v>
      </c>
      <c r="C320" s="6" t="s">
        <v>157</v>
      </c>
      <c r="D320" s="6" t="s">
        <v>158</v>
      </c>
      <c r="E320" s="6" t="s">
        <v>12</v>
      </c>
      <c r="F320" s="6" t="s">
        <v>13</v>
      </c>
      <c r="G320" s="6" t="s">
        <v>61</v>
      </c>
      <c r="H320" s="8" t="s">
        <v>812</v>
      </c>
      <c r="I320" s="9">
        <v>3.7608E7</v>
      </c>
      <c r="J320" s="5" t="str">
        <f t="shared" ref="J320:K320" si="320">SUBSTITUTE(H320, ",", "")</f>
        <v>218</v>
      </c>
      <c r="K320" s="5" t="str">
        <f t="shared" si="320"/>
        <v>Rp37608000</v>
      </c>
      <c r="L320" s="5" t="str">
        <f t="shared" si="3"/>
        <v>37608000</v>
      </c>
    </row>
    <row r="321">
      <c r="A321" s="6" t="s">
        <v>813</v>
      </c>
      <c r="B321" s="7" t="str">
        <f>HYPERLINK("https://shopee.co.id/-innisfree-NEW-Green-Tea-Seed-Serum-Deluxe-Size-30ml-i.61504589.4485134601", "https://shopee.co.id/-innisfree-NEW-Green-Tea-Seed-Serum-Deluxe-Size-30ml-i.61504589.4485134601")</f>
        <v>https://shopee.co.id/-innisfree-NEW-Green-Tea-Seed-Serum-Deluxe-Size-30ml-i.61504589.4485134601</v>
      </c>
      <c r="C321" s="6" t="s">
        <v>294</v>
      </c>
      <c r="D321" s="6" t="s">
        <v>295</v>
      </c>
      <c r="E321" s="6" t="s">
        <v>12</v>
      </c>
      <c r="F321" s="6" t="s">
        <v>13</v>
      </c>
      <c r="G321" s="6" t="s">
        <v>296</v>
      </c>
      <c r="H321" s="8" t="s">
        <v>814</v>
      </c>
      <c r="I321" s="9">
        <v>4.10031E7</v>
      </c>
      <c r="J321" s="5" t="str">
        <f t="shared" ref="J321:K321" si="321">SUBSTITUTE(H321, ",", "")</f>
        <v>217</v>
      </c>
      <c r="K321" s="5" t="str">
        <f t="shared" si="321"/>
        <v>Rp41003100</v>
      </c>
      <c r="L321" s="5" t="str">
        <f t="shared" si="3"/>
        <v>41003100</v>
      </c>
    </row>
    <row r="322">
      <c r="A322" s="6" t="s">
        <v>815</v>
      </c>
      <c r="B322" s="7" t="str">
        <f>HYPERLINK("https://shopee.co.id/Serum-Mencerahkan-LUNICA-Bright-Bloom-Serum-i.298959895.6463806967", "https://shopee.co.id/Serum-Mencerahkan-LUNICA-Bright-Bloom-Serum-i.298959895.6463806967")</f>
        <v>https://shopee.co.id/Serum-Mencerahkan-LUNICA-Bright-Bloom-Serum-i.298959895.6463806967</v>
      </c>
      <c r="C322" s="6" t="s">
        <v>510</v>
      </c>
      <c r="D322" s="6" t="s">
        <v>511</v>
      </c>
      <c r="E322" s="6" t="s">
        <v>12</v>
      </c>
      <c r="F322" s="6" t="s">
        <v>13</v>
      </c>
      <c r="G322" s="6" t="s">
        <v>36</v>
      </c>
      <c r="H322" s="8" t="s">
        <v>814</v>
      </c>
      <c r="I322" s="9">
        <v>2.163E7</v>
      </c>
      <c r="J322" s="5" t="str">
        <f t="shared" ref="J322:K322" si="322">SUBSTITUTE(H322, ",", "")</f>
        <v>217</v>
      </c>
      <c r="K322" s="5" t="str">
        <f t="shared" si="322"/>
        <v>Rp21630000</v>
      </c>
      <c r="L322" s="5" t="str">
        <f t="shared" si="3"/>
        <v>21630000</v>
      </c>
    </row>
    <row r="323">
      <c r="A323" s="6" t="s">
        <v>816</v>
      </c>
      <c r="B323" s="7" t="str">
        <f>HYPERLINK("https://shopee.co.id/The-Body-Shop-New-Drops-Of-Youth-Youth-Concentrate-Serum-50ml-i.28053737.5717597581", "https://shopee.co.id/The-Body-Shop-New-Drops-Of-Youth-Youth-Concentrate-Serum-50ml-i.28053737.5717597581")</f>
        <v>https://shopee.co.id/The-Body-Shop-New-Drops-Of-Youth-Youth-Concentrate-Serum-50ml-i.28053737.5717597581</v>
      </c>
      <c r="C323" s="6" t="s">
        <v>221</v>
      </c>
      <c r="D323" s="6" t="s">
        <v>222</v>
      </c>
      <c r="E323" s="6" t="s">
        <v>12</v>
      </c>
      <c r="F323" s="6" t="s">
        <v>13</v>
      </c>
      <c r="G323" s="6" t="s">
        <v>80</v>
      </c>
      <c r="H323" s="8" t="s">
        <v>814</v>
      </c>
      <c r="I323" s="9">
        <v>1.4105E7</v>
      </c>
      <c r="J323" s="5" t="str">
        <f t="shared" ref="J323:K323" si="323">SUBSTITUTE(H323, ",", "")</f>
        <v>217</v>
      </c>
      <c r="K323" s="5" t="str">
        <f t="shared" si="323"/>
        <v>Rp14105000</v>
      </c>
      <c r="L323" s="5" t="str">
        <f t="shared" si="3"/>
        <v>14105000</v>
      </c>
    </row>
    <row r="324">
      <c r="A324" s="6" t="s">
        <v>817</v>
      </c>
      <c r="B324" s="7" t="str">
        <f>HYPERLINK("https://shopee.co.id/Purivera-Blue-Grapeseed-Serum-Oil-Anti-Acne-Jerawat-Bakuchiol-As-Salicylic-Acid-2-Alternative-i.43724442.3005575313", "https://shopee.co.id/Purivera-Blue-Grapeseed-Serum-Oil-Anti-Acne-Jerawat-Bakuchiol-As-Salicylic-Acid-2-Alternative-i.43724442.3005575313")</f>
        <v>https://shopee.co.id/Purivera-Blue-Grapeseed-Serum-Oil-Anti-Acne-Jerawat-Bakuchiol-As-Salicylic-Acid-2-Alternative-i.43724442.3005575313</v>
      </c>
      <c r="C324" s="6" t="s">
        <v>428</v>
      </c>
      <c r="D324" s="6" t="s">
        <v>429</v>
      </c>
      <c r="E324" s="6" t="s">
        <v>12</v>
      </c>
      <c r="F324" s="6" t="s">
        <v>13</v>
      </c>
      <c r="G324" s="6" t="s">
        <v>61</v>
      </c>
      <c r="H324" s="8" t="s">
        <v>818</v>
      </c>
      <c r="I324" s="9">
        <v>2.85972E7</v>
      </c>
      <c r="J324" s="5" t="str">
        <f t="shared" ref="J324:K324" si="324">SUBSTITUTE(H324, ",", "")</f>
        <v>216</v>
      </c>
      <c r="K324" s="5" t="str">
        <f t="shared" si="324"/>
        <v>Rp28597200</v>
      </c>
      <c r="L324" s="5" t="str">
        <f t="shared" si="3"/>
        <v>28597200</v>
      </c>
    </row>
    <row r="325">
      <c r="A325" s="6" t="s">
        <v>819</v>
      </c>
      <c r="B325" s="7" t="str">
        <f>HYPERLINK("https://shopee.co.id/Hanasui-Vitamin-C-Collagen-Serum-New-Look-New-Formula--i.129681299.2334973182", "https://shopee.co.id/Hanasui-Vitamin-C-Collagen-Serum-New-Look-New-Formula--i.129681299.2334973182")</f>
        <v>https://shopee.co.id/Hanasui-Vitamin-C-Collagen-Serum-New-Look-New-Formula--i.129681299.2334973182</v>
      </c>
      <c r="C325" s="6" t="s">
        <v>784</v>
      </c>
      <c r="D325" s="6" t="s">
        <v>785</v>
      </c>
      <c r="E325" s="6" t="s">
        <v>12</v>
      </c>
      <c r="F325" s="6" t="s">
        <v>13</v>
      </c>
      <c r="G325" s="6" t="s">
        <v>36</v>
      </c>
      <c r="H325" s="8" t="s">
        <v>820</v>
      </c>
      <c r="I325" s="9">
        <v>1.6195E7</v>
      </c>
      <c r="J325" s="5" t="str">
        <f t="shared" ref="J325:K325" si="325">SUBSTITUTE(H325, ",", "")</f>
        <v>213</v>
      </c>
      <c r="K325" s="5" t="str">
        <f t="shared" si="325"/>
        <v>Rp16195000</v>
      </c>
      <c r="L325" s="5" t="str">
        <f t="shared" si="3"/>
        <v>16195000</v>
      </c>
    </row>
    <row r="326">
      <c r="A326" s="6" t="s">
        <v>821</v>
      </c>
      <c r="B326" s="7" t="str">
        <f>HYPERLINK("https://shopee.co.id/Dear-Me-Beauty-10-Cica-Watermelon-Extract-Face-Serum-32ml-i.45495764.9748394545", "https://shopee.co.id/Dear-Me-Beauty-10-Cica-Watermelon-Extract-Face-Serum-32ml-i.45495764.9748394545")</f>
        <v>https://shopee.co.id/Dear-Me-Beauty-10-Cica-Watermelon-Extract-Face-Serum-32ml-i.45495764.9748394545</v>
      </c>
      <c r="C326" s="6" t="s">
        <v>70</v>
      </c>
      <c r="D326" s="6" t="s">
        <v>71</v>
      </c>
      <c r="E326" s="6" t="s">
        <v>12</v>
      </c>
      <c r="F326" s="6" t="s">
        <v>13</v>
      </c>
      <c r="G326" s="6" t="s">
        <v>61</v>
      </c>
      <c r="H326" s="8" t="s">
        <v>822</v>
      </c>
      <c r="I326" s="9">
        <v>2.4486E7</v>
      </c>
      <c r="J326" s="5" t="str">
        <f t="shared" ref="J326:K326" si="326">SUBSTITUTE(H326, ",", "")</f>
        <v>212</v>
      </c>
      <c r="K326" s="5" t="str">
        <f t="shared" si="326"/>
        <v>Rp24486000</v>
      </c>
      <c r="L326" s="5" t="str">
        <f t="shared" si="3"/>
        <v>24486000</v>
      </c>
    </row>
    <row r="327">
      <c r="A327" s="6" t="s">
        <v>760</v>
      </c>
      <c r="B327" s="7" t="str">
        <f>HYPERLINK("https://shopee.co.id/HAYEJIN-Blessing-of-Sprout-Enriched-Serum-i.318720131.6256312191", "https://shopee.co.id/HAYEJIN-Blessing-of-Sprout-Enriched-Serum-i.318720131.6256312191")</f>
        <v>https://shopee.co.id/HAYEJIN-Blessing-of-Sprout-Enriched-Serum-i.318720131.6256312191</v>
      </c>
      <c r="C327" s="6" t="s">
        <v>761</v>
      </c>
      <c r="D327" s="6" t="s">
        <v>823</v>
      </c>
      <c r="E327" s="6" t="s">
        <v>12</v>
      </c>
      <c r="F327" s="6" t="s">
        <v>13</v>
      </c>
      <c r="G327" s="6" t="s">
        <v>98</v>
      </c>
      <c r="H327" s="8" t="s">
        <v>824</v>
      </c>
      <c r="I327" s="9">
        <v>1.59139E7</v>
      </c>
      <c r="J327" s="5" t="str">
        <f t="shared" ref="J327:K327" si="327">SUBSTITUTE(H327, ",", "")</f>
        <v>211</v>
      </c>
      <c r="K327" s="5" t="str">
        <f t="shared" si="327"/>
        <v>Rp15913900</v>
      </c>
      <c r="L327" s="5" t="str">
        <f t="shared" si="3"/>
        <v>15913900</v>
      </c>
    </row>
    <row r="328">
      <c r="A328" s="6" t="s">
        <v>825</v>
      </c>
      <c r="B328" s="7" t="str">
        <f>HYPERLINK("https://shopee.co.id/L-Oreal-Paris-Revitalift-Crystal-Micro-Essence-Water-Serum-Skin-Care-130-ml-LIMITED-EDITION-i.62579622.3236617905", "https://shopee.co.id/L-Oreal-Paris-Revitalift-Crystal-Micro-Essence-Water-Serum-Skin-Care-130-ml-LIMITED-EDITION-i.62579622.3236617905")</f>
        <v>https://shopee.co.id/L-Oreal-Paris-Revitalift-Crystal-Micro-Essence-Water-Serum-Skin-Care-130-ml-LIMITED-EDITION-i.62579622.3236617905</v>
      </c>
      <c r="C328" s="6" t="s">
        <v>105</v>
      </c>
      <c r="D328" s="6" t="s">
        <v>106</v>
      </c>
      <c r="E328" s="6" t="s">
        <v>12</v>
      </c>
      <c r="F328" s="6" t="s">
        <v>13</v>
      </c>
      <c r="G328" s="6" t="s">
        <v>61</v>
      </c>
      <c r="H328" s="8" t="s">
        <v>826</v>
      </c>
      <c r="I328" s="9">
        <v>3.83069E7</v>
      </c>
      <c r="J328" s="5" t="str">
        <f t="shared" ref="J328:K328" si="328">SUBSTITUTE(H328, ",", "")</f>
        <v>210</v>
      </c>
      <c r="K328" s="5" t="str">
        <f t="shared" si="328"/>
        <v>Rp38306900</v>
      </c>
      <c r="L328" s="5" t="str">
        <f t="shared" si="3"/>
        <v>38306900</v>
      </c>
    </row>
    <row r="329">
      <c r="A329" s="6" t="s">
        <v>827</v>
      </c>
      <c r="B329" s="7" t="str">
        <f>HYPERLINK("https://shopee.co.id/Garnier-Light-Complete-Daily-Treatment-Skin-Care-Rangkaian-Lengkap-Untuk-Kulit-Cerah-Cepat--i.62583853.6059431253", "https://shopee.co.id/Garnier-Light-Complete-Daily-Treatment-Skin-Care-Rangkaian-Lengkap-Untuk-Kulit-Cerah-Cepat--i.62583853.6059431253")</f>
        <v>https://shopee.co.id/Garnier-Light-Complete-Daily-Treatment-Skin-Care-Rangkaian-Lengkap-Untuk-Kulit-Cerah-Cepat--i.62583853.6059431253</v>
      </c>
      <c r="C329" s="6" t="s">
        <v>74</v>
      </c>
      <c r="D329" s="6" t="s">
        <v>75</v>
      </c>
      <c r="E329" s="6" t="s">
        <v>12</v>
      </c>
      <c r="F329" s="6" t="s">
        <v>13</v>
      </c>
      <c r="G329" s="6" t="s">
        <v>61</v>
      </c>
      <c r="H329" s="8" t="s">
        <v>828</v>
      </c>
      <c r="I329" s="9">
        <v>2.111548E7</v>
      </c>
      <c r="J329" s="5" t="str">
        <f t="shared" ref="J329:K329" si="329">SUBSTITUTE(H329, ",", "")</f>
        <v>209</v>
      </c>
      <c r="K329" s="5" t="str">
        <f t="shared" si="329"/>
        <v>Rp21115480</v>
      </c>
      <c r="L329" s="5" t="str">
        <f t="shared" si="3"/>
        <v>21115480</v>
      </c>
    </row>
    <row r="330">
      <c r="A330" s="6" t="s">
        <v>829</v>
      </c>
      <c r="B330" s="7" t="str">
        <f>HYPERLINK("https://shopee.co.id/Skin-Aqua-Tone-Up-Essence-i.78713320.3333104262", "https://shopee.co.id/Skin-Aqua-Tone-Up-Essence-i.78713320.3333104262")</f>
        <v>https://shopee.co.id/Skin-Aqua-Tone-Up-Essence-i.78713320.3333104262</v>
      </c>
      <c r="C330" s="6" t="s">
        <v>830</v>
      </c>
      <c r="D330" s="6" t="s">
        <v>831</v>
      </c>
      <c r="E330" s="6" t="s">
        <v>12</v>
      </c>
      <c r="F330" s="6" t="s">
        <v>13</v>
      </c>
      <c r="G330" s="6" t="s">
        <v>61</v>
      </c>
      <c r="H330" s="8" t="s">
        <v>832</v>
      </c>
      <c r="I330" s="9">
        <v>6.5683E7</v>
      </c>
      <c r="J330" s="5" t="str">
        <f t="shared" ref="J330:K330" si="330">SUBSTITUTE(H330, ",", "")</f>
        <v>207</v>
      </c>
      <c r="K330" s="5" t="str">
        <f t="shared" si="330"/>
        <v>Rp65683000</v>
      </c>
      <c r="L330" s="5" t="str">
        <f t="shared" si="3"/>
        <v>65683000</v>
      </c>
    </row>
    <row r="331">
      <c r="A331" s="6" t="s">
        <v>833</v>
      </c>
      <c r="B331" s="7" t="str">
        <f>HYPERLINK("https://shopee.co.id/-Buy-1-Get-1-Bio-Essence-Bio-Gold-Golden-Ratio-Double-Serum-i.63822287.4066626866", "https://shopee.co.id/-Buy-1-Get-1-Bio-Essence-Bio-Gold-Golden-Ratio-Double-Serum-i.63822287.4066626866")</f>
        <v>https://shopee.co.id/-Buy-1-Get-1-Bio-Essence-Bio-Gold-Golden-Ratio-Double-Serum-i.63822287.4066626866</v>
      </c>
      <c r="C331" s="6" t="s">
        <v>834</v>
      </c>
      <c r="D331" s="6" t="s">
        <v>835</v>
      </c>
      <c r="E331" s="6" t="s">
        <v>12</v>
      </c>
      <c r="F331" s="6" t="s">
        <v>13</v>
      </c>
      <c r="G331" s="6" t="s">
        <v>61</v>
      </c>
      <c r="H331" s="8" t="s">
        <v>836</v>
      </c>
      <c r="I331" s="9">
        <v>8034000.0</v>
      </c>
      <c r="J331" s="5" t="str">
        <f t="shared" ref="J331:K331" si="331">SUBSTITUTE(H331, ",", "")</f>
        <v>206</v>
      </c>
      <c r="K331" s="5" t="str">
        <f t="shared" si="331"/>
        <v>Rp8034000</v>
      </c>
      <c r="L331" s="5" t="str">
        <f t="shared" si="3"/>
        <v>8034000</v>
      </c>
    </row>
    <row r="332">
      <c r="A332" s="6" t="s">
        <v>837</v>
      </c>
      <c r="B332" s="7" t="str">
        <f>HYPERLINK("https://shopee.co.id/Wardah-Renew-You-Treatment-Essence-50-ml-Hydrating-Toner-Anti-Aging-dengan-Apple-PhytoCell-Extract-i.59763733.9710893265", "https://shopee.co.id/Wardah-Renew-You-Treatment-Essence-50-ml-Hydrating-Toner-Anti-Aging-dengan-Apple-PhytoCell-Extract-i.59763733.9710893265")</f>
        <v>https://shopee.co.id/Wardah-Renew-You-Treatment-Essence-50-ml-Hydrating-Toner-Anti-Aging-dengan-Apple-PhytoCell-Extract-i.59763733.9710893265</v>
      </c>
      <c r="C332" s="6" t="s">
        <v>169</v>
      </c>
      <c r="D332" s="6" t="s">
        <v>170</v>
      </c>
      <c r="E332" s="6" t="s">
        <v>12</v>
      </c>
      <c r="F332" s="6" t="s">
        <v>13</v>
      </c>
      <c r="G332" s="6" t="s">
        <v>98</v>
      </c>
      <c r="H332" s="8" t="s">
        <v>836</v>
      </c>
      <c r="I332" s="9">
        <v>8572278.0</v>
      </c>
      <c r="J332" s="5" t="str">
        <f t="shared" ref="J332:K332" si="332">SUBSTITUTE(H332, ",", "")</f>
        <v>206</v>
      </c>
      <c r="K332" s="5" t="str">
        <f t="shared" si="332"/>
        <v>Rp8572278</v>
      </c>
      <c r="L332" s="5" t="str">
        <f t="shared" si="3"/>
        <v>8572278</v>
      </c>
    </row>
    <row r="333">
      <c r="A333" s="6" t="s">
        <v>838</v>
      </c>
      <c r="B333" s="7" t="str">
        <f>HYPERLINK("https://shopee.co.id/SNP-PREP-Cicaronic-Toning-Essence-i.88399725.7154337674", "https://shopee.co.id/SNP-PREP-Cicaronic-Toning-Essence-i.88399725.7154337674")</f>
        <v>https://shopee.co.id/SNP-PREP-Cicaronic-Toning-Essence-i.88399725.7154337674</v>
      </c>
      <c r="C333" s="6" t="s">
        <v>565</v>
      </c>
      <c r="D333" s="6" t="s">
        <v>566</v>
      </c>
      <c r="E333" s="6" t="s">
        <v>12</v>
      </c>
      <c r="F333" s="6" t="s">
        <v>13</v>
      </c>
      <c r="G333" s="6" t="s">
        <v>98</v>
      </c>
      <c r="H333" s="8" t="s">
        <v>836</v>
      </c>
      <c r="I333" s="9">
        <v>1.96218E7</v>
      </c>
      <c r="J333" s="5" t="str">
        <f t="shared" ref="J333:K333" si="333">SUBSTITUTE(H333, ",", "")</f>
        <v>206</v>
      </c>
      <c r="K333" s="5" t="str">
        <f t="shared" si="333"/>
        <v>Rp19621800</v>
      </c>
      <c r="L333" s="5" t="str">
        <f t="shared" si="3"/>
        <v>19621800</v>
      </c>
    </row>
    <row r="334">
      <c r="A334" s="6" t="s">
        <v>839</v>
      </c>
      <c r="B334" s="7" t="str">
        <f>HYPERLINK("https://shopee.co.id/THE-BATH-BOX-Peptide-Probiotic-anti-aging-wrinkle-firm-skin--i.52581685.3435452371", "https://shopee.co.id/THE-BATH-BOX-Peptide-Probiotic-anti-aging-wrinkle-firm-skin--i.52581685.3435452371")</f>
        <v>https://shopee.co.id/THE-BATH-BOX-Peptide-Probiotic-anti-aging-wrinkle-firm-skin--i.52581685.3435452371</v>
      </c>
      <c r="C334" s="6" t="s">
        <v>613</v>
      </c>
      <c r="D334" s="6" t="s">
        <v>614</v>
      </c>
      <c r="E334" s="6" t="s">
        <v>12</v>
      </c>
      <c r="F334" s="6" t="s">
        <v>13</v>
      </c>
      <c r="G334" s="6" t="s">
        <v>61</v>
      </c>
      <c r="H334" s="8" t="s">
        <v>840</v>
      </c>
      <c r="I334" s="9">
        <v>4.5012E7</v>
      </c>
      <c r="J334" s="5" t="str">
        <f t="shared" ref="J334:K334" si="334">SUBSTITUTE(H334, ",", "")</f>
        <v>205</v>
      </c>
      <c r="K334" s="5" t="str">
        <f t="shared" si="334"/>
        <v>Rp45012000</v>
      </c>
      <c r="L334" s="5" t="str">
        <f t="shared" si="3"/>
        <v>45012000</v>
      </c>
    </row>
    <row r="335">
      <c r="A335" s="6" t="s">
        <v>841</v>
      </c>
      <c r="B335" s="7" t="str">
        <f>HYPERLINK("https://shopee.co.id/Sulwhasoo-Snowise-Brightening-Serum-Set-i.274949344.3584963192", "https://shopee.co.id/Sulwhasoo-Snowise-Brightening-Serum-Set-i.274949344.3584963192")</f>
        <v>https://shopee.co.id/Sulwhasoo-Snowise-Brightening-Serum-Set-i.274949344.3584963192</v>
      </c>
      <c r="C335" s="6" t="s">
        <v>282</v>
      </c>
      <c r="D335" s="6" t="s">
        <v>283</v>
      </c>
      <c r="E335" s="6" t="s">
        <v>12</v>
      </c>
      <c r="F335" s="6" t="s">
        <v>13</v>
      </c>
      <c r="G335" s="6" t="s">
        <v>61</v>
      </c>
      <c r="H335" s="8" t="s">
        <v>840</v>
      </c>
      <c r="I335" s="9">
        <v>1.19925E7</v>
      </c>
      <c r="J335" s="5" t="str">
        <f t="shared" ref="J335:K335" si="335">SUBSTITUTE(H335, ",", "")</f>
        <v>205</v>
      </c>
      <c r="K335" s="5" t="str">
        <f t="shared" si="335"/>
        <v>Rp11992500</v>
      </c>
      <c r="L335" s="5" t="str">
        <f t="shared" si="3"/>
        <v>11992500</v>
      </c>
    </row>
    <row r="336">
      <c r="A336" s="6" t="s">
        <v>842</v>
      </c>
      <c r="B336" s="7" t="str">
        <f>HYPERLINK("https://shopee.co.id/L-Oreal-Paris-Revitalift-Anti-Wrinkle-Set-Serum-30-ml-Day-Cream-50-ml-i.62579622.4338186539", "https://shopee.co.id/L-Oreal-Paris-Revitalift-Anti-Wrinkle-Set-Serum-30-ml-Day-Cream-50-ml-i.62579622.4338186539")</f>
        <v>https://shopee.co.id/L-Oreal-Paris-Revitalift-Anti-Wrinkle-Set-Serum-30-ml-Day-Cream-50-ml-i.62579622.4338186539</v>
      </c>
      <c r="C336" s="6" t="s">
        <v>105</v>
      </c>
      <c r="D336" s="6" t="s">
        <v>106</v>
      </c>
      <c r="E336" s="6" t="s">
        <v>12</v>
      </c>
      <c r="F336" s="6" t="s">
        <v>13</v>
      </c>
      <c r="G336" s="6" t="s">
        <v>61</v>
      </c>
      <c r="H336" s="8" t="s">
        <v>843</v>
      </c>
      <c r="I336" s="9">
        <v>1.08E7</v>
      </c>
      <c r="J336" s="5" t="str">
        <f t="shared" ref="J336:K336" si="336">SUBSTITUTE(H336, ",", "")</f>
        <v>200</v>
      </c>
      <c r="K336" s="5" t="str">
        <f t="shared" si="336"/>
        <v>Rp10800000</v>
      </c>
      <c r="L336" s="5" t="str">
        <f t="shared" si="3"/>
        <v>10800000</v>
      </c>
    </row>
    <row r="337">
      <c r="A337" s="6" t="s">
        <v>844</v>
      </c>
      <c r="B337" s="7" t="str">
        <f>HYPERLINK("https://shopee.co.id/Benton-Snail-Bee-Ultimate-Serum-35ml-i.180415888.6903962904", "https://shopee.co.id/Benton-Snail-Bee-Ultimate-Serum-35ml-i.180415888.6903962904")</f>
        <v>https://shopee.co.id/Benton-Snail-Bee-Ultimate-Serum-35ml-i.180415888.6903962904</v>
      </c>
      <c r="C337" s="6" t="s">
        <v>456</v>
      </c>
      <c r="D337" s="6" t="s">
        <v>457</v>
      </c>
      <c r="E337" s="6" t="s">
        <v>12</v>
      </c>
      <c r="F337" s="6" t="s">
        <v>13</v>
      </c>
      <c r="G337" s="6" t="s">
        <v>80</v>
      </c>
      <c r="H337" s="8" t="s">
        <v>845</v>
      </c>
      <c r="I337" s="9">
        <v>1.54682E7</v>
      </c>
      <c r="J337" s="5" t="str">
        <f t="shared" ref="J337:K337" si="337">SUBSTITUTE(H337, ",", "")</f>
        <v>199</v>
      </c>
      <c r="K337" s="5" t="str">
        <f t="shared" si="337"/>
        <v>Rp15468200</v>
      </c>
      <c r="L337" s="5" t="str">
        <f t="shared" si="3"/>
        <v>15468200</v>
      </c>
    </row>
    <row r="338">
      <c r="A338" s="6" t="s">
        <v>846</v>
      </c>
      <c r="B338" s="7" t="str">
        <f>HYPERLINK("https://shopee.co.id/Airnderm-Aesthetic-Anti-Acne-Serum-by-AIRIN-BEAUTY--i.112372548.2791648220", "https://shopee.co.id/Airnderm-Aesthetic-Anti-Acne-Serum-by-AIRIN-BEAUTY--i.112372548.2791648220")</f>
        <v>https://shopee.co.id/Airnderm-Aesthetic-Anti-Acne-Serum-by-AIRIN-BEAUTY--i.112372548.2791648220</v>
      </c>
      <c r="C338" s="6" t="s">
        <v>239</v>
      </c>
      <c r="D338" s="6" t="s">
        <v>240</v>
      </c>
      <c r="E338" s="6" t="s">
        <v>12</v>
      </c>
      <c r="F338" s="6" t="s">
        <v>13</v>
      </c>
      <c r="G338" s="6" t="s">
        <v>241</v>
      </c>
      <c r="H338" s="8" t="s">
        <v>845</v>
      </c>
      <c r="I338" s="9">
        <v>3.22969E7</v>
      </c>
      <c r="J338" s="5" t="str">
        <f t="shared" ref="J338:K338" si="338">SUBSTITUTE(H338, ",", "")</f>
        <v>199</v>
      </c>
      <c r="K338" s="5" t="str">
        <f t="shared" si="338"/>
        <v>Rp32296900</v>
      </c>
      <c r="L338" s="5" t="str">
        <f t="shared" si="3"/>
        <v>32296900</v>
      </c>
    </row>
    <row r="339">
      <c r="A339" s="6" t="s">
        <v>847</v>
      </c>
      <c r="B339" s="7" t="str">
        <f>HYPERLINK("https://shopee.co.id/White-Story-Peeling-Serum-i.405973920.8444709968", "https://shopee.co.id/White-Story-Peeling-Serum-i.405973920.8444709968")</f>
        <v>https://shopee.co.id/White-Story-Peeling-Serum-i.405973920.8444709968</v>
      </c>
      <c r="C339" s="6" t="s">
        <v>55</v>
      </c>
      <c r="D339" s="6" t="s">
        <v>56</v>
      </c>
      <c r="E339" s="6" t="s">
        <v>12</v>
      </c>
      <c r="F339" s="6" t="s">
        <v>13</v>
      </c>
      <c r="G339" s="6" t="s">
        <v>36</v>
      </c>
      <c r="H339" s="8" t="s">
        <v>845</v>
      </c>
      <c r="I339" s="9">
        <v>3.37406E7</v>
      </c>
      <c r="J339" s="5" t="str">
        <f t="shared" ref="J339:K339" si="339">SUBSTITUTE(H339, ",", "")</f>
        <v>199</v>
      </c>
      <c r="K339" s="5" t="str">
        <f t="shared" si="339"/>
        <v>Rp33740600</v>
      </c>
      <c r="L339" s="5" t="str">
        <f t="shared" si="3"/>
        <v>33740600</v>
      </c>
    </row>
    <row r="340">
      <c r="A340" s="6" t="s">
        <v>848</v>
      </c>
      <c r="B340" s="7" t="str">
        <f>HYPERLINK("https://shopee.co.id/Natur-E-Advanced-Anti-Aging-Serum-DANASE15--i.129461339.1945350566", "https://shopee.co.id/Natur-E-Advanced-Anti-Aging-Serum-DANASE15--i.129461339.1945350566")</f>
        <v>https://shopee.co.id/Natur-E-Advanced-Anti-Aging-Serum-DANASE15--i.129461339.1945350566</v>
      </c>
      <c r="C340" s="6" t="s">
        <v>849</v>
      </c>
      <c r="D340" s="6" t="s">
        <v>850</v>
      </c>
      <c r="E340" s="6" t="s">
        <v>12</v>
      </c>
      <c r="F340" s="6" t="s">
        <v>13</v>
      </c>
      <c r="G340" s="6" t="s">
        <v>296</v>
      </c>
      <c r="H340" s="8" t="s">
        <v>845</v>
      </c>
      <c r="I340" s="9">
        <v>6.064735E7</v>
      </c>
      <c r="J340" s="5" t="str">
        <f t="shared" ref="J340:K340" si="340">SUBSTITUTE(H340, ",", "")</f>
        <v>199</v>
      </c>
      <c r="K340" s="5" t="str">
        <f t="shared" si="340"/>
        <v>Rp60647350</v>
      </c>
      <c r="L340" s="5" t="str">
        <f t="shared" si="3"/>
        <v>60647350</v>
      </c>
    </row>
    <row r="341">
      <c r="A341" s="6" t="s">
        <v>851</v>
      </c>
      <c r="B341" s="7" t="str">
        <f>HYPERLINK("https://shopee.co.id/-BPOM-BREYLEE-Pomegranate-Serum-Mencerahkan-Wajah-30-ml--i.324706771.3193111527", "https://shopee.co.id/-BPOM-BREYLEE-Pomegranate-Serum-Mencerahkan-Wajah-30-ml--i.324706771.3193111527")</f>
        <v>https://shopee.co.id/-BPOM-BREYLEE-Pomegranate-Serum-Mencerahkan-Wajah-30-ml--i.324706771.3193111527</v>
      </c>
      <c r="C341" s="6" t="s">
        <v>852</v>
      </c>
      <c r="D341" s="6" t="s">
        <v>853</v>
      </c>
      <c r="E341" s="6" t="s">
        <v>12</v>
      </c>
      <c r="F341" s="6" t="s">
        <v>13</v>
      </c>
      <c r="G341" s="6" t="s">
        <v>532</v>
      </c>
      <c r="H341" s="8" t="s">
        <v>845</v>
      </c>
      <c r="I341" s="9">
        <v>1.474384E8</v>
      </c>
      <c r="J341" s="5" t="str">
        <f t="shared" ref="J341:K341" si="341">SUBSTITUTE(H341, ",", "")</f>
        <v>199</v>
      </c>
      <c r="K341" s="5" t="str">
        <f t="shared" si="341"/>
        <v>Rp147438400</v>
      </c>
      <c r="L341" s="5" t="str">
        <f t="shared" si="3"/>
        <v>147438400</v>
      </c>
    </row>
    <row r="342">
      <c r="A342" s="6" t="s">
        <v>854</v>
      </c>
      <c r="B342" s="7" t="str">
        <f>HYPERLINK("https://shopee.co.id/Wardah-White-Secret-Pure-Treatment-Essence-50-ml-Hydrating-Toner-Mencerahkan-dengan-Edelweiss-i.59763733.6172702499", "https://shopee.co.id/Wardah-White-Secret-Pure-Treatment-Essence-50-ml-Hydrating-Toner-Mencerahkan-dengan-Edelweiss-i.59763733.6172702499")</f>
        <v>https://shopee.co.id/Wardah-White-Secret-Pure-Treatment-Essence-50-ml-Hydrating-Toner-Mencerahkan-dengan-Edelweiss-i.59763733.6172702499</v>
      </c>
      <c r="C342" s="6" t="s">
        <v>169</v>
      </c>
      <c r="D342" s="6" t="s">
        <v>170</v>
      </c>
      <c r="E342" s="6" t="s">
        <v>12</v>
      </c>
      <c r="F342" s="6" t="s">
        <v>13</v>
      </c>
      <c r="G342" s="6" t="s">
        <v>98</v>
      </c>
      <c r="H342" s="8" t="s">
        <v>855</v>
      </c>
      <c r="I342" s="9">
        <v>1.9602E7</v>
      </c>
      <c r="J342" s="5" t="str">
        <f t="shared" ref="J342:K342" si="342">SUBSTITUTE(H342, ",", "")</f>
        <v>198</v>
      </c>
      <c r="K342" s="5" t="str">
        <f t="shared" si="342"/>
        <v>Rp19602000</v>
      </c>
      <c r="L342" s="5" t="str">
        <f t="shared" si="3"/>
        <v>19602000</v>
      </c>
    </row>
    <row r="343">
      <c r="A343" s="6" t="s">
        <v>856</v>
      </c>
      <c r="B343" s="7" t="str">
        <f>HYPERLINK("https://shopee.co.id/Sulwhasoo-Concentrated-Ginseng-Renewing-Serum-Cream-Set-i.274949344.8929965708", "https://shopee.co.id/Sulwhasoo-Concentrated-Ginseng-Renewing-Serum-Cream-Set-i.274949344.8929965708")</f>
        <v>https://shopee.co.id/Sulwhasoo-Concentrated-Ginseng-Renewing-Serum-Cream-Set-i.274949344.8929965708</v>
      </c>
      <c r="C343" s="6" t="s">
        <v>282</v>
      </c>
      <c r="D343" s="6" t="s">
        <v>283</v>
      </c>
      <c r="E343" s="6" t="s">
        <v>12</v>
      </c>
      <c r="F343" s="6" t="s">
        <v>13</v>
      </c>
      <c r="G343" s="6" t="s">
        <v>61</v>
      </c>
      <c r="H343" s="8" t="s">
        <v>855</v>
      </c>
      <c r="I343" s="9">
        <v>1.1736E7</v>
      </c>
      <c r="J343" s="5" t="str">
        <f t="shared" ref="J343:K343" si="343">SUBSTITUTE(H343, ",", "")</f>
        <v>198</v>
      </c>
      <c r="K343" s="5" t="str">
        <f t="shared" si="343"/>
        <v>Rp11736000</v>
      </c>
      <c r="L343" s="5" t="str">
        <f t="shared" si="3"/>
        <v>11736000</v>
      </c>
    </row>
    <row r="344">
      <c r="A344" s="6" t="s">
        <v>857</v>
      </c>
      <c r="B344" s="7" t="str">
        <f>HYPERLINK("https://shopee.co.id/Purify-Acne-Blackhead-Serum-Gel-Moisturizer-i.59474489.10217604664", "https://shopee.co.id/Purify-Acne-Blackhead-Serum-Gel-Moisturizer-i.59474489.10217604664")</f>
        <v>https://shopee.co.id/Purify-Acne-Blackhead-Serum-Gel-Moisturizer-i.59474489.10217604664</v>
      </c>
      <c r="C344" s="6" t="s">
        <v>627</v>
      </c>
      <c r="D344" s="6" t="s">
        <v>627</v>
      </c>
      <c r="E344" s="6" t="s">
        <v>12</v>
      </c>
      <c r="F344" s="6" t="s">
        <v>13</v>
      </c>
      <c r="G344" s="6" t="s">
        <v>21</v>
      </c>
      <c r="H344" s="8" t="s">
        <v>858</v>
      </c>
      <c r="I344" s="9">
        <v>1.522325E7</v>
      </c>
      <c r="J344" s="5" t="str">
        <f t="shared" ref="J344:K344" si="344">SUBSTITUTE(H344, ",", "")</f>
        <v>197</v>
      </c>
      <c r="K344" s="5" t="str">
        <f t="shared" si="344"/>
        <v>Rp15223250</v>
      </c>
      <c r="L344" s="5" t="str">
        <f t="shared" si="3"/>
        <v>15223250</v>
      </c>
    </row>
    <row r="345">
      <c r="A345" s="6" t="s">
        <v>859</v>
      </c>
      <c r="B345" s="7" t="str">
        <f>HYPERLINK("https://shopee.co.id/Safi-Expert-Solutions-Intensive-Ampoule-Anti-Aging-Serum-3x14gr-i.63823668.8901447914", "https://shopee.co.id/Safi-Expert-Solutions-Intensive-Ampoule-Anti-Aging-Serum-3x14gr-i.63823668.8901447914")</f>
        <v>https://shopee.co.id/Safi-Expert-Solutions-Intensive-Ampoule-Anti-Aging-Serum-3x14gr-i.63823668.8901447914</v>
      </c>
      <c r="C345" s="6" t="s">
        <v>278</v>
      </c>
      <c r="D345" s="6" t="s">
        <v>279</v>
      </c>
      <c r="E345" s="6" t="s">
        <v>12</v>
      </c>
      <c r="F345" s="6" t="s">
        <v>13</v>
      </c>
      <c r="G345" s="6" t="s">
        <v>61</v>
      </c>
      <c r="H345" s="8" t="s">
        <v>860</v>
      </c>
      <c r="I345" s="9">
        <v>2.140725E7</v>
      </c>
      <c r="J345" s="5" t="str">
        <f t="shared" ref="J345:K345" si="345">SUBSTITUTE(H345, ",", "")</f>
        <v>196</v>
      </c>
      <c r="K345" s="5" t="str">
        <f t="shared" si="345"/>
        <v>Rp21407250</v>
      </c>
      <c r="L345" s="5" t="str">
        <f t="shared" si="3"/>
        <v>21407250</v>
      </c>
    </row>
    <row r="346">
      <c r="A346" s="6" t="s">
        <v>861</v>
      </c>
      <c r="B346" s="7" t="str">
        <f>HYPERLINK("https://shopee.co.id/Somethinc-Bakuchiol-Skinpair-Serum-20ml-i.110573301.8715961656", "https://shopee.co.id/Somethinc-Bakuchiol-Skinpair-Serum-20ml-i.110573301.8715961656")</f>
        <v>https://shopee.co.id/Somethinc-Bakuchiol-Skinpair-Serum-20ml-i.110573301.8715961656</v>
      </c>
      <c r="C346" s="6" t="s">
        <v>45</v>
      </c>
      <c r="D346" s="6" t="s">
        <v>227</v>
      </c>
      <c r="E346" s="6" t="s">
        <v>12</v>
      </c>
      <c r="F346" s="6" t="s">
        <v>13</v>
      </c>
      <c r="G346" s="6" t="s">
        <v>61</v>
      </c>
      <c r="H346" s="8" t="s">
        <v>862</v>
      </c>
      <c r="I346" s="9">
        <v>5024600.0</v>
      </c>
      <c r="J346" s="5" t="str">
        <f t="shared" ref="J346:K346" si="346">SUBSTITUTE(H346, ",", "")</f>
        <v>194</v>
      </c>
      <c r="K346" s="5" t="str">
        <f t="shared" si="346"/>
        <v>Rp5024600</v>
      </c>
      <c r="L346" s="5" t="str">
        <f t="shared" si="3"/>
        <v>5024600</v>
      </c>
    </row>
    <row r="347">
      <c r="A347" s="6" t="s">
        <v>863</v>
      </c>
      <c r="B347" s="7" t="str">
        <f>HYPERLINK("https://shopee.co.id/HANADA-Brighten-Up-Body-Serum-i.166666344.2584753633", "https://shopee.co.id/HANADA-Brighten-Up-Body-Serum-i.166666344.2584753633")</f>
        <v>https://shopee.co.id/HANADA-Brighten-Up-Body-Serum-i.166666344.2584753633</v>
      </c>
      <c r="C347" s="6" t="s">
        <v>864</v>
      </c>
      <c r="D347" s="6" t="s">
        <v>865</v>
      </c>
      <c r="E347" s="6" t="s">
        <v>12</v>
      </c>
      <c r="F347" s="6" t="s">
        <v>13</v>
      </c>
      <c r="G347" s="6" t="s">
        <v>21</v>
      </c>
      <c r="H347" s="8" t="s">
        <v>866</v>
      </c>
      <c r="I347" s="9">
        <v>4470960.0</v>
      </c>
      <c r="J347" s="5" t="str">
        <f t="shared" ref="J347:K347" si="347">SUBSTITUTE(H347, ",", "")</f>
        <v>193</v>
      </c>
      <c r="K347" s="5" t="str">
        <f t="shared" si="347"/>
        <v>Rp4470960</v>
      </c>
      <c r="L347" s="5" t="str">
        <f t="shared" si="3"/>
        <v>4470960</v>
      </c>
    </row>
    <row r="348">
      <c r="A348" s="6" t="s">
        <v>867</v>
      </c>
      <c r="B348" s="7" t="str">
        <f>HYPERLINK("https://shopee.co.id/Ultimune-Power-Infusing-Concentrate-Serum-3-0-50ml-i.345419471.5895630356", "https://shopee.co.id/Ultimune-Power-Infusing-Concentrate-Serum-3-0-50ml-i.345419471.5895630356")</f>
        <v>https://shopee.co.id/Ultimune-Power-Infusing-Concentrate-Serum-3-0-50ml-i.345419471.5895630356</v>
      </c>
      <c r="C348" s="6" t="s">
        <v>868</v>
      </c>
      <c r="D348" s="6" t="s">
        <v>869</v>
      </c>
      <c r="E348" s="6" t="s">
        <v>12</v>
      </c>
      <c r="F348" s="6" t="s">
        <v>13</v>
      </c>
      <c r="G348" s="6" t="s">
        <v>130</v>
      </c>
      <c r="H348" s="8" t="s">
        <v>866</v>
      </c>
      <c r="I348" s="9">
        <v>2.6827E7</v>
      </c>
      <c r="J348" s="5" t="str">
        <f t="shared" ref="J348:K348" si="348">SUBSTITUTE(H348, ",", "")</f>
        <v>193</v>
      </c>
      <c r="K348" s="5" t="str">
        <f t="shared" si="348"/>
        <v>Rp26827000</v>
      </c>
      <c r="L348" s="5" t="str">
        <f t="shared" si="3"/>
        <v>26827000</v>
      </c>
    </row>
    <row r="349">
      <c r="A349" s="6" t="s">
        <v>870</v>
      </c>
      <c r="B349" s="7" t="str">
        <f>HYPERLINK("https://shopee.co.id/Votre-Peau-Brightening-Essence-With-Niacinamide-Hyaluronic-Acid-RFF-i.46300234.7645206332", "https://shopee.co.id/Votre-Peau-Brightening-Essence-With-Niacinamide-Hyaluronic-Acid-RFF-i.46300234.7645206332")</f>
        <v>https://shopee.co.id/Votre-Peau-Brightening-Essence-With-Niacinamide-Hyaluronic-Acid-RFF-i.46300234.7645206332</v>
      </c>
      <c r="C349" s="6" t="s">
        <v>471</v>
      </c>
      <c r="D349" s="6" t="s">
        <v>472</v>
      </c>
      <c r="E349" s="6" t="s">
        <v>12</v>
      </c>
      <c r="F349" s="6" t="s">
        <v>13</v>
      </c>
      <c r="G349" s="6" t="s">
        <v>98</v>
      </c>
      <c r="H349" s="8" t="s">
        <v>866</v>
      </c>
      <c r="I349" s="9">
        <v>1.16721E7</v>
      </c>
      <c r="J349" s="5" t="str">
        <f t="shared" ref="J349:K349" si="349">SUBSTITUTE(H349, ",", "")</f>
        <v>193</v>
      </c>
      <c r="K349" s="5" t="str">
        <f t="shared" si="349"/>
        <v>Rp11672100</v>
      </c>
      <c r="L349" s="5" t="str">
        <f t="shared" si="3"/>
        <v>11672100</v>
      </c>
    </row>
    <row r="350">
      <c r="A350" s="6" t="s">
        <v>871</v>
      </c>
      <c r="B350" s="7" t="str">
        <f>HYPERLINK("https://shopee.co.id/Airnderm-Aesthetic-Serum-Spot-Lightening-by-AIRIN-BEAUTY--i.112372548.1756181423", "https://shopee.co.id/Airnderm-Aesthetic-Serum-Spot-Lightening-by-AIRIN-BEAUTY--i.112372548.1756181423")</f>
        <v>https://shopee.co.id/Airnderm-Aesthetic-Serum-Spot-Lightening-by-AIRIN-BEAUTY--i.112372548.1756181423</v>
      </c>
      <c r="C350" s="6" t="s">
        <v>239</v>
      </c>
      <c r="D350" s="6" t="s">
        <v>240</v>
      </c>
      <c r="E350" s="6" t="s">
        <v>12</v>
      </c>
      <c r="F350" s="6" t="s">
        <v>13</v>
      </c>
      <c r="G350" s="6" t="s">
        <v>241</v>
      </c>
      <c r="H350" s="8" t="s">
        <v>872</v>
      </c>
      <c r="I350" s="9">
        <v>6903600.0</v>
      </c>
      <c r="J350" s="5" t="str">
        <f t="shared" ref="J350:K350" si="350">SUBSTITUTE(H350, ",", "")</f>
        <v>190</v>
      </c>
      <c r="K350" s="5" t="str">
        <f t="shared" si="350"/>
        <v>Rp6903600</v>
      </c>
      <c r="L350" s="5" t="str">
        <f t="shared" si="3"/>
        <v>6903600</v>
      </c>
    </row>
    <row r="351">
      <c r="A351" s="6" t="s">
        <v>873</v>
      </c>
      <c r="B351" s="7" t="str">
        <f>HYPERLINK("https://shopee.co.id/-innisfree-Bija-Trouble-Spot-Essence-Jerawat-Trouble-Care-15ML-i.61504589.1414245103", "https://shopee.co.id/-innisfree-Bija-Trouble-Spot-Essence-Jerawat-Trouble-Care-15ML-i.61504589.1414245103")</f>
        <v>https://shopee.co.id/-innisfree-Bija-Trouble-Spot-Essence-Jerawat-Trouble-Care-15ML-i.61504589.1414245103</v>
      </c>
      <c r="C351" s="6" t="s">
        <v>294</v>
      </c>
      <c r="D351" s="6" t="s">
        <v>295</v>
      </c>
      <c r="E351" s="6" t="s">
        <v>12</v>
      </c>
      <c r="F351" s="6" t="s">
        <v>13</v>
      </c>
      <c r="G351" s="6" t="s">
        <v>296</v>
      </c>
      <c r="H351" s="8" t="s">
        <v>874</v>
      </c>
      <c r="I351" s="9">
        <v>2.78082E7</v>
      </c>
      <c r="J351" s="5" t="str">
        <f t="shared" ref="J351:K351" si="351">SUBSTITUTE(H351, ",", "")</f>
        <v>189</v>
      </c>
      <c r="K351" s="5" t="str">
        <f t="shared" si="351"/>
        <v>Rp27808200</v>
      </c>
      <c r="L351" s="5" t="str">
        <f t="shared" si="3"/>
        <v>27808200</v>
      </c>
    </row>
    <row r="352">
      <c r="A352" s="6" t="s">
        <v>875</v>
      </c>
      <c r="B352" s="7" t="str">
        <f>HYPERLINK("https://shopee.co.id/Sulwhasoo-Concentrated-Ginseng-Renewing-Serum-50ml-i.274949344.5373415802", "https://shopee.co.id/Sulwhasoo-Concentrated-Ginseng-Renewing-Serum-50ml-i.274949344.5373415802")</f>
        <v>https://shopee.co.id/Sulwhasoo-Concentrated-Ginseng-Renewing-Serum-50ml-i.274949344.5373415802</v>
      </c>
      <c r="C352" s="6" t="s">
        <v>282</v>
      </c>
      <c r="D352" s="6" t="s">
        <v>283</v>
      </c>
      <c r="E352" s="6" t="s">
        <v>12</v>
      </c>
      <c r="F352" s="6" t="s">
        <v>13</v>
      </c>
      <c r="G352" s="6" t="s">
        <v>61</v>
      </c>
      <c r="H352" s="8" t="s">
        <v>876</v>
      </c>
      <c r="I352" s="9">
        <v>5.115E7</v>
      </c>
      <c r="J352" s="5" t="str">
        <f t="shared" ref="J352:K352" si="352">SUBSTITUTE(H352, ",", "")</f>
        <v>188</v>
      </c>
      <c r="K352" s="5" t="str">
        <f t="shared" si="352"/>
        <v>Rp51150000</v>
      </c>
      <c r="L352" s="5" t="str">
        <f t="shared" si="3"/>
        <v>51150000</v>
      </c>
    </row>
    <row r="353">
      <c r="A353" s="6" t="s">
        <v>877</v>
      </c>
      <c r="B353" s="7" t="str">
        <f>HYPERLINK("https://shopee.co.id/SOMETHINC-HYAluronic9-ADVANCED-B5-20ml-i.270965687.5191536771", "https://shopee.co.id/SOMETHINC-HYAluronic9-ADVANCED-B5-20ml-i.270965687.5191536771")</f>
        <v>https://shopee.co.id/SOMETHINC-HYAluronic9-ADVANCED-B5-20ml-i.270965687.5191536771</v>
      </c>
      <c r="C353" s="6" t="s">
        <v>45</v>
      </c>
      <c r="D353" s="6" t="s">
        <v>379</v>
      </c>
      <c r="E353" s="6" t="s">
        <v>12</v>
      </c>
      <c r="F353" s="6" t="s">
        <v>13</v>
      </c>
      <c r="G353" s="6" t="s">
        <v>380</v>
      </c>
      <c r="H353" s="8" t="s">
        <v>878</v>
      </c>
      <c r="I353" s="9">
        <v>2.463725E7</v>
      </c>
      <c r="J353" s="5" t="str">
        <f t="shared" ref="J353:K353" si="353">SUBSTITUTE(H353, ",", "")</f>
        <v>187</v>
      </c>
      <c r="K353" s="5" t="str">
        <f t="shared" si="353"/>
        <v>Rp24637250</v>
      </c>
      <c r="L353" s="5" t="str">
        <f t="shared" si="3"/>
        <v>24637250</v>
      </c>
    </row>
    <row r="354">
      <c r="A354" s="6" t="s">
        <v>879</v>
      </c>
      <c r="B354" s="7" t="str">
        <f>HYPERLINK("https://shopee.co.id/Lacoco-Dark-Spot-Essence-12ml-i.136011044.9814268427", "https://shopee.co.id/Lacoco-Dark-Spot-Essence-12ml-i.136011044.9814268427")</f>
        <v>https://shopee.co.id/Lacoco-Dark-Spot-Essence-12ml-i.136011044.9814268427</v>
      </c>
      <c r="C354" s="6" t="s">
        <v>501</v>
      </c>
      <c r="D354" s="6" t="s">
        <v>632</v>
      </c>
      <c r="E354" s="6" t="s">
        <v>12</v>
      </c>
      <c r="F354" s="6" t="s">
        <v>13</v>
      </c>
      <c r="G354" s="6" t="s">
        <v>21</v>
      </c>
      <c r="H354" s="8" t="s">
        <v>878</v>
      </c>
      <c r="I354" s="9">
        <v>4.13629E7</v>
      </c>
      <c r="J354" s="5" t="str">
        <f t="shared" ref="J354:K354" si="354">SUBSTITUTE(H354, ",", "")</f>
        <v>187</v>
      </c>
      <c r="K354" s="5" t="str">
        <f t="shared" si="354"/>
        <v>Rp41362900</v>
      </c>
      <c r="L354" s="5" t="str">
        <f t="shared" si="3"/>
        <v>41362900</v>
      </c>
    </row>
    <row r="355">
      <c r="A355" s="6" t="s">
        <v>880</v>
      </c>
      <c r="B355" s="7" t="str">
        <f>HYPERLINK("https://shopee.co.id/MSBB-Avoskin-Miraculous-Refining-Serum-30ml-i.288588702.3249381177", "https://shopee.co.id/MSBB-Avoskin-Miraculous-Refining-Serum-30ml-i.288588702.3249381177")</f>
        <v>https://shopee.co.id/MSBB-Avoskin-Miraculous-Refining-Serum-30ml-i.288588702.3249381177</v>
      </c>
      <c r="C355" s="6" t="s">
        <v>83</v>
      </c>
      <c r="D355" s="6" t="s">
        <v>79</v>
      </c>
      <c r="E355" s="6" t="s">
        <v>12</v>
      </c>
      <c r="F355" s="6" t="s">
        <v>13</v>
      </c>
      <c r="G355" s="6" t="s">
        <v>80</v>
      </c>
      <c r="H355" s="8" t="s">
        <v>881</v>
      </c>
      <c r="I355" s="9">
        <v>3.19977E7</v>
      </c>
      <c r="J355" s="5" t="str">
        <f t="shared" ref="J355:K355" si="355">SUBSTITUTE(H355, ",", "")</f>
        <v>186</v>
      </c>
      <c r="K355" s="5" t="str">
        <f t="shared" si="355"/>
        <v>Rp31997700</v>
      </c>
      <c r="L355" s="5" t="str">
        <f t="shared" si="3"/>
        <v>31997700</v>
      </c>
    </row>
    <row r="356">
      <c r="A356" s="6" t="s">
        <v>882</v>
      </c>
      <c r="B356" s="7" t="str">
        <f>HYPERLINK("https://shopee.co.id/Vaseline-Healthy-Bright-Vitamin-Gel-Serum-Fresh-Glow-180-ml-i.14318452.5960818096", "https://shopee.co.id/Vaseline-Healthy-Bright-Vitamin-Gel-Serum-Fresh-Glow-180-ml-i.14318452.5960818096")</f>
        <v>https://shopee.co.id/Vaseline-Healthy-Bright-Vitamin-Gel-Serum-Fresh-Glow-180-ml-i.14318452.5960818096</v>
      </c>
      <c r="C356" s="6" t="s">
        <v>883</v>
      </c>
      <c r="D356" s="6" t="s">
        <v>326</v>
      </c>
      <c r="E356" s="6" t="s">
        <v>12</v>
      </c>
      <c r="F356" s="6" t="s">
        <v>13</v>
      </c>
      <c r="G356" s="6" t="s">
        <v>296</v>
      </c>
      <c r="H356" s="8" t="s">
        <v>884</v>
      </c>
      <c r="I356" s="9">
        <v>1.2765E7</v>
      </c>
      <c r="J356" s="5" t="str">
        <f t="shared" ref="J356:K356" si="356">SUBSTITUTE(H356, ",", "")</f>
        <v>185</v>
      </c>
      <c r="K356" s="5" t="str">
        <f t="shared" si="356"/>
        <v>Rp12765000</v>
      </c>
      <c r="L356" s="5" t="str">
        <f t="shared" si="3"/>
        <v>12765000</v>
      </c>
    </row>
    <row r="357">
      <c r="A357" s="6" t="s">
        <v>885</v>
      </c>
      <c r="B357" s="7" t="str">
        <f>HYPERLINK("https://shopee.co.id/MSBB-Avoskin-Your-Skin-Bae-Salicylic-Acid-2-Zinc-i.288588702.4679490398", "https://shopee.co.id/MSBB-Avoskin-Your-Skin-Bae-Salicylic-Acid-2-Zinc-i.288588702.4679490398")</f>
        <v>https://shopee.co.id/MSBB-Avoskin-Your-Skin-Bae-Salicylic-Acid-2-Zinc-i.288588702.4679490398</v>
      </c>
      <c r="C357" s="6" t="s">
        <v>83</v>
      </c>
      <c r="D357" s="6" t="s">
        <v>79</v>
      </c>
      <c r="E357" s="6" t="s">
        <v>12</v>
      </c>
      <c r="F357" s="6" t="s">
        <v>13</v>
      </c>
      <c r="G357" s="6" t="s">
        <v>80</v>
      </c>
      <c r="H357" s="8" t="s">
        <v>884</v>
      </c>
      <c r="I357" s="9">
        <v>3.04675E7</v>
      </c>
      <c r="J357" s="5" t="str">
        <f t="shared" ref="J357:K357" si="357">SUBSTITUTE(H357, ",", "")</f>
        <v>185</v>
      </c>
      <c r="K357" s="5" t="str">
        <f t="shared" si="357"/>
        <v>Rp30467500</v>
      </c>
      <c r="L357" s="5" t="str">
        <f t="shared" si="3"/>
        <v>30467500</v>
      </c>
    </row>
    <row r="358">
      <c r="A358" s="6" t="s">
        <v>886</v>
      </c>
      <c r="B358" s="7" t="str">
        <f>HYPERLINK("https://shopee.co.id/Buy-Pond-s-Triple-Glow-Serum-30ml-Free-Triple-Glow-Serum-Sheet-Mask-i.14318452.11614596372", "https://shopee.co.id/Buy-Pond-s-Triple-Glow-Serum-30ml-Free-Triple-Glow-Serum-Sheet-Mask-i.14318452.11614596372")</f>
        <v>https://shopee.co.id/Buy-Pond-s-Triple-Glow-Serum-30ml-Free-Triple-Glow-Serum-Sheet-Mask-i.14318452.11614596372</v>
      </c>
      <c r="C358" s="6" t="s">
        <v>325</v>
      </c>
      <c r="D358" s="6" t="s">
        <v>326</v>
      </c>
      <c r="E358" s="6" t="s">
        <v>12</v>
      </c>
      <c r="F358" s="6" t="s">
        <v>13</v>
      </c>
      <c r="G358" s="6" t="s">
        <v>296</v>
      </c>
      <c r="H358" s="8" t="s">
        <v>887</v>
      </c>
      <c r="I358" s="9">
        <v>5.64328E7</v>
      </c>
      <c r="J358" s="5" t="str">
        <f t="shared" ref="J358:K358" si="358">SUBSTITUTE(H358, ",", "")</f>
        <v>184</v>
      </c>
      <c r="K358" s="5" t="str">
        <f t="shared" si="358"/>
        <v>Rp56432800</v>
      </c>
      <c r="L358" s="5" t="str">
        <f t="shared" si="3"/>
        <v>56432800</v>
      </c>
    </row>
    <row r="359">
      <c r="A359" s="6" t="s">
        <v>888</v>
      </c>
      <c r="B359" s="7" t="str">
        <f>HYPERLINK("https://shopee.co.id/Azarine-CBD-Hydraoxidant-Ampoule-40ml-i.80036545.9920290051", "https://shopee.co.id/Azarine-CBD-Hydraoxidant-Ampoule-40ml-i.80036545.9920290051")</f>
        <v>https://shopee.co.id/Azarine-CBD-Hydraoxidant-Ampoule-40ml-i.80036545.9920290051</v>
      </c>
      <c r="C359" s="6" t="s">
        <v>233</v>
      </c>
      <c r="D359" s="6" t="s">
        <v>234</v>
      </c>
      <c r="E359" s="6" t="s">
        <v>12</v>
      </c>
      <c r="F359" s="6" t="s">
        <v>13</v>
      </c>
      <c r="G359" s="6" t="s">
        <v>115</v>
      </c>
      <c r="H359" s="8" t="s">
        <v>889</v>
      </c>
      <c r="I359" s="9">
        <v>1.11537E7</v>
      </c>
      <c r="J359" s="5" t="str">
        <f t="shared" ref="J359:K359" si="359">SUBSTITUTE(H359, ",", "")</f>
        <v>183</v>
      </c>
      <c r="K359" s="5" t="str">
        <f t="shared" si="359"/>
        <v>Rp11153700</v>
      </c>
      <c r="L359" s="5" t="str">
        <f t="shared" si="3"/>
        <v>11153700</v>
      </c>
    </row>
    <row r="360">
      <c r="A360" s="6" t="s">
        <v>890</v>
      </c>
      <c r="B360" s="7" t="str">
        <f>HYPERLINK("https://shopee.co.id/Hanasui-Serum-Anti-Acne-i.129681299.2334973158", "https://shopee.co.id/Hanasui-Serum-Anti-Acne-i.129681299.2334973158")</f>
        <v>https://shopee.co.id/Hanasui-Serum-Anti-Acne-i.129681299.2334973158</v>
      </c>
      <c r="C360" s="6" t="s">
        <v>784</v>
      </c>
      <c r="D360" s="6" t="s">
        <v>785</v>
      </c>
      <c r="E360" s="6" t="s">
        <v>12</v>
      </c>
      <c r="F360" s="6" t="s">
        <v>13</v>
      </c>
      <c r="G360" s="6" t="s">
        <v>36</v>
      </c>
      <c r="H360" s="8" t="s">
        <v>889</v>
      </c>
      <c r="I360" s="9">
        <v>3.0643E8</v>
      </c>
      <c r="J360" s="5" t="str">
        <f t="shared" ref="J360:K360" si="360">SUBSTITUTE(H360, ",", "")</f>
        <v>183</v>
      </c>
      <c r="K360" s="5" t="str">
        <f t="shared" si="360"/>
        <v>Rp306430000</v>
      </c>
      <c r="L360" s="5" t="str">
        <f t="shared" si="3"/>
        <v>306430000</v>
      </c>
    </row>
    <row r="361">
      <c r="A361" s="6" t="s">
        <v>891</v>
      </c>
      <c r="B361" s="7" t="str">
        <f>HYPERLINK("https://shopee.co.id/Erha-Age-Corrector-1-Bakuchiol-10-AHA-Skin-Renew-Booster-15ml-Booster-Anti-Penuaan-i.129153987.9314236984", "https://shopee.co.id/Erha-Age-Corrector-1-Bakuchiol-10-AHA-Skin-Renew-Booster-15ml-Booster-Anti-Penuaan-i.129153987.9314236984")</f>
        <v>https://shopee.co.id/Erha-Age-Corrector-1-Bakuchiol-10-AHA-Skin-Renew-Booster-15ml-Booster-Anti-Penuaan-i.129153987.9314236984</v>
      </c>
      <c r="C361" s="6" t="s">
        <v>181</v>
      </c>
      <c r="D361" s="6" t="s">
        <v>182</v>
      </c>
      <c r="E361" s="6" t="s">
        <v>12</v>
      </c>
      <c r="F361" s="6" t="s">
        <v>13</v>
      </c>
      <c r="G361" s="6" t="s">
        <v>61</v>
      </c>
      <c r="H361" s="8" t="s">
        <v>889</v>
      </c>
      <c r="I361" s="9">
        <v>6.83438E7</v>
      </c>
      <c r="J361" s="5" t="str">
        <f t="shared" ref="J361:K361" si="361">SUBSTITUTE(H361, ",", "")</f>
        <v>183</v>
      </c>
      <c r="K361" s="5" t="str">
        <f t="shared" si="361"/>
        <v>Rp68343800</v>
      </c>
      <c r="L361" s="5" t="str">
        <f t="shared" si="3"/>
        <v>68343800</v>
      </c>
    </row>
    <row r="362">
      <c r="A362" s="6" t="s">
        <v>892</v>
      </c>
      <c r="B362" s="7" t="str">
        <f>HYPERLINK("https://shopee.co.id/SOMETHINC-HYALuronic9-Advanced-B5-Serum-i.68111.9764360176", "https://shopee.co.id/SOMETHINC-HYALuronic9-Advanced-B5-Serum-i.68111.9764360176")</f>
        <v>https://shopee.co.id/SOMETHINC-HYALuronic9-Advanced-B5-Serum-i.68111.9764360176</v>
      </c>
      <c r="C362" s="6" t="s">
        <v>45</v>
      </c>
      <c r="D362" s="6" t="s">
        <v>441</v>
      </c>
      <c r="E362" s="6" t="s">
        <v>12</v>
      </c>
      <c r="F362" s="6" t="s">
        <v>13</v>
      </c>
      <c r="G362" s="6" t="s">
        <v>130</v>
      </c>
      <c r="H362" s="8" t="s">
        <v>893</v>
      </c>
      <c r="I362" s="9">
        <v>4.2308E7</v>
      </c>
      <c r="J362" s="5" t="str">
        <f t="shared" ref="J362:K362" si="362">SUBSTITUTE(H362, ",", "")</f>
        <v>182</v>
      </c>
      <c r="K362" s="5" t="str">
        <f t="shared" si="362"/>
        <v>Rp42308000</v>
      </c>
      <c r="L362" s="5" t="str">
        <f t="shared" si="3"/>
        <v>42308000</v>
      </c>
    </row>
    <row r="363">
      <c r="A363" s="6" t="s">
        <v>894</v>
      </c>
      <c r="B363" s="7" t="str">
        <f>HYPERLINK("https://shopee.co.id/Treasure-Glow-Duo-Whitening-Anti-aging-Kit-Peeling-Serum-All-Type-Skin-i.73969875.3697126320", "https://shopee.co.id/Treasure-Glow-Duo-Whitening-Anti-aging-Kit-Peeling-Serum-All-Type-Skin-i.73969875.3697126320")</f>
        <v>https://shopee.co.id/Treasure-Glow-Duo-Whitening-Anti-aging-Kit-Peeling-Serum-All-Type-Skin-i.73969875.3697126320</v>
      </c>
      <c r="C363" s="6" t="s">
        <v>895</v>
      </c>
      <c r="D363" s="6" t="s">
        <v>896</v>
      </c>
      <c r="E363" s="6" t="s">
        <v>12</v>
      </c>
      <c r="F363" s="6" t="s">
        <v>13</v>
      </c>
      <c r="G363" s="6" t="s">
        <v>21</v>
      </c>
      <c r="H363" s="8" t="s">
        <v>893</v>
      </c>
      <c r="I363" s="9">
        <v>1.365E7</v>
      </c>
      <c r="J363" s="5" t="str">
        <f t="shared" ref="J363:K363" si="363">SUBSTITUTE(H363, ",", "")</f>
        <v>182</v>
      </c>
      <c r="K363" s="5" t="str">
        <f t="shared" si="363"/>
        <v>Rp13650000</v>
      </c>
      <c r="L363" s="5" t="str">
        <f t="shared" si="3"/>
        <v>13650000</v>
      </c>
    </row>
    <row r="364">
      <c r="A364" s="6" t="s">
        <v>897</v>
      </c>
      <c r="B364" s="7" t="str">
        <f>HYPERLINK("https://shopee.co.id/MISSHA-VITA-HEALTHY-SPECIAL-SET-VITA-C-PLUS-SPOT-CORRECTING-FIRMING-AMPOULE-30ml-Free-5-masker-i.37557990.8582645288", "https://shopee.co.id/MISSHA-VITA-HEALTHY-SPECIAL-SET-VITA-C-PLUS-SPOT-CORRECTING-FIRMING-AMPOULE-30ml-Free-5-masker-i.37557990.8582645288")</f>
        <v>https://shopee.co.id/MISSHA-VITA-HEALTHY-SPECIAL-SET-VITA-C-PLUS-SPOT-CORRECTING-FIRMING-AMPOULE-30ml-Free-5-masker-i.37557990.8582645288</v>
      </c>
      <c r="C364" s="6" t="s">
        <v>695</v>
      </c>
      <c r="D364" s="6" t="s">
        <v>696</v>
      </c>
      <c r="E364" s="6" t="s">
        <v>12</v>
      </c>
      <c r="F364" s="6" t="s">
        <v>13</v>
      </c>
      <c r="G364" s="6" t="s">
        <v>80</v>
      </c>
      <c r="H364" s="8" t="s">
        <v>893</v>
      </c>
      <c r="I364" s="9">
        <v>5.4048E7</v>
      </c>
      <c r="J364" s="5" t="str">
        <f t="shared" ref="J364:K364" si="364">SUBSTITUTE(H364, ",", "")</f>
        <v>182</v>
      </c>
      <c r="K364" s="5" t="str">
        <f t="shared" si="364"/>
        <v>Rp54048000</v>
      </c>
      <c r="L364" s="5" t="str">
        <f t="shared" si="3"/>
        <v>54048000</v>
      </c>
    </row>
    <row r="365">
      <c r="A365" s="6" t="s">
        <v>898</v>
      </c>
      <c r="B365" s="7" t="str">
        <f>HYPERLINK("https://shopee.co.id/Dear-Me-Beauty-Retinol-Blueberry-Extract-Face-Serum-32ml-i.45495764.9648400112", "https://shopee.co.id/Dear-Me-Beauty-Retinol-Blueberry-Extract-Face-Serum-32ml-i.45495764.9648400112")</f>
        <v>https://shopee.co.id/Dear-Me-Beauty-Retinol-Blueberry-Extract-Face-Serum-32ml-i.45495764.9648400112</v>
      </c>
      <c r="C365" s="6" t="s">
        <v>70</v>
      </c>
      <c r="D365" s="6" t="s">
        <v>71</v>
      </c>
      <c r="E365" s="6" t="s">
        <v>12</v>
      </c>
      <c r="F365" s="6" t="s">
        <v>13</v>
      </c>
      <c r="G365" s="6" t="s">
        <v>61</v>
      </c>
      <c r="H365" s="8" t="s">
        <v>899</v>
      </c>
      <c r="I365" s="9">
        <v>1.018787E7</v>
      </c>
      <c r="J365" s="5" t="str">
        <f t="shared" ref="J365:K365" si="365">SUBSTITUTE(H365, ",", "")</f>
        <v>181</v>
      </c>
      <c r="K365" s="5" t="str">
        <f t="shared" si="365"/>
        <v>Rp10187870</v>
      </c>
      <c r="L365" s="5" t="str">
        <f t="shared" si="3"/>
        <v>10187870</v>
      </c>
    </row>
    <row r="366">
      <c r="A366" s="6" t="s">
        <v>900</v>
      </c>
      <c r="B366" s="7" t="str">
        <f>HYPERLINK("https://shopee.co.id/Dear-Me-Beauty-Retinol-Blueberry-Extract-Face-Serum-12ml-i.45495764.9748394452", "https://shopee.co.id/Dear-Me-Beauty-Retinol-Blueberry-Extract-Face-Serum-12ml-i.45495764.9748394452")</f>
        <v>https://shopee.co.id/Dear-Me-Beauty-Retinol-Blueberry-Extract-Face-Serum-12ml-i.45495764.9748394452</v>
      </c>
      <c r="C366" s="6" t="s">
        <v>70</v>
      </c>
      <c r="D366" s="6" t="s">
        <v>71</v>
      </c>
      <c r="E366" s="6" t="s">
        <v>12</v>
      </c>
      <c r="F366" s="6" t="s">
        <v>13</v>
      </c>
      <c r="G366" s="6" t="s">
        <v>61</v>
      </c>
      <c r="H366" s="8" t="s">
        <v>901</v>
      </c>
      <c r="I366" s="9">
        <v>3.05688E7</v>
      </c>
      <c r="J366" s="5" t="str">
        <f t="shared" ref="J366:K366" si="366">SUBSTITUTE(H366, ",", "")</f>
        <v>180</v>
      </c>
      <c r="K366" s="5" t="str">
        <f t="shared" si="366"/>
        <v>Rp30568800</v>
      </c>
      <c r="L366" s="5" t="str">
        <f t="shared" si="3"/>
        <v>30568800</v>
      </c>
    </row>
    <row r="367">
      <c r="A367" s="6" t="s">
        <v>902</v>
      </c>
      <c r="B367" s="7" t="str">
        <f>HYPERLINK("https://shopee.co.id/Some-By-Mi-Aha-Bha-Pha-30-Days-Miracle-Serum-Light-i.455311481.7795273802", "https://shopee.co.id/Some-By-Mi-Aha-Bha-Pha-30-Days-Miracle-Serum-Light-i.455311481.7795273802")</f>
        <v>https://shopee.co.id/Some-By-Mi-Aha-Bha-Pha-30-Days-Miracle-Serum-Light-i.455311481.7795273802</v>
      </c>
      <c r="C367" s="6" t="s">
        <v>213</v>
      </c>
      <c r="D367" s="6" t="s">
        <v>214</v>
      </c>
      <c r="E367" s="6" t="s">
        <v>12</v>
      </c>
      <c r="F367" s="6" t="s">
        <v>13</v>
      </c>
      <c r="G367" s="6" t="s">
        <v>130</v>
      </c>
      <c r="H367" s="8" t="s">
        <v>901</v>
      </c>
      <c r="I367" s="9">
        <v>2.06019E7</v>
      </c>
      <c r="J367" s="5" t="str">
        <f t="shared" ref="J367:K367" si="367">SUBSTITUTE(H367, ",", "")</f>
        <v>180</v>
      </c>
      <c r="K367" s="5" t="str">
        <f t="shared" si="367"/>
        <v>Rp20601900</v>
      </c>
      <c r="L367" s="5" t="str">
        <f t="shared" si="3"/>
        <v>20601900</v>
      </c>
    </row>
    <row r="368">
      <c r="A368" s="6" t="s">
        <v>903</v>
      </c>
      <c r="B368" s="7" t="str">
        <f>HYPERLINK("https://shopee.co.id/-BPOM-BREYLEE-Serum-Treatment-Wajah-Berjerawat-17ml--i.324706771.4857906570", "https://shopee.co.id/-BPOM-BREYLEE-Serum-Treatment-Wajah-Berjerawat-17ml--i.324706771.4857906570")</f>
        <v>https://shopee.co.id/-BPOM-BREYLEE-Serum-Treatment-Wajah-Berjerawat-17ml--i.324706771.4857906570</v>
      </c>
      <c r="C368" s="6" t="s">
        <v>852</v>
      </c>
      <c r="D368" s="6" t="s">
        <v>853</v>
      </c>
      <c r="E368" s="6" t="s">
        <v>12</v>
      </c>
      <c r="F368" s="6" t="s">
        <v>13</v>
      </c>
      <c r="G368" s="6" t="s">
        <v>532</v>
      </c>
      <c r="H368" s="8" t="s">
        <v>904</v>
      </c>
      <c r="I368" s="9">
        <v>2508500.0</v>
      </c>
      <c r="J368" s="5" t="str">
        <f t="shared" ref="J368:K368" si="368">SUBSTITUTE(H368, ",", "")</f>
        <v>179</v>
      </c>
      <c r="K368" s="5" t="str">
        <f t="shared" si="368"/>
        <v>Rp2508500</v>
      </c>
      <c r="L368" s="5" t="str">
        <f t="shared" si="3"/>
        <v>2508500</v>
      </c>
    </row>
    <row r="369">
      <c r="A369" s="6" t="s">
        <v>905</v>
      </c>
      <c r="B369" s="7" t="str">
        <f>HYPERLINK("https://shopee.co.id/GF-TRILOGY-VITAMIN-C-BOOSTER-TREATMENT-5ML-i.53497038.6368870780", "https://shopee.co.id/GF-TRILOGY-VITAMIN-C-BOOSTER-TREATMENT-5ML-i.53497038.6368870780")</f>
        <v>https://shopee.co.id/GF-TRILOGY-VITAMIN-C-BOOSTER-TREATMENT-5ML-i.53497038.6368870780</v>
      </c>
      <c r="C369" s="6" t="s">
        <v>906</v>
      </c>
      <c r="D369" s="6" t="s">
        <v>907</v>
      </c>
      <c r="E369" s="6" t="s">
        <v>12</v>
      </c>
      <c r="F369" s="6" t="s">
        <v>13</v>
      </c>
      <c r="G369" s="6" t="s">
        <v>61</v>
      </c>
      <c r="H369" s="8" t="s">
        <v>904</v>
      </c>
      <c r="I369" s="9">
        <v>5191000.0</v>
      </c>
      <c r="J369" s="5" t="str">
        <f t="shared" ref="J369:K369" si="369">SUBSTITUTE(H369, ",", "")</f>
        <v>179</v>
      </c>
      <c r="K369" s="5" t="str">
        <f t="shared" si="369"/>
        <v>Rp5191000</v>
      </c>
      <c r="L369" s="5" t="str">
        <f t="shared" si="3"/>
        <v>5191000</v>
      </c>
    </row>
    <row r="370">
      <c r="A370" s="6" t="s">
        <v>908</v>
      </c>
      <c r="B370" s="7" t="str">
        <f>HYPERLINK("https://shopee.co.id/Garnier-Sakura-White-Whitening-Serum-Day-Cream-SPF-30-20-ml-Untuk-Kulit-Cerah-Merona--i.62583853.5232508964", "https://shopee.co.id/Garnier-Sakura-White-Whitening-Serum-Day-Cream-SPF-30-20-ml-Untuk-Kulit-Cerah-Merona--i.62583853.5232508964")</f>
        <v>https://shopee.co.id/Garnier-Sakura-White-Whitening-Serum-Day-Cream-SPF-30-20-ml-Untuk-Kulit-Cerah-Merona--i.62583853.5232508964</v>
      </c>
      <c r="C370" s="6" t="s">
        <v>74</v>
      </c>
      <c r="D370" s="6" t="s">
        <v>75</v>
      </c>
      <c r="E370" s="6" t="s">
        <v>12</v>
      </c>
      <c r="F370" s="6" t="s">
        <v>13</v>
      </c>
      <c r="G370" s="6" t="s">
        <v>61</v>
      </c>
      <c r="H370" s="8" t="s">
        <v>904</v>
      </c>
      <c r="I370" s="9">
        <v>2.4881E7</v>
      </c>
      <c r="J370" s="5" t="str">
        <f t="shared" ref="J370:K370" si="370">SUBSTITUTE(H370, ",", "")</f>
        <v>179</v>
      </c>
      <c r="K370" s="5" t="str">
        <f t="shared" si="370"/>
        <v>Rp24881000</v>
      </c>
      <c r="L370" s="5" t="str">
        <f t="shared" si="3"/>
        <v>24881000</v>
      </c>
    </row>
    <row r="371">
      <c r="A371" s="6" t="s">
        <v>909</v>
      </c>
      <c r="B371" s="7" t="str">
        <f>HYPERLINK("https://shopee.co.id/Solcare-Bundling-Collagen-Serum-and-Cream-i.266902345.8410913826", "https://shopee.co.id/Solcare-Bundling-Collagen-Serum-and-Cream-i.266902345.8410913826")</f>
        <v>https://shopee.co.id/Solcare-Bundling-Collagen-Serum-and-Cream-i.266902345.8410913826</v>
      </c>
      <c r="C371" s="6" t="s">
        <v>910</v>
      </c>
      <c r="D371" s="6" t="s">
        <v>911</v>
      </c>
      <c r="E371" s="6" t="s">
        <v>12</v>
      </c>
      <c r="F371" s="6" t="s">
        <v>13</v>
      </c>
      <c r="G371" s="6" t="s">
        <v>241</v>
      </c>
      <c r="H371" s="8" t="s">
        <v>912</v>
      </c>
      <c r="I371" s="9">
        <v>1.37414E7</v>
      </c>
      <c r="J371" s="5" t="str">
        <f t="shared" ref="J371:K371" si="371">SUBSTITUTE(H371, ",", "")</f>
        <v>178</v>
      </c>
      <c r="K371" s="5" t="str">
        <f t="shared" si="371"/>
        <v>Rp13741400</v>
      </c>
      <c r="L371" s="5" t="str">
        <f t="shared" si="3"/>
        <v>13741400</v>
      </c>
    </row>
    <row r="372">
      <c r="A372" s="6" t="s">
        <v>913</v>
      </c>
      <c r="B372" s="7" t="str">
        <f>HYPERLINK("https://shopee.co.id/Hanasui-Intense-Treatment-Serum-Propolis-i.129681299.3103651881", "https://shopee.co.id/Hanasui-Intense-Treatment-Serum-Propolis-i.129681299.3103651881")</f>
        <v>https://shopee.co.id/Hanasui-Intense-Treatment-Serum-Propolis-i.129681299.3103651881</v>
      </c>
      <c r="C372" s="6" t="s">
        <v>784</v>
      </c>
      <c r="D372" s="6" t="s">
        <v>785</v>
      </c>
      <c r="E372" s="6" t="s">
        <v>12</v>
      </c>
      <c r="F372" s="6" t="s">
        <v>13</v>
      </c>
      <c r="G372" s="6" t="s">
        <v>36</v>
      </c>
      <c r="H372" s="8" t="s">
        <v>912</v>
      </c>
      <c r="I372" s="9">
        <v>1.557055E7</v>
      </c>
      <c r="J372" s="5" t="str">
        <f t="shared" ref="J372:K372" si="372">SUBSTITUTE(H372, ",", "")</f>
        <v>178</v>
      </c>
      <c r="K372" s="5" t="str">
        <f t="shared" si="372"/>
        <v>Rp15570550</v>
      </c>
      <c r="L372" s="5" t="str">
        <f t="shared" si="3"/>
        <v>15570550</v>
      </c>
    </row>
    <row r="373">
      <c r="A373" s="6" t="s">
        <v>914</v>
      </c>
      <c r="B373" s="7" t="str">
        <f>HYPERLINK("https://shopee.co.id/Emina-Bright-Stuff-Face-Serum-7-5-ml-i.63983008.8860143483", "https://shopee.co.id/Emina-Bright-Stuff-Face-Serum-7-5-ml-i.63983008.8860143483")</f>
        <v>https://shopee.co.id/Emina-Bright-Stuff-Face-Serum-7-5-ml-i.63983008.8860143483</v>
      </c>
      <c r="C373" s="6" t="s">
        <v>209</v>
      </c>
      <c r="D373" s="6" t="s">
        <v>210</v>
      </c>
      <c r="E373" s="6" t="s">
        <v>12</v>
      </c>
      <c r="F373" s="6" t="s">
        <v>13</v>
      </c>
      <c r="G373" s="6" t="s">
        <v>98</v>
      </c>
      <c r="H373" s="8" t="s">
        <v>912</v>
      </c>
      <c r="I373" s="9">
        <v>1.3825E7</v>
      </c>
      <c r="J373" s="5" t="str">
        <f t="shared" ref="J373:K373" si="373">SUBSTITUTE(H373, ",", "")</f>
        <v>178</v>
      </c>
      <c r="K373" s="5" t="str">
        <f t="shared" si="373"/>
        <v>Rp13825000</v>
      </c>
      <c r="L373" s="5" t="str">
        <f t="shared" si="3"/>
        <v>13825000</v>
      </c>
    </row>
    <row r="374">
      <c r="A374" s="6" t="s">
        <v>915</v>
      </c>
      <c r="B374" s="7" t="str">
        <f>HYPERLINK("https://shopee.co.id/MSBB-Lacoco-Hydrating-Divine-Essence-i.288588702.6544564284", "https://shopee.co.id/MSBB-Lacoco-Hydrating-Divine-Essence-i.288588702.6544564284")</f>
        <v>https://shopee.co.id/MSBB-Lacoco-Hydrating-Divine-Essence-i.288588702.6544564284</v>
      </c>
      <c r="C374" s="6" t="s">
        <v>78</v>
      </c>
      <c r="D374" s="6" t="s">
        <v>79</v>
      </c>
      <c r="E374" s="6" t="s">
        <v>12</v>
      </c>
      <c r="F374" s="6" t="s">
        <v>13</v>
      </c>
      <c r="G374" s="6" t="s">
        <v>80</v>
      </c>
      <c r="H374" s="8" t="s">
        <v>916</v>
      </c>
      <c r="I374" s="9">
        <v>3.3942369E7</v>
      </c>
      <c r="J374" s="5" t="str">
        <f t="shared" ref="J374:K374" si="374">SUBSTITUTE(H374, ",", "")</f>
        <v>177</v>
      </c>
      <c r="K374" s="5" t="str">
        <f t="shared" si="374"/>
        <v>Rp33942369</v>
      </c>
      <c r="L374" s="5" t="str">
        <f t="shared" si="3"/>
        <v>33942369</v>
      </c>
    </row>
    <row r="375">
      <c r="A375" s="6" t="s">
        <v>917</v>
      </c>
      <c r="B375" s="7" t="str">
        <f>HYPERLINK("https://shopee.co.id/NACIFIC-Fresh-Herb-Origin-Serum-50ml-i.238604292.7221808671", "https://shopee.co.id/NACIFIC-Fresh-Herb-Origin-Serum-50ml-i.238604292.7221808671")</f>
        <v>https://shopee.co.id/NACIFIC-Fresh-Herb-Origin-Serum-50ml-i.238604292.7221808671</v>
      </c>
      <c r="C375" s="6" t="s">
        <v>344</v>
      </c>
      <c r="D375" s="6" t="s">
        <v>918</v>
      </c>
      <c r="E375" s="6" t="s">
        <v>12</v>
      </c>
      <c r="F375" s="6" t="s">
        <v>13</v>
      </c>
      <c r="G375" s="6" t="s">
        <v>80</v>
      </c>
      <c r="H375" s="8" t="s">
        <v>916</v>
      </c>
      <c r="I375" s="9">
        <v>2.027961E7</v>
      </c>
      <c r="J375" s="5" t="str">
        <f t="shared" ref="J375:K375" si="375">SUBSTITUTE(H375, ",", "")</f>
        <v>177</v>
      </c>
      <c r="K375" s="5" t="str">
        <f t="shared" si="375"/>
        <v>Rp20279610</v>
      </c>
      <c r="L375" s="5" t="str">
        <f t="shared" si="3"/>
        <v>20279610</v>
      </c>
    </row>
    <row r="376">
      <c r="A376" s="6" t="s">
        <v>919</v>
      </c>
      <c r="B376" s="7" t="str">
        <f>HYPERLINK("https://shopee.co.id/MSBB-Avoskin-Perfect-Hydrating-Treatment-Essence-100ml-i.288588702.8762523120", "https://shopee.co.id/MSBB-Avoskin-Perfect-Hydrating-Treatment-Essence-100ml-i.288588702.8762523120")</f>
        <v>https://shopee.co.id/MSBB-Avoskin-Perfect-Hydrating-Treatment-Essence-100ml-i.288588702.8762523120</v>
      </c>
      <c r="C376" s="6" t="s">
        <v>78</v>
      </c>
      <c r="D376" s="6" t="s">
        <v>79</v>
      </c>
      <c r="E376" s="6" t="s">
        <v>12</v>
      </c>
      <c r="F376" s="6" t="s">
        <v>13</v>
      </c>
      <c r="G376" s="6" t="s">
        <v>80</v>
      </c>
      <c r="H376" s="8" t="s">
        <v>920</v>
      </c>
      <c r="I376" s="9">
        <v>2.29211E7</v>
      </c>
      <c r="J376" s="5" t="str">
        <f t="shared" ref="J376:K376" si="376">SUBSTITUTE(H376, ",", "")</f>
        <v>176</v>
      </c>
      <c r="K376" s="5" t="str">
        <f t="shared" si="376"/>
        <v>Rp22921100</v>
      </c>
      <c r="L376" s="5" t="str">
        <f t="shared" si="3"/>
        <v>22921100</v>
      </c>
    </row>
    <row r="377">
      <c r="A377" s="6" t="s">
        <v>921</v>
      </c>
      <c r="B377" s="7" t="str">
        <f>HYPERLINK("https://shopee.co.id/SOMEBYMI-Snail-Truecica-Miracle-Repair-SERUM-50ml-i.270965687.7438161347", "https://shopee.co.id/SOMEBYMI-Snail-Truecica-Miracle-Repair-SERUM-50ml-i.270965687.7438161347")</f>
        <v>https://shopee.co.id/SOMEBYMI-Snail-Truecica-Miracle-Repair-SERUM-50ml-i.270965687.7438161347</v>
      </c>
      <c r="C377" s="6" t="s">
        <v>213</v>
      </c>
      <c r="D377" s="6" t="s">
        <v>379</v>
      </c>
      <c r="E377" s="6" t="s">
        <v>12</v>
      </c>
      <c r="F377" s="6" t="s">
        <v>13</v>
      </c>
      <c r="G377" s="6" t="s">
        <v>380</v>
      </c>
      <c r="H377" s="8" t="s">
        <v>922</v>
      </c>
      <c r="I377" s="9">
        <v>2.1E7</v>
      </c>
      <c r="J377" s="5" t="str">
        <f t="shared" ref="J377:K377" si="377">SUBSTITUTE(H377, ",", "")</f>
        <v>175</v>
      </c>
      <c r="K377" s="5" t="str">
        <f t="shared" si="377"/>
        <v>Rp21000000</v>
      </c>
      <c r="L377" s="5" t="str">
        <f t="shared" si="3"/>
        <v>21000000</v>
      </c>
    </row>
    <row r="378">
      <c r="A378" s="6" t="s">
        <v>923</v>
      </c>
      <c r="B378" s="7" t="str">
        <f>HYPERLINK("https://shopee.co.id/MSBB-Avoskin-Perfect-Hydrating-Treatment-Essence-30ml-i.288588702.7343558923", "https://shopee.co.id/MSBB-Avoskin-Perfect-Hydrating-Treatment-Essence-30ml-i.288588702.7343558923")</f>
        <v>https://shopee.co.id/MSBB-Avoskin-Perfect-Hydrating-Treatment-Essence-30ml-i.288588702.7343558923</v>
      </c>
      <c r="C378" s="6" t="s">
        <v>83</v>
      </c>
      <c r="D378" s="6" t="s">
        <v>79</v>
      </c>
      <c r="E378" s="6" t="s">
        <v>12</v>
      </c>
      <c r="F378" s="6" t="s">
        <v>13</v>
      </c>
      <c r="G378" s="6" t="s">
        <v>80</v>
      </c>
      <c r="H378" s="8" t="s">
        <v>924</v>
      </c>
      <c r="I378" s="9">
        <v>2.007135E7</v>
      </c>
      <c r="J378" s="5" t="str">
        <f t="shared" ref="J378:K378" si="378">SUBSTITUTE(H378, ",", "")</f>
        <v>174</v>
      </c>
      <c r="K378" s="5" t="str">
        <f t="shared" si="378"/>
        <v>Rp20071350</v>
      </c>
      <c r="L378" s="5" t="str">
        <f t="shared" si="3"/>
        <v>20071350</v>
      </c>
    </row>
    <row r="379">
      <c r="A379" s="6" t="s">
        <v>925</v>
      </c>
      <c r="B379" s="7" t="str">
        <f>HYPERLINK("https://shopee.co.id/-Buy-1-Get-1-Bio-Essence-Bio-Gold-Night-Cream-40Gr-i.63822287.6066630736", "https://shopee.co.id/-Buy-1-Get-1-Bio-Essence-Bio-Gold-Night-Cream-40Gr-i.63822287.6066630736")</f>
        <v>https://shopee.co.id/-Buy-1-Get-1-Bio-Essence-Bio-Gold-Night-Cream-40Gr-i.63822287.6066630736</v>
      </c>
      <c r="C379" s="6" t="s">
        <v>834</v>
      </c>
      <c r="D379" s="6" t="s">
        <v>835</v>
      </c>
      <c r="E379" s="6" t="s">
        <v>12</v>
      </c>
      <c r="F379" s="6" t="s">
        <v>13</v>
      </c>
      <c r="G379" s="6" t="s">
        <v>61</v>
      </c>
      <c r="H379" s="8" t="s">
        <v>926</v>
      </c>
      <c r="I379" s="9">
        <v>1.0089E7</v>
      </c>
      <c r="J379" s="5" t="str">
        <f t="shared" ref="J379:K379" si="379">SUBSTITUTE(H379, ",", "")</f>
        <v>171</v>
      </c>
      <c r="K379" s="5" t="str">
        <f t="shared" si="379"/>
        <v>Rp10089000</v>
      </c>
      <c r="L379" s="5" t="str">
        <f t="shared" si="3"/>
        <v>10089000</v>
      </c>
    </row>
    <row r="380">
      <c r="A380" s="6" t="s">
        <v>927</v>
      </c>
      <c r="B380" s="7" t="str">
        <f>HYPERLINK("https://shopee.co.id/MISSHA-TIME-REVOLUTION-NIGHT-REPAIR-AMPOULE-5X-50ML-Free-2-Mascure-Madecasoid-Guaiazulene--i.37557990.5408439484", "https://shopee.co.id/MISSHA-TIME-REVOLUTION-NIGHT-REPAIR-AMPOULE-5X-50ML-Free-2-Mascure-Madecasoid-Guaiazulene--i.37557990.5408439484")</f>
        <v>https://shopee.co.id/MISSHA-TIME-REVOLUTION-NIGHT-REPAIR-AMPOULE-5X-50ML-Free-2-Mascure-Madecasoid-Guaiazulene--i.37557990.5408439484</v>
      </c>
      <c r="C380" s="6" t="s">
        <v>695</v>
      </c>
      <c r="D380" s="6" t="s">
        <v>696</v>
      </c>
      <c r="E380" s="6" t="s">
        <v>12</v>
      </c>
      <c r="F380" s="6" t="s">
        <v>13</v>
      </c>
      <c r="G380" s="6" t="s">
        <v>80</v>
      </c>
      <c r="H380" s="8" t="s">
        <v>928</v>
      </c>
      <c r="I380" s="9">
        <v>7839000.0</v>
      </c>
      <c r="J380" s="5" t="str">
        <f t="shared" ref="J380:K380" si="380">SUBSTITUTE(H380, ",", "")</f>
        <v>170</v>
      </c>
      <c r="K380" s="5" t="str">
        <f t="shared" si="380"/>
        <v>Rp7839000</v>
      </c>
      <c r="L380" s="5" t="str">
        <f t="shared" si="3"/>
        <v>7839000</v>
      </c>
    </row>
    <row r="381">
      <c r="A381" s="6" t="s">
        <v>929</v>
      </c>
      <c r="B381" s="7" t="str">
        <f>HYPERLINK("https://shopee.co.id/L-Oreal-Paris-Revitalift-Crystal-Micro-Essence-Serum-Skin-Care-65-ml-x2-Pcs-i.62579622.7848735085", "https://shopee.co.id/L-Oreal-Paris-Revitalift-Crystal-Micro-Essence-Serum-Skin-Care-65-ml-x2-Pcs-i.62579622.7848735085")</f>
        <v>https://shopee.co.id/L-Oreal-Paris-Revitalift-Crystal-Micro-Essence-Serum-Skin-Care-65-ml-x2-Pcs-i.62579622.7848735085</v>
      </c>
      <c r="C381" s="6" t="s">
        <v>105</v>
      </c>
      <c r="D381" s="6" t="s">
        <v>106</v>
      </c>
      <c r="E381" s="6" t="s">
        <v>12</v>
      </c>
      <c r="F381" s="6" t="s">
        <v>13</v>
      </c>
      <c r="G381" s="6" t="s">
        <v>61</v>
      </c>
      <c r="H381" s="8" t="s">
        <v>928</v>
      </c>
      <c r="I381" s="9">
        <v>2.3449E7</v>
      </c>
      <c r="J381" s="5" t="str">
        <f t="shared" ref="J381:K381" si="381">SUBSTITUTE(H381, ",", "")</f>
        <v>170</v>
      </c>
      <c r="K381" s="5" t="str">
        <f t="shared" si="381"/>
        <v>Rp23449000</v>
      </c>
      <c r="L381" s="5" t="str">
        <f t="shared" si="3"/>
        <v>23449000</v>
      </c>
    </row>
    <row r="382">
      <c r="A382" s="6" t="s">
        <v>930</v>
      </c>
      <c r="B382" s="7" t="str">
        <f>HYPERLINK("https://shopee.co.id/Glowlabs-Glo-C-Serum-Brightening-Vitamin-C-Skincare--i.336869851.5768605060", "https://shopee.co.id/Glowlabs-Glo-C-Serum-Brightening-Vitamin-C-Skincare--i.336869851.5768605060")</f>
        <v>https://shopee.co.id/Glowlabs-Glo-C-Serum-Brightening-Vitamin-C-Skincare--i.336869851.5768605060</v>
      </c>
      <c r="C382" s="6" t="s">
        <v>407</v>
      </c>
      <c r="D382" s="6" t="s">
        <v>408</v>
      </c>
      <c r="E382" s="6" t="s">
        <v>12</v>
      </c>
      <c r="F382" s="6" t="s">
        <v>13</v>
      </c>
      <c r="G382" s="6" t="s">
        <v>409</v>
      </c>
      <c r="H382" s="8" t="s">
        <v>931</v>
      </c>
      <c r="I382" s="9">
        <v>3.3631E7</v>
      </c>
      <c r="J382" s="5" t="str">
        <f t="shared" ref="J382:K382" si="382">SUBSTITUTE(H382, ",", "")</f>
        <v>169</v>
      </c>
      <c r="K382" s="5" t="str">
        <f t="shared" si="382"/>
        <v>Rp33631000</v>
      </c>
      <c r="L382" s="5" t="str">
        <f t="shared" si="3"/>
        <v>33631000</v>
      </c>
    </row>
    <row r="383">
      <c r="A383" s="6" t="s">
        <v>932</v>
      </c>
      <c r="B383" s="7" t="str">
        <f>HYPERLINK("https://shopee.co.id/Dear-Me-Beauty-Paket-Serum-Melawan-Waktu-12ml-Retinol-Peptide-i.45495764.11023417257", "https://shopee.co.id/Dear-Me-Beauty-Paket-Serum-Melawan-Waktu-12ml-Retinol-Peptide-i.45495764.11023417257")</f>
        <v>https://shopee.co.id/Dear-Me-Beauty-Paket-Serum-Melawan-Waktu-12ml-Retinol-Peptide-i.45495764.11023417257</v>
      </c>
      <c r="C383" s="6" t="s">
        <v>70</v>
      </c>
      <c r="D383" s="6" t="s">
        <v>71</v>
      </c>
      <c r="E383" s="6" t="s">
        <v>12</v>
      </c>
      <c r="F383" s="6" t="s">
        <v>13</v>
      </c>
      <c r="G383" s="6" t="s">
        <v>61</v>
      </c>
      <c r="H383" s="8" t="s">
        <v>931</v>
      </c>
      <c r="I383" s="9">
        <v>2.009375E7</v>
      </c>
      <c r="J383" s="5" t="str">
        <f t="shared" ref="J383:K383" si="383">SUBSTITUTE(H383, ",", "")</f>
        <v>169</v>
      </c>
      <c r="K383" s="5" t="str">
        <f t="shared" si="383"/>
        <v>Rp20093750</v>
      </c>
      <c r="L383" s="5" t="str">
        <f t="shared" si="3"/>
        <v>20093750</v>
      </c>
    </row>
    <row r="384">
      <c r="A384" s="6" t="s">
        <v>933</v>
      </c>
      <c r="B384" s="7" t="str">
        <f>HYPERLINK("https://shopee.co.id/Ultimune-Power-Infusing-Concentrate-Serum-3-0-75ml-i.345419471.8882549713", "https://shopee.co.id/Ultimune-Power-Infusing-Concentrate-Serum-3-0-75ml-i.345419471.8882549713")</f>
        <v>https://shopee.co.id/Ultimune-Power-Infusing-Concentrate-Serum-3-0-75ml-i.345419471.8882549713</v>
      </c>
      <c r="C384" s="6" t="s">
        <v>868</v>
      </c>
      <c r="D384" s="6" t="s">
        <v>869</v>
      </c>
      <c r="E384" s="6" t="s">
        <v>12</v>
      </c>
      <c r="F384" s="6" t="s">
        <v>13</v>
      </c>
      <c r="G384" s="6" t="s">
        <v>130</v>
      </c>
      <c r="H384" s="8" t="s">
        <v>931</v>
      </c>
      <c r="I384" s="9">
        <v>3.13879E7</v>
      </c>
      <c r="J384" s="5" t="str">
        <f t="shared" ref="J384:K384" si="384">SUBSTITUTE(H384, ",", "")</f>
        <v>169</v>
      </c>
      <c r="K384" s="5" t="str">
        <f t="shared" si="384"/>
        <v>Rp31387900</v>
      </c>
      <c r="L384" s="5" t="str">
        <f t="shared" si="3"/>
        <v>31387900</v>
      </c>
    </row>
    <row r="385">
      <c r="A385" s="6" t="s">
        <v>934</v>
      </c>
      <c r="B385" s="7" t="str">
        <f>HYPERLINK("https://shopee.co.id/ElsheSkin-Active-Rejuvenating-Night-Serum-X-ElsheSkin-Radiant-Supple-Serum-i.9035345.8031590802", "https://shopee.co.id/ElsheSkin-Active-Rejuvenating-Night-Serum-X-ElsheSkin-Radiant-Supple-Serum-i.9035345.8031590802")</f>
        <v>https://shopee.co.id/ElsheSkin-Active-Rejuvenating-Night-Serum-X-ElsheSkin-Radiant-Supple-Serum-i.9035345.8031590802</v>
      </c>
      <c r="C385" s="6" t="s">
        <v>135</v>
      </c>
      <c r="D385" s="6" t="s">
        <v>136</v>
      </c>
      <c r="E385" s="6" t="s">
        <v>12</v>
      </c>
      <c r="F385" s="6" t="s">
        <v>13</v>
      </c>
      <c r="G385" s="6" t="s">
        <v>80</v>
      </c>
      <c r="H385" s="8" t="s">
        <v>935</v>
      </c>
      <c r="I385" s="9">
        <v>1.9404E7</v>
      </c>
      <c r="J385" s="5" t="str">
        <f t="shared" ref="J385:K385" si="385">SUBSTITUTE(H385, ",", "")</f>
        <v>168</v>
      </c>
      <c r="K385" s="5" t="str">
        <f t="shared" si="385"/>
        <v>Rp19404000</v>
      </c>
      <c r="L385" s="5" t="str">
        <f t="shared" si="3"/>
        <v>19404000</v>
      </c>
    </row>
    <row r="386">
      <c r="A386" s="6" t="s">
        <v>936</v>
      </c>
      <c r="B386" s="7" t="str">
        <f>HYPERLINK("https://shopee.co.id/Avoskin-YOUR-SKIN-BAE-SERIES-SALICYLIC-ACID-2-ZINC-ANTI-ACNE-AND-EXFOLIATING-SERUM-30-ML-i.50972887.8122268042", "https://shopee.co.id/Avoskin-YOUR-SKIN-BAE-SERIES-SALICYLIC-ACID-2-ZINC-ANTI-ACNE-AND-EXFOLIATING-SERUM-30-ML-i.50972887.8122268042")</f>
        <v>https://shopee.co.id/Avoskin-YOUR-SKIN-BAE-SERIES-SALICYLIC-ACID-2-ZINC-ANTI-ACNE-AND-EXFOLIATING-SERUM-30-ML-i.50972887.8122268042</v>
      </c>
      <c r="C386" s="6" t="s">
        <v>937</v>
      </c>
      <c r="D386" s="6" t="s">
        <v>552</v>
      </c>
      <c r="E386" s="6" t="s">
        <v>12</v>
      </c>
      <c r="F386" s="6" t="s">
        <v>13</v>
      </c>
      <c r="G386" s="6" t="s">
        <v>61</v>
      </c>
      <c r="H386" s="8" t="s">
        <v>938</v>
      </c>
      <c r="I386" s="9">
        <v>2.20845E7</v>
      </c>
      <c r="J386" s="5" t="str">
        <f t="shared" ref="J386:K386" si="386">SUBSTITUTE(H386, ",", "")</f>
        <v>167</v>
      </c>
      <c r="K386" s="5" t="str">
        <f t="shared" si="386"/>
        <v>Rp22084500</v>
      </c>
      <c r="L386" s="5" t="str">
        <f t="shared" si="3"/>
        <v>22084500</v>
      </c>
    </row>
    <row r="387">
      <c r="A387" s="6" t="s">
        <v>939</v>
      </c>
      <c r="B387" s="7" t="str">
        <f>HYPERLINK("https://shopee.co.id/Purivera-Everlasting-Tamanu-Serum-Oil-Scar-Repair-Bopeng-Truecica-Snail-Cica-Alternative-i.43724442.4179776535", "https://shopee.co.id/Purivera-Everlasting-Tamanu-Serum-Oil-Scar-Repair-Bopeng-Truecica-Snail-Cica-Alternative-i.43724442.4179776535")</f>
        <v>https://shopee.co.id/Purivera-Everlasting-Tamanu-Serum-Oil-Scar-Repair-Bopeng-Truecica-Snail-Cica-Alternative-i.43724442.4179776535</v>
      </c>
      <c r="C387" s="6" t="s">
        <v>940</v>
      </c>
      <c r="D387" s="6" t="s">
        <v>429</v>
      </c>
      <c r="E387" s="6" t="s">
        <v>12</v>
      </c>
      <c r="F387" s="6" t="s">
        <v>13</v>
      </c>
      <c r="G387" s="6" t="s">
        <v>61</v>
      </c>
      <c r="H387" s="8" t="s">
        <v>941</v>
      </c>
      <c r="I387" s="9">
        <v>9992580.0</v>
      </c>
      <c r="J387" s="5" t="str">
        <f t="shared" ref="J387:K387" si="387">SUBSTITUTE(H387, ",", "")</f>
        <v>166</v>
      </c>
      <c r="K387" s="5" t="str">
        <f t="shared" si="387"/>
        <v>Rp9992580</v>
      </c>
      <c r="L387" s="5" t="str">
        <f t="shared" si="3"/>
        <v>9992580</v>
      </c>
    </row>
    <row r="388">
      <c r="A388" s="6" t="s">
        <v>942</v>
      </c>
      <c r="B388" s="7" t="str">
        <f>HYPERLINK("https://shopee.co.id/Sensatia-Botanicals-Seastem-Marine-Essence-150-ml-i.39248912.5608908220", "https://shopee.co.id/Sensatia-Botanicals-Seastem-Marine-Essence-150-ml-i.39248912.5608908220")</f>
        <v>https://shopee.co.id/Sensatia-Botanicals-Seastem-Marine-Essence-150-ml-i.39248912.5608908220</v>
      </c>
      <c r="C388" s="6" t="s">
        <v>943</v>
      </c>
      <c r="D388" s="6" t="s">
        <v>944</v>
      </c>
      <c r="E388" s="6" t="s">
        <v>12</v>
      </c>
      <c r="F388" s="6" t="s">
        <v>13</v>
      </c>
      <c r="G388" s="6" t="s">
        <v>945</v>
      </c>
      <c r="H388" s="8" t="s">
        <v>941</v>
      </c>
      <c r="I388" s="9">
        <v>5.82926E7</v>
      </c>
      <c r="J388" s="5" t="str">
        <f t="shared" ref="J388:K388" si="388">SUBSTITUTE(H388, ",", "")</f>
        <v>166</v>
      </c>
      <c r="K388" s="5" t="str">
        <f t="shared" si="388"/>
        <v>Rp58292600</v>
      </c>
      <c r="L388" s="5" t="str">
        <f t="shared" si="3"/>
        <v>58292600</v>
      </c>
    </row>
    <row r="389">
      <c r="A389" s="6" t="s">
        <v>946</v>
      </c>
      <c r="B389" s="7" t="str">
        <f>HYPERLINK("https://shopee.co.id/Garnier-Sakura-White-Glowing-Kit-Regiment-Rangkaian-Lengkap-Untuk-Kulit-Glowing-Merona--i.62583853.9767881052", "https://shopee.co.id/Garnier-Sakura-White-Glowing-Kit-Regiment-Rangkaian-Lengkap-Untuk-Kulit-Glowing-Merona--i.62583853.9767881052")</f>
        <v>https://shopee.co.id/Garnier-Sakura-White-Glowing-Kit-Regiment-Rangkaian-Lengkap-Untuk-Kulit-Glowing-Merona--i.62583853.9767881052</v>
      </c>
      <c r="C389" s="6" t="s">
        <v>74</v>
      </c>
      <c r="D389" s="6" t="s">
        <v>75</v>
      </c>
      <c r="E389" s="6" t="s">
        <v>12</v>
      </c>
      <c r="F389" s="6" t="s">
        <v>13</v>
      </c>
      <c r="G389" s="6" t="s">
        <v>61</v>
      </c>
      <c r="H389" s="8" t="s">
        <v>947</v>
      </c>
      <c r="I389" s="9">
        <v>2.177546E7</v>
      </c>
      <c r="J389" s="5" t="str">
        <f t="shared" ref="J389:K389" si="389">SUBSTITUTE(H389, ",", "")</f>
        <v>165</v>
      </c>
      <c r="K389" s="5" t="str">
        <f t="shared" si="389"/>
        <v>Rp21775460</v>
      </c>
      <c r="L389" s="5" t="str">
        <f t="shared" si="3"/>
        <v>21775460</v>
      </c>
    </row>
    <row r="390">
      <c r="A390" s="6" t="s">
        <v>948</v>
      </c>
      <c r="B390" s="7" t="str">
        <f>HYPERLINK("https://shopee.co.id/MEDGLOW-CLINIC-Niacinamide-Zinc-Serum-Aesthetic-Skincare-Serum-Whitening-Noda-Bekas-Jerawat-BPOM-i.285885972.6149884623", "https://shopee.co.id/MEDGLOW-CLINIC-Niacinamide-Zinc-Serum-Aesthetic-Skincare-Serum-Whitening-Noda-Bekas-Jerawat-BPOM-i.285885972.6149884623")</f>
        <v>https://shopee.co.id/MEDGLOW-CLINIC-Niacinamide-Zinc-Serum-Aesthetic-Skincare-Serum-Whitening-Noda-Bekas-Jerawat-BPOM-i.285885972.6149884623</v>
      </c>
      <c r="C390" s="6" t="s">
        <v>949</v>
      </c>
      <c r="D390" s="6" t="s">
        <v>950</v>
      </c>
      <c r="E390" s="6" t="s">
        <v>12</v>
      </c>
      <c r="F390" s="6" t="s">
        <v>13</v>
      </c>
      <c r="G390" s="6" t="s">
        <v>380</v>
      </c>
      <c r="H390" s="8" t="s">
        <v>951</v>
      </c>
      <c r="I390" s="9">
        <v>8200000.0</v>
      </c>
      <c r="J390" s="5" t="str">
        <f t="shared" ref="J390:K390" si="390">SUBSTITUTE(H390, ",", "")</f>
        <v>164</v>
      </c>
      <c r="K390" s="5" t="str">
        <f t="shared" si="390"/>
        <v>Rp8200000</v>
      </c>
      <c r="L390" s="5" t="str">
        <f t="shared" si="3"/>
        <v>8200000</v>
      </c>
    </row>
    <row r="391">
      <c r="A391" s="6" t="s">
        <v>952</v>
      </c>
      <c r="B391" s="7" t="str">
        <f>HYPERLINK("https://shopee.co.id/True-to-Skin-Hyaluronic-Acid-Hydrating-Serum-Pure-Mini-HA-Vit-B5-Allantoin-FREE-SAMPLE-POTONGAN-40K-i.344023672.5366117330", "https://shopee.co.id/True-to-Skin-Hyaluronic-Acid-Hydrating-Serum-Pure-Mini-HA-Vit-B5-Allantoin-FREE-SAMPLE-POTONGAN-40K-i.344023672.5366117330")</f>
        <v>https://shopee.co.id/True-to-Skin-Hyaluronic-Acid-Hydrating-Serum-Pure-Mini-HA-Vit-B5-Allantoin-FREE-SAMPLE-POTONGAN-40K-i.344023672.5366117330</v>
      </c>
      <c r="C391" s="6" t="s">
        <v>666</v>
      </c>
      <c r="D391" s="6" t="s">
        <v>667</v>
      </c>
      <c r="E391" s="6" t="s">
        <v>12</v>
      </c>
      <c r="F391" s="6" t="s">
        <v>13</v>
      </c>
      <c r="G391" s="6" t="s">
        <v>130</v>
      </c>
      <c r="H391" s="8" t="s">
        <v>951</v>
      </c>
      <c r="I391" s="9">
        <v>6807200.0</v>
      </c>
      <c r="J391" s="5" t="str">
        <f t="shared" ref="J391:K391" si="391">SUBSTITUTE(H391, ",", "")</f>
        <v>164</v>
      </c>
      <c r="K391" s="5" t="str">
        <f t="shared" si="391"/>
        <v>Rp6807200</v>
      </c>
      <c r="L391" s="5" t="str">
        <f t="shared" si="3"/>
        <v>6807200</v>
      </c>
    </row>
    <row r="392">
      <c r="A392" s="6" t="s">
        <v>953</v>
      </c>
      <c r="B392" s="7" t="str">
        <f>HYPERLINK("https://shopee.co.id/Ella-Skincare-Bye-Oily-Skin-Serum-i.95154428.5633155636", "https://shopee.co.id/Ella-Skincare-Bye-Oily-Skin-Serum-i.95154428.5633155636")</f>
        <v>https://shopee.co.id/Ella-Skincare-Bye-Oily-Skin-Serum-i.95154428.5633155636</v>
      </c>
      <c r="C392" s="6" t="s">
        <v>954</v>
      </c>
      <c r="D392" s="6" t="s">
        <v>598</v>
      </c>
      <c r="E392" s="6" t="s">
        <v>12</v>
      </c>
      <c r="F392" s="6" t="s">
        <v>13</v>
      </c>
      <c r="G392" s="6" t="s">
        <v>409</v>
      </c>
      <c r="H392" s="8" t="s">
        <v>955</v>
      </c>
      <c r="I392" s="9">
        <v>3.013198E7</v>
      </c>
      <c r="J392" s="5" t="str">
        <f t="shared" ref="J392:K392" si="392">SUBSTITUTE(H392, ",", "")</f>
        <v>160</v>
      </c>
      <c r="K392" s="5" t="str">
        <f t="shared" si="392"/>
        <v>Rp30131980</v>
      </c>
      <c r="L392" s="5" t="str">
        <f t="shared" si="3"/>
        <v>30131980</v>
      </c>
    </row>
    <row r="393">
      <c r="A393" s="6" t="s">
        <v>956</v>
      </c>
      <c r="B393" s="7" t="str">
        <f>HYPERLINK("https://shopee.co.id/Derma-Express-Midnight-Glow-Brightening-Serum-i.243650388.9546316923", "https://shopee.co.id/Derma-Express-Midnight-Glow-Brightening-Serum-i.243650388.9546316923")</f>
        <v>https://shopee.co.id/Derma-Express-Midnight-Glow-Brightening-Serum-i.243650388.9546316923</v>
      </c>
      <c r="C393" s="6" t="s">
        <v>957</v>
      </c>
      <c r="D393" s="6" t="s">
        <v>958</v>
      </c>
      <c r="E393" s="6" t="s">
        <v>12</v>
      </c>
      <c r="F393" s="6" t="s">
        <v>13</v>
      </c>
      <c r="G393" s="6" t="s">
        <v>532</v>
      </c>
      <c r="H393" s="8" t="s">
        <v>959</v>
      </c>
      <c r="I393" s="9">
        <v>3.0237E7</v>
      </c>
      <c r="J393" s="5" t="str">
        <f t="shared" ref="J393:K393" si="393">SUBSTITUTE(H393, ",", "")</f>
        <v>159</v>
      </c>
      <c r="K393" s="5" t="str">
        <f t="shared" si="393"/>
        <v>Rp30237000</v>
      </c>
      <c r="L393" s="5" t="str">
        <f t="shared" si="3"/>
        <v>30237000</v>
      </c>
    </row>
    <row r="394">
      <c r="A394" s="6" t="s">
        <v>960</v>
      </c>
      <c r="B394" s="7" t="str">
        <f>HYPERLINK("https://shopee.co.id/Somethinc-HYAluronic9-Advanced-B5-Serum-20-ml-i.110573301.8815961729", "https://shopee.co.id/Somethinc-HYAluronic9-Advanced-B5-Serum-20-ml-i.110573301.8815961729")</f>
        <v>https://shopee.co.id/Somethinc-HYAluronic9-Advanced-B5-Serum-20-ml-i.110573301.8815961729</v>
      </c>
      <c r="C394" s="6" t="s">
        <v>45</v>
      </c>
      <c r="D394" s="6" t="s">
        <v>227</v>
      </c>
      <c r="E394" s="6" t="s">
        <v>12</v>
      </c>
      <c r="F394" s="6" t="s">
        <v>13</v>
      </c>
      <c r="G394" s="6" t="s">
        <v>61</v>
      </c>
      <c r="H394" s="8" t="s">
        <v>961</v>
      </c>
      <c r="I394" s="9">
        <v>1.288652E7</v>
      </c>
      <c r="J394" s="5" t="str">
        <f t="shared" ref="J394:K394" si="394">SUBSTITUTE(H394, ",", "")</f>
        <v>158</v>
      </c>
      <c r="K394" s="5" t="str">
        <f t="shared" si="394"/>
        <v>Rp12886520</v>
      </c>
      <c r="L394" s="5" t="str">
        <f t="shared" si="3"/>
        <v>12886520</v>
      </c>
    </row>
    <row r="395">
      <c r="A395" s="6" t="s">
        <v>962</v>
      </c>
      <c r="B395" s="7" t="str">
        <f>HYPERLINK("https://shopee.co.id/NACIFIC-Phyto-Niacin-Whitening-Essence-50ml-i.238604292.3821917426", "https://shopee.co.id/NACIFIC-Phyto-Niacin-Whitening-Essence-50ml-i.238604292.3821917426")</f>
        <v>https://shopee.co.id/NACIFIC-Phyto-Niacin-Whitening-Essence-50ml-i.238604292.3821917426</v>
      </c>
      <c r="C395" s="6" t="s">
        <v>344</v>
      </c>
      <c r="D395" s="6" t="s">
        <v>918</v>
      </c>
      <c r="E395" s="6" t="s">
        <v>12</v>
      </c>
      <c r="F395" s="6" t="s">
        <v>13</v>
      </c>
      <c r="G395" s="6" t="s">
        <v>80</v>
      </c>
      <c r="H395" s="8" t="s">
        <v>961</v>
      </c>
      <c r="I395" s="9">
        <v>2962350.0</v>
      </c>
      <c r="J395" s="5" t="str">
        <f t="shared" ref="J395:K395" si="395">SUBSTITUTE(H395, ",", "")</f>
        <v>158</v>
      </c>
      <c r="K395" s="5" t="str">
        <f t="shared" si="395"/>
        <v>Rp2962350</v>
      </c>
      <c r="L395" s="5" t="str">
        <f t="shared" si="3"/>
        <v>2962350</v>
      </c>
    </row>
    <row r="396">
      <c r="A396" s="6" t="s">
        <v>963</v>
      </c>
      <c r="B396" s="7" t="str">
        <f>HYPERLINK("https://shopee.co.id/Mamonde-Red-Energy-Recovery-Serum-30ml-i.160417197.6436311404", "https://shopee.co.id/Mamonde-Red-Energy-Recovery-Serum-30ml-i.160417197.6436311404")</f>
        <v>https://shopee.co.id/Mamonde-Red-Energy-Recovery-Serum-30ml-i.160417197.6436311404</v>
      </c>
      <c r="C396" s="6" t="s">
        <v>447</v>
      </c>
      <c r="D396" s="6" t="s">
        <v>448</v>
      </c>
      <c r="E396" s="6" t="s">
        <v>12</v>
      </c>
      <c r="F396" s="6" t="s">
        <v>13</v>
      </c>
      <c r="G396" s="6" t="s">
        <v>61</v>
      </c>
      <c r="H396" s="8" t="s">
        <v>964</v>
      </c>
      <c r="I396" s="9">
        <v>1.8683E7</v>
      </c>
      <c r="J396" s="5" t="str">
        <f t="shared" ref="J396:K396" si="396">SUBSTITUTE(H396, ",", "")</f>
        <v>157</v>
      </c>
      <c r="K396" s="5" t="str">
        <f t="shared" si="396"/>
        <v>Rp18683000</v>
      </c>
      <c r="L396" s="5" t="str">
        <f t="shared" si="3"/>
        <v>18683000</v>
      </c>
    </row>
    <row r="397">
      <c r="A397" s="6" t="s">
        <v>965</v>
      </c>
      <c r="B397" s="7" t="str">
        <f>HYPERLINK("https://shopee.co.id/Shiseido-White-Lucent-Illuminating-Micro-Spot-Serum-30ML-i.345419471.7869899262", "https://shopee.co.id/Shiseido-White-Lucent-Illuminating-Micro-Spot-Serum-30ML-i.345419471.7869899262")</f>
        <v>https://shopee.co.id/Shiseido-White-Lucent-Illuminating-Micro-Spot-Serum-30ML-i.345419471.7869899262</v>
      </c>
      <c r="C397" s="6" t="s">
        <v>868</v>
      </c>
      <c r="D397" s="6" t="s">
        <v>869</v>
      </c>
      <c r="E397" s="6" t="s">
        <v>12</v>
      </c>
      <c r="F397" s="6" t="s">
        <v>13</v>
      </c>
      <c r="G397" s="6" t="s">
        <v>130</v>
      </c>
      <c r="H397" s="8" t="s">
        <v>964</v>
      </c>
      <c r="I397" s="9">
        <v>1.4817E7</v>
      </c>
      <c r="J397" s="5" t="str">
        <f t="shared" ref="J397:K397" si="397">SUBSTITUTE(H397, ",", "")</f>
        <v>157</v>
      </c>
      <c r="K397" s="5" t="str">
        <f t="shared" si="397"/>
        <v>Rp14817000</v>
      </c>
      <c r="L397" s="5" t="str">
        <f t="shared" si="3"/>
        <v>14817000</v>
      </c>
    </row>
    <row r="398">
      <c r="A398" s="6" t="s">
        <v>966</v>
      </c>
      <c r="B398" s="7" t="str">
        <f>HYPERLINK("https://shopee.co.id/Dear-Me-Beauty-5-Inoceramide-Ceramide-Pomegranate-Extract-Face-Serum-32ml-i.45495764.9148396869", "https://shopee.co.id/Dear-Me-Beauty-5-Inoceramide-Ceramide-Pomegranate-Extract-Face-Serum-32ml-i.45495764.9148396869")</f>
        <v>https://shopee.co.id/Dear-Me-Beauty-5-Inoceramide-Ceramide-Pomegranate-Extract-Face-Serum-32ml-i.45495764.9148396869</v>
      </c>
      <c r="C398" s="6" t="s">
        <v>70</v>
      </c>
      <c r="D398" s="6" t="s">
        <v>71</v>
      </c>
      <c r="E398" s="6" t="s">
        <v>12</v>
      </c>
      <c r="F398" s="6" t="s">
        <v>13</v>
      </c>
      <c r="G398" s="6" t="s">
        <v>61</v>
      </c>
      <c r="H398" s="8" t="s">
        <v>967</v>
      </c>
      <c r="I398" s="9">
        <v>3936500.0</v>
      </c>
      <c r="J398" s="5" t="str">
        <f t="shared" ref="J398:K398" si="398">SUBSTITUTE(H398, ",", "")</f>
        <v>156</v>
      </c>
      <c r="K398" s="5" t="str">
        <f t="shared" si="398"/>
        <v>Rp3936500</v>
      </c>
      <c r="L398" s="5" t="str">
        <f t="shared" si="3"/>
        <v>3936500</v>
      </c>
    </row>
    <row r="399">
      <c r="A399" s="6" t="s">
        <v>968</v>
      </c>
      <c r="B399" s="7" t="str">
        <f>HYPERLINK("https://shopee.co.id/Tuesbelle-NUTRISHE-Intensive-Bright-Glow-Serum-20ml-30ml-i.36872574.3293306963", "https://shopee.co.id/Tuesbelle-NUTRISHE-Intensive-Bright-Glow-Serum-20ml-30ml-i.36872574.3293306963")</f>
        <v>https://shopee.co.id/Tuesbelle-NUTRISHE-Intensive-Bright-Glow-Serum-20ml-30ml-i.36872574.3293306963</v>
      </c>
      <c r="C399" s="6" t="s">
        <v>195</v>
      </c>
      <c r="D399" s="6" t="s">
        <v>969</v>
      </c>
      <c r="E399" s="6" t="s">
        <v>12</v>
      </c>
      <c r="F399" s="6" t="s">
        <v>13</v>
      </c>
      <c r="G399" s="6" t="s">
        <v>115</v>
      </c>
      <c r="H399" s="8" t="s">
        <v>967</v>
      </c>
      <c r="I399" s="9">
        <v>1.40661E7</v>
      </c>
      <c r="J399" s="5" t="str">
        <f t="shared" ref="J399:K399" si="399">SUBSTITUTE(H399, ",", "")</f>
        <v>156</v>
      </c>
      <c r="K399" s="5" t="str">
        <f t="shared" si="399"/>
        <v>Rp14066100</v>
      </c>
      <c r="L399" s="5" t="str">
        <f t="shared" si="3"/>
        <v>14066100</v>
      </c>
    </row>
    <row r="400">
      <c r="A400" s="6" t="s">
        <v>970</v>
      </c>
      <c r="B400" s="7" t="str">
        <f>HYPERLINK("https://shopee.co.id/Laneige-Water-Bank-Hydro-Essence-70ml-OL21--i.52917348.7717272150", "https://shopee.co.id/Laneige-Water-Bank-Hydro-Essence-70ml-OL21--i.52917348.7717272150")</f>
        <v>https://shopee.co.id/Laneige-Water-Bank-Hydro-Essence-70ml-OL21--i.52917348.7717272150</v>
      </c>
      <c r="C400" s="6" t="s">
        <v>364</v>
      </c>
      <c r="D400" s="6" t="s">
        <v>365</v>
      </c>
      <c r="E400" s="6" t="s">
        <v>12</v>
      </c>
      <c r="F400" s="6" t="s">
        <v>13</v>
      </c>
      <c r="G400" s="6" t="s">
        <v>61</v>
      </c>
      <c r="H400" s="8" t="s">
        <v>971</v>
      </c>
      <c r="I400" s="9">
        <v>1.49345E7</v>
      </c>
      <c r="J400" s="5" t="str">
        <f t="shared" ref="J400:K400" si="400">SUBSTITUTE(H400, ",", "")</f>
        <v>155</v>
      </c>
      <c r="K400" s="5" t="str">
        <f t="shared" si="400"/>
        <v>Rp14934500</v>
      </c>
      <c r="L400" s="5" t="str">
        <f t="shared" si="3"/>
        <v>14934500</v>
      </c>
    </row>
    <row r="401">
      <c r="A401" s="6" t="s">
        <v>972</v>
      </c>
      <c r="B401" s="7" t="str">
        <f>HYPERLINK("https://shopee.co.id/MEDGLOW-CLINIC-Acne-Control-Serum-Aesthetic-Skincare-Serum-Anti-Acne-Jerawat-Komedo-Oily-Skin-BPOM-i.285885972.3847684967", "https://shopee.co.id/MEDGLOW-CLINIC-Acne-Control-Serum-Aesthetic-Skincare-Serum-Anti-Acne-Jerawat-Komedo-Oily-Skin-BPOM-i.285885972.3847684967")</f>
        <v>https://shopee.co.id/MEDGLOW-CLINIC-Acne-Control-Serum-Aesthetic-Skincare-Serum-Anti-Acne-Jerawat-Komedo-Oily-Skin-BPOM-i.285885972.3847684967</v>
      </c>
      <c r="C401" s="6" t="s">
        <v>949</v>
      </c>
      <c r="D401" s="6" t="s">
        <v>950</v>
      </c>
      <c r="E401" s="6" t="s">
        <v>12</v>
      </c>
      <c r="F401" s="6" t="s">
        <v>13</v>
      </c>
      <c r="G401" s="6" t="s">
        <v>380</v>
      </c>
      <c r="H401" s="8" t="s">
        <v>973</v>
      </c>
      <c r="I401" s="9">
        <v>1.64105E7</v>
      </c>
      <c r="J401" s="5" t="str">
        <f t="shared" ref="J401:K401" si="401">SUBSTITUTE(H401, ",", "")</f>
        <v>154</v>
      </c>
      <c r="K401" s="5" t="str">
        <f t="shared" si="401"/>
        <v>Rp16410500</v>
      </c>
      <c r="L401" s="5" t="str">
        <f t="shared" si="3"/>
        <v>16410500</v>
      </c>
    </row>
    <row r="402">
      <c r="A402" s="6" t="s">
        <v>974</v>
      </c>
      <c r="B402" s="7" t="str">
        <f>HYPERLINK("https://shopee.co.id/ELLA-SKINCARE-Luminous-Glow-Serum-i.95154428.9461363664", "https://shopee.co.id/ELLA-SKINCARE-Luminous-Glow-Serum-i.95154428.9461363664")</f>
        <v>https://shopee.co.id/ELLA-SKINCARE-Luminous-Glow-Serum-i.95154428.9461363664</v>
      </c>
      <c r="C402" s="6" t="s">
        <v>954</v>
      </c>
      <c r="D402" s="6" t="s">
        <v>598</v>
      </c>
      <c r="E402" s="6" t="s">
        <v>12</v>
      </c>
      <c r="F402" s="6" t="s">
        <v>13</v>
      </c>
      <c r="G402" s="6" t="s">
        <v>409</v>
      </c>
      <c r="H402" s="8" t="s">
        <v>973</v>
      </c>
      <c r="I402" s="9">
        <v>1.3788E7</v>
      </c>
      <c r="J402" s="5" t="str">
        <f t="shared" ref="J402:K402" si="402">SUBSTITUTE(H402, ",", "")</f>
        <v>154</v>
      </c>
      <c r="K402" s="5" t="str">
        <f t="shared" si="402"/>
        <v>Rp13788000</v>
      </c>
      <c r="L402" s="5" t="str">
        <f t="shared" si="3"/>
        <v>13788000</v>
      </c>
    </row>
    <row r="403">
      <c r="A403" s="6" t="s">
        <v>975</v>
      </c>
      <c r="B403" s="7" t="str">
        <f>HYPERLINK("https://shopee.co.id/Aura-Bright-Signature-Whitening-i.127215672.3362502593", "https://shopee.co.id/Aura-Bright-Signature-Whitening-i.127215672.3362502593")</f>
        <v>https://shopee.co.id/Aura-Bright-Signature-Whitening-i.127215672.3362502593</v>
      </c>
      <c r="C403" s="6" t="s">
        <v>90</v>
      </c>
      <c r="D403" s="6" t="s">
        <v>91</v>
      </c>
      <c r="E403" s="6" t="s">
        <v>12</v>
      </c>
      <c r="F403" s="6" t="s">
        <v>13</v>
      </c>
      <c r="G403" s="6" t="s">
        <v>21</v>
      </c>
      <c r="H403" s="8" t="s">
        <v>976</v>
      </c>
      <c r="I403" s="9">
        <v>1.398523E8</v>
      </c>
      <c r="J403" s="5" t="str">
        <f t="shared" ref="J403:K403" si="403">SUBSTITUTE(H403, ",", "")</f>
        <v>153</v>
      </c>
      <c r="K403" s="5" t="str">
        <f t="shared" si="403"/>
        <v>Rp139852300</v>
      </c>
      <c r="L403" s="5" t="str">
        <f t="shared" si="3"/>
        <v>139852300</v>
      </c>
    </row>
    <row r="404">
      <c r="A404" s="6" t="s">
        <v>977</v>
      </c>
      <c r="B404" s="7" t="str">
        <f>HYPERLINK("https://shopee.co.id/L-Occitane-Immortelle-Reset-Triphase-Essence-150ml-i.88079439.2943809422", "https://shopee.co.id/L-Occitane-Immortelle-Reset-Triphase-Essence-150ml-i.88079439.2943809422")</f>
        <v>https://shopee.co.id/L-Occitane-Immortelle-Reset-Triphase-Essence-150ml-i.88079439.2943809422</v>
      </c>
      <c r="C404" s="6" t="s">
        <v>579</v>
      </c>
      <c r="D404" s="6" t="s">
        <v>580</v>
      </c>
      <c r="E404" s="6" t="s">
        <v>12</v>
      </c>
      <c r="F404" s="6" t="s">
        <v>13</v>
      </c>
      <c r="G404" s="6" t="s">
        <v>532</v>
      </c>
      <c r="H404" s="8" t="s">
        <v>978</v>
      </c>
      <c r="I404" s="9">
        <v>1.45134E7</v>
      </c>
      <c r="J404" s="5" t="str">
        <f t="shared" ref="J404:K404" si="404">SUBSTITUTE(H404, ",", "")</f>
        <v>152</v>
      </c>
      <c r="K404" s="5" t="str">
        <f t="shared" si="404"/>
        <v>Rp14513400</v>
      </c>
      <c r="L404" s="5" t="str">
        <f t="shared" si="3"/>
        <v>14513400</v>
      </c>
    </row>
    <row r="405">
      <c r="A405" s="6" t="s">
        <v>979</v>
      </c>
      <c r="B405" s="7" t="str">
        <f>HYPERLINK("https://shopee.co.id/BHUMI-G-Alpine-Brightening-Serum-i.37421755.2751064563", "https://shopee.co.id/BHUMI-G-Alpine-Brightening-Serum-i.37421755.2751064563")</f>
        <v>https://shopee.co.id/BHUMI-G-Alpine-Brightening-Serum-i.37421755.2751064563</v>
      </c>
      <c r="C405" s="6" t="s">
        <v>753</v>
      </c>
      <c r="D405" s="6" t="s">
        <v>754</v>
      </c>
      <c r="E405" s="6" t="s">
        <v>12</v>
      </c>
      <c r="F405" s="6" t="s">
        <v>13</v>
      </c>
      <c r="G405" s="6" t="s">
        <v>469</v>
      </c>
      <c r="H405" s="8" t="s">
        <v>980</v>
      </c>
      <c r="I405" s="9">
        <v>5.36337E7</v>
      </c>
      <c r="J405" s="5" t="str">
        <f t="shared" ref="J405:K405" si="405">SUBSTITUTE(H405, ",", "")</f>
        <v>151</v>
      </c>
      <c r="K405" s="5" t="str">
        <f t="shared" si="405"/>
        <v>Rp53633700</v>
      </c>
      <c r="L405" s="5" t="str">
        <f t="shared" si="3"/>
        <v>53633700</v>
      </c>
    </row>
    <row r="406">
      <c r="A406" s="6" t="s">
        <v>981</v>
      </c>
      <c r="B406" s="7" t="str">
        <f>HYPERLINK("https://shopee.co.id/BHUMI-Acid-Complex-Clearing-Serum-i.37421755.2751171750", "https://shopee.co.id/BHUMI-Acid-Complex-Clearing-Serum-i.37421755.2751171750")</f>
        <v>https://shopee.co.id/BHUMI-Acid-Complex-Clearing-Serum-i.37421755.2751171750</v>
      </c>
      <c r="C406" s="6" t="s">
        <v>753</v>
      </c>
      <c r="D406" s="6" t="s">
        <v>754</v>
      </c>
      <c r="E406" s="6" t="s">
        <v>12</v>
      </c>
      <c r="F406" s="6" t="s">
        <v>13</v>
      </c>
      <c r="G406" s="6" t="s">
        <v>469</v>
      </c>
      <c r="H406" s="8" t="s">
        <v>982</v>
      </c>
      <c r="I406" s="9">
        <v>8547000.0</v>
      </c>
      <c r="J406" s="5" t="str">
        <f t="shared" ref="J406:K406" si="406">SUBSTITUTE(H406, ",", "")</f>
        <v>150</v>
      </c>
      <c r="K406" s="5" t="str">
        <f t="shared" si="406"/>
        <v>Rp8547000</v>
      </c>
      <c r="L406" s="5" t="str">
        <f t="shared" si="3"/>
        <v>8547000</v>
      </c>
    </row>
    <row r="407">
      <c r="A407" s="6" t="s">
        <v>983</v>
      </c>
      <c r="B407" s="7" t="str">
        <f>HYPERLINK("https://shopee.co.id/Bio-Essence-Bio-Gold-Water-Essence-30ml-Perawatan-Wajah-Anti-Aging-i.63822287.1222692632", "https://shopee.co.id/Bio-Essence-Bio-Gold-Water-Essence-30ml-Perawatan-Wajah-Anti-Aging-i.63822287.1222692632")</f>
        <v>https://shopee.co.id/Bio-Essence-Bio-Gold-Water-Essence-30ml-Perawatan-Wajah-Anti-Aging-i.63822287.1222692632</v>
      </c>
      <c r="C407" s="6" t="s">
        <v>834</v>
      </c>
      <c r="D407" s="6" t="s">
        <v>835</v>
      </c>
      <c r="E407" s="6" t="s">
        <v>12</v>
      </c>
      <c r="F407" s="6" t="s">
        <v>13</v>
      </c>
      <c r="G407" s="6" t="s">
        <v>61</v>
      </c>
      <c r="H407" s="8" t="s">
        <v>982</v>
      </c>
      <c r="I407" s="9">
        <v>3.585E8</v>
      </c>
      <c r="J407" s="5" t="str">
        <f t="shared" ref="J407:K407" si="407">SUBSTITUTE(H407, ",", "")</f>
        <v>150</v>
      </c>
      <c r="K407" s="5" t="str">
        <f t="shared" si="407"/>
        <v>Rp358500000</v>
      </c>
      <c r="L407" s="5" t="str">
        <f t="shared" si="3"/>
        <v>358500000</v>
      </c>
    </row>
    <row r="408">
      <c r="A408" s="6" t="s">
        <v>984</v>
      </c>
      <c r="B408" s="7" t="str">
        <f>HYPERLINK("https://shopee.co.id/SECA-NIACINAMIDE-10-Serum-i.373749700.9872923302", "https://shopee.co.id/SECA-NIACINAMIDE-10-Serum-i.373749700.9872923302")</f>
        <v>https://shopee.co.id/SECA-NIACINAMIDE-10-Serum-i.373749700.9872923302</v>
      </c>
      <c r="C408" s="6" t="s">
        <v>985</v>
      </c>
      <c r="D408" s="6" t="s">
        <v>986</v>
      </c>
      <c r="E408" s="6" t="s">
        <v>12</v>
      </c>
      <c r="F408" s="6" t="s">
        <v>13</v>
      </c>
      <c r="G408" s="6" t="s">
        <v>36</v>
      </c>
      <c r="H408" s="8" t="s">
        <v>982</v>
      </c>
      <c r="I408" s="9">
        <v>1.869E7</v>
      </c>
      <c r="J408" s="5" t="str">
        <f t="shared" ref="J408:K408" si="408">SUBSTITUTE(H408, ",", "")</f>
        <v>150</v>
      </c>
      <c r="K408" s="5" t="str">
        <f t="shared" si="408"/>
        <v>Rp18690000</v>
      </c>
      <c r="L408" s="5" t="str">
        <f t="shared" si="3"/>
        <v>18690000</v>
      </c>
    </row>
    <row r="409">
      <c r="A409" s="6" t="s">
        <v>987</v>
      </c>
      <c r="B409" s="7" t="str">
        <f>HYPERLINK("https://shopee.co.id/Derma-Express-Day-Light-Whitening-Serum-i.243650388.9946308657", "https://shopee.co.id/Derma-Express-Day-Light-Whitening-Serum-i.243650388.9946308657")</f>
        <v>https://shopee.co.id/Derma-Express-Day-Light-Whitening-Serum-i.243650388.9946308657</v>
      </c>
      <c r="C409" s="6" t="s">
        <v>957</v>
      </c>
      <c r="D409" s="6" t="s">
        <v>958</v>
      </c>
      <c r="E409" s="6" t="s">
        <v>12</v>
      </c>
      <c r="F409" s="6" t="s">
        <v>13</v>
      </c>
      <c r="G409" s="6" t="s">
        <v>532</v>
      </c>
      <c r="H409" s="8" t="s">
        <v>988</v>
      </c>
      <c r="I409" s="9">
        <v>1.501E7</v>
      </c>
      <c r="J409" s="5" t="str">
        <f t="shared" ref="J409:K409" si="409">SUBSTITUTE(H409, ",", "")</f>
        <v>149</v>
      </c>
      <c r="K409" s="5" t="str">
        <f t="shared" si="409"/>
        <v>Rp15010000</v>
      </c>
      <c r="L409" s="5" t="str">
        <f t="shared" si="3"/>
        <v>15010000</v>
      </c>
    </row>
    <row r="410">
      <c r="A410" s="6" t="s">
        <v>989</v>
      </c>
      <c r="B410" s="7" t="str">
        <f>HYPERLINK("https://shopee.co.id/Olay-Regenerist-Micro-Sculpting-Essence-Water-Serum-Wajah-Brightening-Skincare-150ml-i.11487927.8173536337", "https://shopee.co.id/Olay-Regenerist-Micro-Sculpting-Essence-Water-Serum-Wajah-Brightening-Skincare-150ml-i.11487927.8173536337")</f>
        <v>https://shopee.co.id/Olay-Regenerist-Micro-Sculpting-Essence-Water-Serum-Wajah-Brightening-Skincare-150ml-i.11487927.8173536337</v>
      </c>
      <c r="C410" s="6" t="s">
        <v>317</v>
      </c>
      <c r="D410" s="6" t="s">
        <v>318</v>
      </c>
      <c r="E410" s="6" t="s">
        <v>12</v>
      </c>
      <c r="F410" s="6" t="s">
        <v>13</v>
      </c>
      <c r="G410" s="6" t="s">
        <v>296</v>
      </c>
      <c r="H410" s="8" t="s">
        <v>988</v>
      </c>
      <c r="I410" s="9">
        <v>3.37186E7</v>
      </c>
      <c r="J410" s="5" t="str">
        <f t="shared" ref="J410:K410" si="410">SUBSTITUTE(H410, ",", "")</f>
        <v>149</v>
      </c>
      <c r="K410" s="5" t="str">
        <f t="shared" si="410"/>
        <v>Rp33718600</v>
      </c>
      <c r="L410" s="5" t="str">
        <f t="shared" si="3"/>
        <v>33718600</v>
      </c>
    </row>
    <row r="411">
      <c r="A411" s="6" t="s">
        <v>990</v>
      </c>
      <c r="B411" s="7" t="str">
        <f>HYPERLINK("https://shopee.co.id/SOMETHINC-5-Niacinamide-Moisture-Sabi-Beet-Serum-20ml-5-sabi--i.68111.9611040642", "https://shopee.co.id/SOMETHINC-5-Niacinamide-Moisture-Sabi-Beet-Serum-20ml-5-sabi--i.68111.9611040642")</f>
        <v>https://shopee.co.id/SOMETHINC-5-Niacinamide-Moisture-Sabi-Beet-Serum-20ml-5-sabi--i.68111.9611040642</v>
      </c>
      <c r="C411" s="6" t="s">
        <v>45</v>
      </c>
      <c r="D411" s="6" t="s">
        <v>441</v>
      </c>
      <c r="E411" s="6" t="s">
        <v>12</v>
      </c>
      <c r="F411" s="6" t="s">
        <v>13</v>
      </c>
      <c r="G411" s="6" t="s">
        <v>130</v>
      </c>
      <c r="H411" s="8" t="s">
        <v>991</v>
      </c>
      <c r="I411" s="9">
        <v>1.76235E7</v>
      </c>
      <c r="J411" s="5" t="str">
        <f t="shared" ref="J411:K411" si="411">SUBSTITUTE(H411, ",", "")</f>
        <v>148</v>
      </c>
      <c r="K411" s="5" t="str">
        <f t="shared" si="411"/>
        <v>Rp17623500</v>
      </c>
      <c r="L411" s="5" t="str">
        <f t="shared" si="3"/>
        <v>17623500</v>
      </c>
    </row>
    <row r="412">
      <c r="A412" s="6" t="s">
        <v>992</v>
      </c>
      <c r="B412" s="7" t="str">
        <f>HYPERLINK("https://shopee.co.id/-innisfree-Black-Tea-Youth-Enhancing-Ampoule-Jumbo-Free-Diffuser-Bundle-i.61504589.7694280121", "https://shopee.co.id/-innisfree-Black-Tea-Youth-Enhancing-Ampoule-Jumbo-Free-Diffuser-Bundle-i.61504589.7694280121")</f>
        <v>https://shopee.co.id/-innisfree-Black-Tea-Youth-Enhancing-Ampoule-Jumbo-Free-Diffuser-Bundle-i.61504589.7694280121</v>
      </c>
      <c r="C412" s="6" t="s">
        <v>294</v>
      </c>
      <c r="D412" s="6" t="s">
        <v>295</v>
      </c>
      <c r="E412" s="6" t="s">
        <v>12</v>
      </c>
      <c r="F412" s="6" t="s">
        <v>13</v>
      </c>
      <c r="G412" s="6" t="s">
        <v>296</v>
      </c>
      <c r="H412" s="8" t="s">
        <v>991</v>
      </c>
      <c r="I412" s="9">
        <v>2776400.0</v>
      </c>
      <c r="J412" s="5" t="str">
        <f t="shared" ref="J412:K412" si="412">SUBSTITUTE(H412, ",", "")</f>
        <v>148</v>
      </c>
      <c r="K412" s="5" t="str">
        <f t="shared" si="412"/>
        <v>Rp2776400</v>
      </c>
      <c r="L412" s="5" t="str">
        <f t="shared" si="3"/>
        <v>2776400</v>
      </c>
    </row>
    <row r="413">
      <c r="A413" s="6" t="s">
        <v>993</v>
      </c>
      <c r="B413" s="7" t="str">
        <f>HYPERLINK("https://shopee.co.id/SOMETHINC-Niacinamide-Moisture-Beet-Serum-20-ml--i.68111.2020472236", "https://shopee.co.id/SOMETHINC-Niacinamide-Moisture-Beet-Serum-20-ml--i.68111.2020472236")</f>
        <v>https://shopee.co.id/SOMETHINC-Niacinamide-Moisture-Beet-Serum-20-ml--i.68111.2020472236</v>
      </c>
      <c r="C413" s="6" t="s">
        <v>45</v>
      </c>
      <c r="D413" s="6" t="s">
        <v>441</v>
      </c>
      <c r="E413" s="6" t="s">
        <v>12</v>
      </c>
      <c r="F413" s="6" t="s">
        <v>13</v>
      </c>
      <c r="G413" s="6" t="s">
        <v>130</v>
      </c>
      <c r="H413" s="8" t="s">
        <v>991</v>
      </c>
      <c r="I413" s="9">
        <v>1.7420625E7</v>
      </c>
      <c r="J413" s="5" t="str">
        <f t="shared" ref="J413:K413" si="413">SUBSTITUTE(H413, ",", "")</f>
        <v>148</v>
      </c>
      <c r="K413" s="5" t="str">
        <f t="shared" si="413"/>
        <v>Rp17420625</v>
      </c>
      <c r="L413" s="5" t="str">
        <f t="shared" si="3"/>
        <v>17420625</v>
      </c>
    </row>
    <row r="414">
      <c r="A414" s="6" t="s">
        <v>994</v>
      </c>
      <c r="B414" s="7" t="str">
        <f>HYPERLINK("https://shopee.co.id/Indoganic-Beauty-Brightening-Vitamin-C-Serum-with-Glutathione-15ml-brightening-serum-vit-c-serum-i.4706308.5315062291", "https://shopee.co.id/Indoganic-Beauty-Brightening-Vitamin-C-Serum-with-Glutathione-15ml-brightening-serum-vit-c-serum-i.4706308.5315062291")</f>
        <v>https://shopee.co.id/Indoganic-Beauty-Brightening-Vitamin-C-Serum-with-Glutathione-15ml-brightening-serum-vit-c-serum-i.4706308.5315062291</v>
      </c>
      <c r="C414" s="6" t="s">
        <v>995</v>
      </c>
      <c r="D414" s="6" t="s">
        <v>996</v>
      </c>
      <c r="E414" s="6" t="s">
        <v>12</v>
      </c>
      <c r="F414" s="6" t="s">
        <v>13</v>
      </c>
      <c r="G414" s="6" t="s">
        <v>241</v>
      </c>
      <c r="H414" s="8" t="s">
        <v>997</v>
      </c>
      <c r="I414" s="9">
        <v>1.69785E7</v>
      </c>
      <c r="J414" s="5" t="str">
        <f t="shared" ref="J414:K414" si="414">SUBSTITUTE(H414, ",", "")</f>
        <v>147</v>
      </c>
      <c r="K414" s="5" t="str">
        <f t="shared" si="414"/>
        <v>Rp16978500</v>
      </c>
      <c r="L414" s="5" t="str">
        <f t="shared" si="3"/>
        <v>16978500</v>
      </c>
    </row>
    <row r="415">
      <c r="A415" s="6" t="s">
        <v>998</v>
      </c>
      <c r="B415" s="7" t="str">
        <f>HYPERLINK("https://shopee.co.id/Votre-Peau-Skin-Care-Bright-Glow-Package-i.46300234.6966251877", "https://shopee.co.id/Votre-Peau-Skin-Care-Bright-Glow-Package-i.46300234.6966251877")</f>
        <v>https://shopee.co.id/Votre-Peau-Skin-Care-Bright-Glow-Package-i.46300234.6966251877</v>
      </c>
      <c r="C415" s="6" t="s">
        <v>999</v>
      </c>
      <c r="D415" s="6" t="s">
        <v>472</v>
      </c>
      <c r="E415" s="6" t="s">
        <v>12</v>
      </c>
      <c r="F415" s="6" t="s">
        <v>13</v>
      </c>
      <c r="G415" s="6" t="s">
        <v>98</v>
      </c>
      <c r="H415" s="8" t="s">
        <v>997</v>
      </c>
      <c r="I415" s="9">
        <v>1.397187E7</v>
      </c>
      <c r="J415" s="5" t="str">
        <f t="shared" ref="J415:K415" si="415">SUBSTITUTE(H415, ",", "")</f>
        <v>147</v>
      </c>
      <c r="K415" s="5" t="str">
        <f t="shared" si="415"/>
        <v>Rp13971870</v>
      </c>
      <c r="L415" s="5" t="str">
        <f t="shared" si="3"/>
        <v>13971870</v>
      </c>
    </row>
    <row r="416">
      <c r="A416" s="6" t="s">
        <v>1000</v>
      </c>
      <c r="B416" s="7" t="str">
        <f>HYPERLINK("https://shopee.co.id/Nacific-Fresh-Herb-Origin-2-SET-Serum-Toner--i.238379974.11044407993", "https://shopee.co.id/Nacific-Fresh-Herb-Origin-2-SET-Serum-Toner--i.238379974.11044407993")</f>
        <v>https://shopee.co.id/Nacific-Fresh-Herb-Origin-2-SET-Serum-Toner--i.238379974.11044407993</v>
      </c>
      <c r="C416" s="6" t="s">
        <v>344</v>
      </c>
      <c r="D416" s="6" t="s">
        <v>345</v>
      </c>
      <c r="E416" s="6" t="s">
        <v>12</v>
      </c>
      <c r="F416" s="6" t="s">
        <v>13</v>
      </c>
      <c r="G416" s="6" t="s">
        <v>130</v>
      </c>
      <c r="H416" s="8" t="s">
        <v>1001</v>
      </c>
      <c r="I416" s="9">
        <v>5790600.0</v>
      </c>
      <c r="J416" s="5" t="str">
        <f t="shared" ref="J416:K416" si="416">SUBSTITUTE(H416, ",", "")</f>
        <v>145</v>
      </c>
      <c r="K416" s="5" t="str">
        <f t="shared" si="416"/>
        <v>Rp5790600</v>
      </c>
      <c r="L416" s="5" t="str">
        <f t="shared" si="3"/>
        <v>5790600</v>
      </c>
    </row>
    <row r="417">
      <c r="A417" s="6" t="s">
        <v>1002</v>
      </c>
      <c r="B417" s="7" t="str">
        <f>HYPERLINK("https://shopee.co.id/Sulwhasoo-Concentrated-Ginseng-Renewing-Serum-Cream-Trial-Kit-1-1--i.274949344.8569824210", "https://shopee.co.id/Sulwhasoo-Concentrated-Ginseng-Renewing-Serum-Cream-Trial-Kit-1-1--i.274949344.8569824210")</f>
        <v>https://shopee.co.id/Sulwhasoo-Concentrated-Ginseng-Renewing-Serum-Cream-Trial-Kit-1-1--i.274949344.8569824210</v>
      </c>
      <c r="C417" s="6" t="s">
        <v>282</v>
      </c>
      <c r="D417" s="6" t="s">
        <v>283</v>
      </c>
      <c r="E417" s="6" t="s">
        <v>12</v>
      </c>
      <c r="F417" s="6" t="s">
        <v>13</v>
      </c>
      <c r="G417" s="6" t="s">
        <v>61</v>
      </c>
      <c r="H417" s="8" t="s">
        <v>1003</v>
      </c>
      <c r="I417" s="9">
        <v>2.6262E7</v>
      </c>
      <c r="J417" s="5" t="str">
        <f t="shared" ref="J417:K417" si="417">SUBSTITUTE(H417, ",", "")</f>
        <v>144</v>
      </c>
      <c r="K417" s="5" t="str">
        <f t="shared" si="417"/>
        <v>Rp26262000</v>
      </c>
      <c r="L417" s="5" t="str">
        <f t="shared" si="3"/>
        <v>26262000</v>
      </c>
    </row>
    <row r="418">
      <c r="A418" s="6" t="s">
        <v>1004</v>
      </c>
      <c r="B418" s="7" t="str">
        <f>HYPERLINK("https://shopee.co.id/HISERHA-VP-Booster-Series-Sabun-Essence-Serum-Pencerah-Wajah-Khusus-Pria-i.129153987.5963028640", "https://shopee.co.id/HISERHA-VP-Booster-Series-Sabun-Essence-Serum-Pencerah-Wajah-Khusus-Pria-i.129153987.5963028640")</f>
        <v>https://shopee.co.id/HISERHA-VP-Booster-Series-Sabun-Essence-Serum-Pencerah-Wajah-Khusus-Pria-i.129153987.5963028640</v>
      </c>
      <c r="C418" s="6" t="s">
        <v>181</v>
      </c>
      <c r="D418" s="6" t="s">
        <v>182</v>
      </c>
      <c r="E418" s="6" t="s">
        <v>12</v>
      </c>
      <c r="F418" s="6" t="s">
        <v>13</v>
      </c>
      <c r="G418" s="6" t="s">
        <v>61</v>
      </c>
      <c r="H418" s="8" t="s">
        <v>1005</v>
      </c>
      <c r="I418" s="9">
        <v>1.63215E7</v>
      </c>
      <c r="J418" s="5" t="str">
        <f t="shared" ref="J418:K418" si="418">SUBSTITUTE(H418, ",", "")</f>
        <v>142</v>
      </c>
      <c r="K418" s="5" t="str">
        <f t="shared" si="418"/>
        <v>Rp16321500</v>
      </c>
      <c r="L418" s="5" t="str">
        <f t="shared" si="3"/>
        <v>16321500</v>
      </c>
    </row>
    <row r="419">
      <c r="A419" s="6" t="s">
        <v>1006</v>
      </c>
      <c r="B419" s="7" t="str">
        <f>HYPERLINK("https://shopee.co.id/Dear-Me-Beauty-Paket-Serum-Bumil-12ml-PHA-Bakuchiol-i.45495764.6696522727", "https://shopee.co.id/Dear-Me-Beauty-Paket-Serum-Bumil-12ml-PHA-Bakuchiol-i.45495764.6696522727")</f>
        <v>https://shopee.co.id/Dear-Me-Beauty-Paket-Serum-Bumil-12ml-PHA-Bakuchiol-i.45495764.6696522727</v>
      </c>
      <c r="C419" s="6" t="s">
        <v>70</v>
      </c>
      <c r="D419" s="6" t="s">
        <v>71</v>
      </c>
      <c r="E419" s="6" t="s">
        <v>12</v>
      </c>
      <c r="F419" s="6" t="s">
        <v>13</v>
      </c>
      <c r="G419" s="6" t="s">
        <v>61</v>
      </c>
      <c r="H419" s="8" t="s">
        <v>1005</v>
      </c>
      <c r="I419" s="9">
        <v>1.096959E8</v>
      </c>
      <c r="J419" s="5" t="str">
        <f t="shared" ref="J419:K419" si="419">SUBSTITUTE(H419, ",", "")</f>
        <v>142</v>
      </c>
      <c r="K419" s="5" t="str">
        <f t="shared" si="419"/>
        <v>Rp109695900</v>
      </c>
      <c r="L419" s="5" t="str">
        <f t="shared" si="3"/>
        <v>109695900</v>
      </c>
    </row>
    <row r="420">
      <c r="A420" s="6" t="s">
        <v>1007</v>
      </c>
      <c r="B420" s="7" t="str">
        <f>HYPERLINK("https://shopee.co.id/Garnier-Sakura-Glow-Hyaluron-Water-Glow-Essence-Skin-Care-x-2pcs-Untuk-Kulit-Glowing-Dari-Dalam--i.62583853.8051302464", "https://shopee.co.id/Garnier-Sakura-Glow-Hyaluron-Water-Glow-Essence-Skin-Care-x-2pcs-Untuk-Kulit-Glowing-Dari-Dalam--i.62583853.8051302464")</f>
        <v>https://shopee.co.id/Garnier-Sakura-Glow-Hyaluron-Water-Glow-Essence-Skin-Care-x-2pcs-Untuk-Kulit-Glowing-Dari-Dalam--i.62583853.8051302464</v>
      </c>
      <c r="C420" s="6" t="s">
        <v>74</v>
      </c>
      <c r="D420" s="6" t="s">
        <v>75</v>
      </c>
      <c r="E420" s="6" t="s">
        <v>12</v>
      </c>
      <c r="F420" s="6" t="s">
        <v>13</v>
      </c>
      <c r="G420" s="6" t="s">
        <v>61</v>
      </c>
      <c r="H420" s="8" t="s">
        <v>1005</v>
      </c>
      <c r="I420" s="9">
        <v>2485000.0</v>
      </c>
      <c r="J420" s="5" t="str">
        <f t="shared" ref="J420:K420" si="420">SUBSTITUTE(H420, ",", "")</f>
        <v>142</v>
      </c>
      <c r="K420" s="5" t="str">
        <f t="shared" si="420"/>
        <v>Rp2485000</v>
      </c>
      <c r="L420" s="5" t="str">
        <f t="shared" si="3"/>
        <v>2485000</v>
      </c>
    </row>
    <row r="421">
      <c r="A421" s="6" t="s">
        <v>1008</v>
      </c>
      <c r="B421" s="7" t="str">
        <f>HYPERLINK("https://shopee.co.id/-Official-Distributor-Klairs-Midnight-Blue-Youth-Activating-Drop-20ml-i.63803418.1188713151", "https://shopee.co.id/-Official-Distributor-Klairs-Midnight-Blue-Youth-Activating-Drop-20ml-i.63803418.1188713151")</f>
        <v>https://shopee.co.id/-Official-Distributor-Klairs-Midnight-Blue-Youth-Activating-Drop-20ml-i.63803418.1188713151</v>
      </c>
      <c r="C421" s="6" t="s">
        <v>432</v>
      </c>
      <c r="D421" s="6" t="s">
        <v>433</v>
      </c>
      <c r="E421" s="6" t="s">
        <v>12</v>
      </c>
      <c r="F421" s="6" t="s">
        <v>13</v>
      </c>
      <c r="G421" s="6" t="s">
        <v>21</v>
      </c>
      <c r="H421" s="8" t="s">
        <v>1009</v>
      </c>
      <c r="I421" s="9">
        <v>4.31673E7</v>
      </c>
      <c r="J421" s="5" t="str">
        <f t="shared" ref="J421:K421" si="421">SUBSTITUTE(H421, ",", "")</f>
        <v>140</v>
      </c>
      <c r="K421" s="5" t="str">
        <f t="shared" si="421"/>
        <v>Rp43167300</v>
      </c>
      <c r="L421" s="5" t="str">
        <f t="shared" si="3"/>
        <v>43167300</v>
      </c>
    </row>
    <row r="422">
      <c r="A422" s="6" t="s">
        <v>1010</v>
      </c>
      <c r="B422" s="7" t="str">
        <f>HYPERLINK("https://shopee.co.id/-Buy-1-Get-1-Bio-Essence-Bio-Gold-Gold-Water-150-Ml-i.63822287.4266630542", "https://shopee.co.id/-Buy-1-Get-1-Bio-Essence-Bio-Gold-Gold-Water-150-Ml-i.63822287.4266630542")</f>
        <v>https://shopee.co.id/-Buy-1-Get-1-Bio-Essence-Bio-Gold-Gold-Water-150-Ml-i.63822287.4266630542</v>
      </c>
      <c r="C422" s="6" t="s">
        <v>834</v>
      </c>
      <c r="D422" s="6" t="s">
        <v>835</v>
      </c>
      <c r="E422" s="6" t="s">
        <v>12</v>
      </c>
      <c r="F422" s="6" t="s">
        <v>13</v>
      </c>
      <c r="G422" s="6" t="s">
        <v>61</v>
      </c>
      <c r="H422" s="8" t="s">
        <v>1009</v>
      </c>
      <c r="I422" s="9">
        <v>1.638E7</v>
      </c>
      <c r="J422" s="5" t="str">
        <f t="shared" ref="J422:K422" si="422">SUBSTITUTE(H422, ",", "")</f>
        <v>140</v>
      </c>
      <c r="K422" s="5" t="str">
        <f t="shared" si="422"/>
        <v>Rp16380000</v>
      </c>
      <c r="L422" s="5" t="str">
        <f t="shared" si="3"/>
        <v>16380000</v>
      </c>
    </row>
    <row r="423">
      <c r="A423" s="6" t="s">
        <v>1011</v>
      </c>
      <c r="B423" s="7" t="str">
        <f>HYPERLINK("https://shopee.co.id/Vaseline-Healthy-Bright-Vitamin-Gel-Serum-Fresh-Glow-Lotion-Serum-Pencerah-180Ml-i.14318452.3320969674", "https://shopee.co.id/Vaseline-Healthy-Bright-Vitamin-Gel-Serum-Fresh-Glow-Lotion-Serum-Pencerah-180Ml-i.14318452.3320969674")</f>
        <v>https://shopee.co.id/Vaseline-Healthy-Bright-Vitamin-Gel-Serum-Fresh-Glow-Lotion-Serum-Pencerah-180Ml-i.14318452.3320969674</v>
      </c>
      <c r="C423" s="6" t="s">
        <v>883</v>
      </c>
      <c r="D423" s="6" t="s">
        <v>326</v>
      </c>
      <c r="E423" s="6" t="s">
        <v>12</v>
      </c>
      <c r="F423" s="6" t="s">
        <v>13</v>
      </c>
      <c r="G423" s="6" t="s">
        <v>296</v>
      </c>
      <c r="H423" s="8" t="s">
        <v>1009</v>
      </c>
      <c r="I423" s="9">
        <v>2.746995E7</v>
      </c>
      <c r="J423" s="5" t="str">
        <f t="shared" ref="J423:K423" si="423">SUBSTITUTE(H423, ",", "")</f>
        <v>140</v>
      </c>
      <c r="K423" s="5" t="str">
        <f t="shared" si="423"/>
        <v>Rp27469950</v>
      </c>
      <c r="L423" s="5" t="str">
        <f t="shared" si="3"/>
        <v>27469950</v>
      </c>
    </row>
    <row r="424">
      <c r="A424" s="6" t="s">
        <v>1012</v>
      </c>
      <c r="B424" s="7" t="str">
        <f>HYPERLINK("https://shopee.co.id/SOMETHINC-5-Niacinamide-Moisture-Sabi-Beet-Serum-i.270965687.11730059749", "https://shopee.co.id/SOMETHINC-5-Niacinamide-Moisture-Sabi-Beet-Serum-i.270965687.11730059749")</f>
        <v>https://shopee.co.id/SOMETHINC-5-Niacinamide-Moisture-Sabi-Beet-Serum-i.270965687.11730059749</v>
      </c>
      <c r="C424" s="6" t="s">
        <v>45</v>
      </c>
      <c r="D424" s="6" t="s">
        <v>379</v>
      </c>
      <c r="E424" s="6" t="s">
        <v>12</v>
      </c>
      <c r="F424" s="6" t="s">
        <v>13</v>
      </c>
      <c r="G424" s="6" t="s">
        <v>380</v>
      </c>
      <c r="H424" s="8" t="s">
        <v>1013</v>
      </c>
      <c r="I424" s="9">
        <v>1.56623E7</v>
      </c>
      <c r="J424" s="5" t="str">
        <f t="shared" ref="J424:K424" si="424">SUBSTITUTE(H424, ",", "")</f>
        <v>139</v>
      </c>
      <c r="K424" s="5" t="str">
        <f t="shared" si="424"/>
        <v>Rp15662300</v>
      </c>
      <c r="L424" s="5" t="str">
        <f t="shared" si="3"/>
        <v>15662300</v>
      </c>
    </row>
    <row r="425">
      <c r="A425" s="6" t="s">
        <v>1014</v>
      </c>
      <c r="B425" s="7" t="str">
        <f>HYPERLINK("https://shopee.co.id/Aish-Acne-Brightening-Darkspot-Serum-Original-dan-Bersertifikat-BPOM-i.406360531.8362531011", "https://shopee.co.id/Aish-Acne-Brightening-Darkspot-Serum-Original-dan-Bersertifikat-BPOM-i.406360531.8362531011")</f>
        <v>https://shopee.co.id/Aish-Acne-Brightening-Darkspot-Serum-Original-dan-Bersertifikat-BPOM-i.406360531.8362531011</v>
      </c>
      <c r="C425" s="6" t="s">
        <v>1015</v>
      </c>
      <c r="D425" s="6" t="s">
        <v>444</v>
      </c>
      <c r="E425" s="6" t="s">
        <v>12</v>
      </c>
      <c r="F425" s="6" t="s">
        <v>13</v>
      </c>
      <c r="G425" s="6" t="s">
        <v>241</v>
      </c>
      <c r="H425" s="8" t="s">
        <v>1013</v>
      </c>
      <c r="I425" s="9">
        <v>3.159192E7</v>
      </c>
      <c r="J425" s="5" t="str">
        <f t="shared" ref="J425:K425" si="425">SUBSTITUTE(H425, ",", "")</f>
        <v>139</v>
      </c>
      <c r="K425" s="5" t="str">
        <f t="shared" si="425"/>
        <v>Rp31591920</v>
      </c>
      <c r="L425" s="5" t="str">
        <f t="shared" si="3"/>
        <v>31591920</v>
      </c>
    </row>
    <row r="426">
      <c r="A426" s="6" t="s">
        <v>1016</v>
      </c>
      <c r="B426" s="7" t="str">
        <f>HYPERLINK("https://shopee.co.id/Dr-Jart-V7-Serum-i.126014132.2713199778", "https://shopee.co.id/Dr-Jart-V7-Serum-i.126014132.2713199778")</f>
        <v>https://shopee.co.id/Dr-Jart-V7-Serum-i.126014132.2713199778</v>
      </c>
      <c r="C426" s="6" t="s">
        <v>639</v>
      </c>
      <c r="D426" s="6" t="s">
        <v>640</v>
      </c>
      <c r="E426" s="6" t="s">
        <v>12</v>
      </c>
      <c r="F426" s="6" t="s">
        <v>13</v>
      </c>
      <c r="G426" s="6" t="s">
        <v>61</v>
      </c>
      <c r="H426" s="8" t="s">
        <v>1017</v>
      </c>
      <c r="I426" s="9">
        <v>2.02938E7</v>
      </c>
      <c r="J426" s="5" t="str">
        <f t="shared" ref="J426:K426" si="426">SUBSTITUTE(H426, ",", "")</f>
        <v>138</v>
      </c>
      <c r="K426" s="5" t="str">
        <f t="shared" si="426"/>
        <v>Rp20293800</v>
      </c>
      <c r="L426" s="5" t="str">
        <f t="shared" si="3"/>
        <v>20293800</v>
      </c>
    </row>
    <row r="427">
      <c r="A427" s="6" t="s">
        <v>1018</v>
      </c>
      <c r="B427" s="7" t="str">
        <f>HYPERLINK("https://shopee.co.id/Real-White-Alpha-Arbutin-Serum-i.349337394.7574587165", "https://shopee.co.id/Real-White-Alpha-Arbutin-Serum-i.349337394.7574587165")</f>
        <v>https://shopee.co.id/Real-White-Alpha-Arbutin-Serum-i.349337394.7574587165</v>
      </c>
      <c r="C427" s="6" t="s">
        <v>547</v>
      </c>
      <c r="D427" s="6" t="s">
        <v>548</v>
      </c>
      <c r="E427" s="6" t="s">
        <v>12</v>
      </c>
      <c r="F427" s="6" t="s">
        <v>13</v>
      </c>
      <c r="G427" s="6" t="s">
        <v>380</v>
      </c>
      <c r="H427" s="8" t="s">
        <v>1019</v>
      </c>
      <c r="I427" s="9">
        <v>2.73175E7</v>
      </c>
      <c r="J427" s="5" t="str">
        <f t="shared" ref="J427:K427" si="427">SUBSTITUTE(H427, ",", "")</f>
        <v>137</v>
      </c>
      <c r="K427" s="5" t="str">
        <f t="shared" si="427"/>
        <v>Rp27317500</v>
      </c>
      <c r="L427" s="5" t="str">
        <f t="shared" si="3"/>
        <v>27317500</v>
      </c>
    </row>
    <row r="428">
      <c r="A428" s="6" t="s">
        <v>1020</v>
      </c>
      <c r="B428" s="7" t="str">
        <f>HYPERLINK("https://shopee.co.id/Avoskin-Miraculous-Refining-Serum-30-Ml-Pencerah-Dan-Regenerasi-Kulit-Pengangkat-Sel-Kulit-Mati-i.50972887.4057761432", "https://shopee.co.id/Avoskin-Miraculous-Refining-Serum-30-Ml-Pencerah-Dan-Regenerasi-Kulit-Pengangkat-Sel-Kulit-Mati-i.50972887.4057761432")</f>
        <v>https://shopee.co.id/Avoskin-Miraculous-Refining-Serum-30-Ml-Pencerah-Dan-Regenerasi-Kulit-Pengangkat-Sel-Kulit-Mati-i.50972887.4057761432</v>
      </c>
      <c r="C428" s="6" t="s">
        <v>83</v>
      </c>
      <c r="D428" s="6" t="s">
        <v>552</v>
      </c>
      <c r="E428" s="6" t="s">
        <v>12</v>
      </c>
      <c r="F428" s="6" t="s">
        <v>13</v>
      </c>
      <c r="G428" s="6" t="s">
        <v>61</v>
      </c>
      <c r="H428" s="8" t="s">
        <v>1021</v>
      </c>
      <c r="I428" s="9">
        <v>1.36771E8</v>
      </c>
      <c r="J428" s="5" t="str">
        <f t="shared" ref="J428:K428" si="428">SUBSTITUTE(H428, ",", "")</f>
        <v>136</v>
      </c>
      <c r="K428" s="5" t="str">
        <f t="shared" si="428"/>
        <v>Rp136771000</v>
      </c>
      <c r="L428" s="5" t="str">
        <f t="shared" si="3"/>
        <v>136771000</v>
      </c>
    </row>
    <row r="429">
      <c r="A429" s="6" t="s">
        <v>1022</v>
      </c>
      <c r="B429" s="7" t="str">
        <f>HYPERLINK("https://shopee.co.id/Laneige-Water-Bank-Moisture-Essence-70ml-OL21--i.52917348.7717272179", "https://shopee.co.id/Laneige-Water-Bank-Moisture-Essence-70ml-OL21--i.52917348.7717272179")</f>
        <v>https://shopee.co.id/Laneige-Water-Bank-Moisture-Essence-70ml-OL21--i.52917348.7717272179</v>
      </c>
      <c r="C429" s="6" t="s">
        <v>364</v>
      </c>
      <c r="D429" s="6" t="s">
        <v>365</v>
      </c>
      <c r="E429" s="6" t="s">
        <v>12</v>
      </c>
      <c r="F429" s="6" t="s">
        <v>13</v>
      </c>
      <c r="G429" s="6" t="s">
        <v>61</v>
      </c>
      <c r="H429" s="8" t="s">
        <v>1023</v>
      </c>
      <c r="I429" s="9">
        <v>3.091335E7</v>
      </c>
      <c r="J429" s="5" t="str">
        <f t="shared" ref="J429:K429" si="429">SUBSTITUTE(H429, ",", "")</f>
        <v>135</v>
      </c>
      <c r="K429" s="5" t="str">
        <f t="shared" si="429"/>
        <v>Rp30913350</v>
      </c>
      <c r="L429" s="5" t="str">
        <f t="shared" si="3"/>
        <v>30913350</v>
      </c>
    </row>
    <row r="430">
      <c r="A430" s="6" t="s">
        <v>1024</v>
      </c>
      <c r="B430" s="7" t="str">
        <f>HYPERLINK("https://shopee.co.id/Skin-Aqua-Tone-Up-UV-Essence-40gr-i.30736001.5436807934", "https://shopee.co.id/Skin-Aqua-Tone-Up-UV-Essence-40gr-i.30736001.5436807934")</f>
        <v>https://shopee.co.id/Skin-Aqua-Tone-Up-UV-Essence-40gr-i.30736001.5436807934</v>
      </c>
      <c r="C430" s="6" t="s">
        <v>830</v>
      </c>
      <c r="D430" s="6" t="s">
        <v>335</v>
      </c>
      <c r="E430" s="6" t="s">
        <v>12</v>
      </c>
      <c r="F430" s="6" t="s">
        <v>13</v>
      </c>
      <c r="G430" s="6" t="s">
        <v>36</v>
      </c>
      <c r="H430" s="8" t="s">
        <v>1023</v>
      </c>
      <c r="I430" s="9">
        <v>1.77991E7</v>
      </c>
      <c r="J430" s="5" t="str">
        <f t="shared" ref="J430:K430" si="430">SUBSTITUTE(H430, ",", "")</f>
        <v>135</v>
      </c>
      <c r="K430" s="5" t="str">
        <f t="shared" si="430"/>
        <v>Rp17799100</v>
      </c>
      <c r="L430" s="5" t="str">
        <f t="shared" si="3"/>
        <v>17799100</v>
      </c>
    </row>
    <row r="431">
      <c r="A431" s="6" t="s">
        <v>1025</v>
      </c>
      <c r="B431" s="7" t="str">
        <f>HYPERLINK("https://shopee.co.id/Scarlett-Whitening-Brightly-Acne-Ever-After-Serum-15-Ml-i.53887195.7963526067", "https://shopee.co.id/Scarlett-Whitening-Brightly-Acne-Ever-After-Serum-15-Ml-i.53887195.7963526067")</f>
        <v>https://shopee.co.id/Scarlett-Whitening-Brightly-Acne-Ever-After-Serum-15-Ml-i.53887195.7963526067</v>
      </c>
      <c r="C431" s="6" t="s">
        <v>19</v>
      </c>
      <c r="D431" s="6" t="s">
        <v>1026</v>
      </c>
      <c r="E431" s="6" t="s">
        <v>12</v>
      </c>
      <c r="F431" s="6" t="s">
        <v>13</v>
      </c>
      <c r="G431" s="6" t="s">
        <v>80</v>
      </c>
      <c r="H431" s="8" t="s">
        <v>1023</v>
      </c>
      <c r="I431" s="9">
        <v>2.5384E7</v>
      </c>
      <c r="J431" s="5" t="str">
        <f t="shared" ref="J431:K431" si="431">SUBSTITUTE(H431, ",", "")</f>
        <v>135</v>
      </c>
      <c r="K431" s="5" t="str">
        <f t="shared" si="431"/>
        <v>Rp25384000</v>
      </c>
      <c r="L431" s="5" t="str">
        <f t="shared" si="3"/>
        <v>25384000</v>
      </c>
    </row>
    <row r="432">
      <c r="A432" s="6" t="s">
        <v>1027</v>
      </c>
      <c r="B432" s="7" t="str">
        <f>HYPERLINK("https://shopee.co.id/BREYLEE-Serum-Wajah-1pc-17ml--i.324706771.7057931704", "https://shopee.co.id/BREYLEE-Serum-Wajah-1pc-17ml--i.324706771.7057931704")</f>
        <v>https://shopee.co.id/BREYLEE-Serum-Wajah-1pc-17ml--i.324706771.7057931704</v>
      </c>
      <c r="C432" s="6" t="s">
        <v>852</v>
      </c>
      <c r="D432" s="6" t="s">
        <v>853</v>
      </c>
      <c r="E432" s="6" t="s">
        <v>12</v>
      </c>
      <c r="F432" s="6" t="s">
        <v>13</v>
      </c>
      <c r="G432" s="6" t="s">
        <v>532</v>
      </c>
      <c r="H432" s="8" t="s">
        <v>1028</v>
      </c>
      <c r="I432" s="9">
        <v>1.18252E7</v>
      </c>
      <c r="J432" s="5" t="str">
        <f t="shared" ref="J432:K432" si="432">SUBSTITUTE(H432, ",", "")</f>
        <v>134</v>
      </c>
      <c r="K432" s="5" t="str">
        <f t="shared" si="432"/>
        <v>Rp11825200</v>
      </c>
      <c r="L432" s="5" t="str">
        <f t="shared" si="3"/>
        <v>11825200</v>
      </c>
    </row>
    <row r="433">
      <c r="A433" s="6" t="s">
        <v>1029</v>
      </c>
      <c r="B433" s="7" t="str">
        <f>HYPERLINK("https://shopee.co.id/ERHA-Age-Corrector-Essence-100ml-Galactomyces-Prebiotic-i.129153987.2936469846", "https://shopee.co.id/ERHA-Age-Corrector-Essence-100ml-Galactomyces-Prebiotic-i.129153987.2936469846")</f>
        <v>https://shopee.co.id/ERHA-Age-Corrector-Essence-100ml-Galactomyces-Prebiotic-i.129153987.2936469846</v>
      </c>
      <c r="C433" s="6" t="s">
        <v>181</v>
      </c>
      <c r="D433" s="6" t="s">
        <v>182</v>
      </c>
      <c r="E433" s="6" t="s">
        <v>12</v>
      </c>
      <c r="F433" s="6" t="s">
        <v>13</v>
      </c>
      <c r="G433" s="6" t="s">
        <v>61</v>
      </c>
      <c r="H433" s="8" t="s">
        <v>1028</v>
      </c>
      <c r="I433" s="9">
        <v>1.1926E7</v>
      </c>
      <c r="J433" s="5" t="str">
        <f t="shared" ref="J433:K433" si="433">SUBSTITUTE(H433, ",", "")</f>
        <v>134</v>
      </c>
      <c r="K433" s="5" t="str">
        <f t="shared" si="433"/>
        <v>Rp11926000</v>
      </c>
      <c r="L433" s="5" t="str">
        <f t="shared" si="3"/>
        <v>11926000</v>
      </c>
    </row>
    <row r="434">
      <c r="A434" s="6" t="s">
        <v>1030</v>
      </c>
      <c r="B434" s="7" t="str">
        <f>HYPERLINK("https://shopee.co.id/Garnier-Sakura-White-Booster-Serum-30-ml-Sakura-White-Serum-Mask-x-3-Pcs-i.62583853.5541456013", "https://shopee.co.id/Garnier-Sakura-White-Booster-Serum-30-ml-Sakura-White-Serum-Mask-x-3-Pcs-i.62583853.5541456013")</f>
        <v>https://shopee.co.id/Garnier-Sakura-White-Booster-Serum-30-ml-Sakura-White-Serum-Mask-x-3-Pcs-i.62583853.5541456013</v>
      </c>
      <c r="C434" s="6" t="s">
        <v>74</v>
      </c>
      <c r="D434" s="6" t="s">
        <v>75</v>
      </c>
      <c r="E434" s="6" t="s">
        <v>12</v>
      </c>
      <c r="F434" s="6" t="s">
        <v>13</v>
      </c>
      <c r="G434" s="6" t="s">
        <v>61</v>
      </c>
      <c r="H434" s="8" t="s">
        <v>1031</v>
      </c>
      <c r="I434" s="9">
        <v>3790500.0</v>
      </c>
      <c r="J434" s="5" t="str">
        <f t="shared" ref="J434:K434" si="434">SUBSTITUTE(H434, ",", "")</f>
        <v>133</v>
      </c>
      <c r="K434" s="5" t="str">
        <f t="shared" si="434"/>
        <v>Rp3790500</v>
      </c>
      <c r="L434" s="5" t="str">
        <f t="shared" si="3"/>
        <v>3790500</v>
      </c>
    </row>
    <row r="435">
      <c r="A435" s="6" t="s">
        <v>1032</v>
      </c>
      <c r="B435" s="7" t="str">
        <f>HYPERLINK("https://shopee.co.id/White-Story-Hydrating-Serum-i.405973920.8644709031", "https://shopee.co.id/White-Story-Hydrating-Serum-i.405973920.8644709031")</f>
        <v>https://shopee.co.id/White-Story-Hydrating-Serum-i.405973920.8644709031</v>
      </c>
      <c r="C435" s="6" t="s">
        <v>55</v>
      </c>
      <c r="D435" s="6" t="s">
        <v>56</v>
      </c>
      <c r="E435" s="6" t="s">
        <v>12</v>
      </c>
      <c r="F435" s="6" t="s">
        <v>13</v>
      </c>
      <c r="G435" s="6" t="s">
        <v>36</v>
      </c>
      <c r="H435" s="8" t="s">
        <v>1033</v>
      </c>
      <c r="I435" s="9">
        <v>6.8328E7</v>
      </c>
      <c r="J435" s="5" t="str">
        <f t="shared" ref="J435:K435" si="435">SUBSTITUTE(H435, ",", "")</f>
        <v>132</v>
      </c>
      <c r="K435" s="5" t="str">
        <f t="shared" si="435"/>
        <v>Rp68328000</v>
      </c>
      <c r="L435" s="5" t="str">
        <f t="shared" si="3"/>
        <v>68328000</v>
      </c>
    </row>
    <row r="436">
      <c r="A436" s="6" t="s">
        <v>1034</v>
      </c>
      <c r="B436" s="7" t="str">
        <f>HYPERLINK("https://shopee.co.id/BUHOTEI-Scarlett-Whitening-Glowtening-Serum-Whitening-Acne-Serum-Whitening-Brightly-Ever-After-Serum-i.403097854.9788613647", "https://shopee.co.id/BUHOTEI-Scarlett-Whitening-Glowtening-Serum-Whitening-Acne-Serum-Whitening-Brightly-Ever-After-Serum-i.403097854.9788613647")</f>
        <v>https://shopee.co.id/BUHOTEI-Scarlett-Whitening-Glowtening-Serum-Whitening-Acne-Serum-Whitening-Brightly-Ever-After-Serum-i.403097854.9788613647</v>
      </c>
      <c r="C436" s="6" t="s">
        <v>19</v>
      </c>
      <c r="D436" s="6" t="s">
        <v>1035</v>
      </c>
      <c r="E436" s="6" t="s">
        <v>12</v>
      </c>
      <c r="F436" s="6" t="s">
        <v>13</v>
      </c>
      <c r="G436" s="6" t="s">
        <v>61</v>
      </c>
      <c r="H436" s="8" t="s">
        <v>1033</v>
      </c>
      <c r="I436" s="9">
        <v>6.534E7</v>
      </c>
      <c r="J436" s="5" t="str">
        <f t="shared" ref="J436:K436" si="436">SUBSTITUTE(H436, ",", "")</f>
        <v>132</v>
      </c>
      <c r="K436" s="5" t="str">
        <f t="shared" si="436"/>
        <v>Rp65340000</v>
      </c>
      <c r="L436" s="5" t="str">
        <f t="shared" si="3"/>
        <v>65340000</v>
      </c>
    </row>
    <row r="437">
      <c r="A437" s="6" t="s">
        <v>1036</v>
      </c>
      <c r="B437" s="7" t="str">
        <f>HYPERLINK("https://shopee.co.id/Avoskin-Perfect-Hydrating-Treatment-Essence-i.270965687.5167950844", "https://shopee.co.id/Avoskin-Perfect-Hydrating-Treatment-Essence-i.270965687.5167950844")</f>
        <v>https://shopee.co.id/Avoskin-Perfect-Hydrating-Treatment-Essence-i.270965687.5167950844</v>
      </c>
      <c r="C437" s="6" t="s">
        <v>83</v>
      </c>
      <c r="D437" s="6" t="s">
        <v>379</v>
      </c>
      <c r="E437" s="6" t="s">
        <v>12</v>
      </c>
      <c r="F437" s="6" t="s">
        <v>13</v>
      </c>
      <c r="G437" s="6" t="s">
        <v>380</v>
      </c>
      <c r="H437" s="8" t="s">
        <v>1033</v>
      </c>
      <c r="I437" s="9">
        <v>7788000.0</v>
      </c>
      <c r="J437" s="5" t="str">
        <f t="shared" ref="J437:K437" si="437">SUBSTITUTE(H437, ",", "")</f>
        <v>132</v>
      </c>
      <c r="K437" s="5" t="str">
        <f t="shared" si="437"/>
        <v>Rp7788000</v>
      </c>
      <c r="L437" s="5" t="str">
        <f t="shared" si="3"/>
        <v>7788000</v>
      </c>
    </row>
    <row r="438">
      <c r="A438" s="6" t="s">
        <v>1037</v>
      </c>
      <c r="B438" s="7" t="str">
        <f>HYPERLINK("https://shopee.co.id/NPURE-Silky-Face-Primer-Serum-Centella-Asiatica-Cica-Series--i.115276607.2132641807", "https://shopee.co.id/NPURE-Silky-Face-Primer-Serum-Centella-Asiatica-Cica-Series--i.115276607.2132641807")</f>
        <v>https://shopee.co.id/NPURE-Silky-Face-Primer-Serum-Centella-Asiatica-Cica-Series--i.115276607.2132641807</v>
      </c>
      <c r="C438" s="6" t="s">
        <v>266</v>
      </c>
      <c r="D438" s="6" t="s">
        <v>267</v>
      </c>
      <c r="E438" s="6" t="s">
        <v>12</v>
      </c>
      <c r="F438" s="6" t="s">
        <v>13</v>
      </c>
      <c r="G438" s="6" t="s">
        <v>61</v>
      </c>
      <c r="H438" s="8" t="s">
        <v>1038</v>
      </c>
      <c r="I438" s="9">
        <v>2.5663E7</v>
      </c>
      <c r="J438" s="5" t="str">
        <f t="shared" ref="J438:K438" si="438">SUBSTITUTE(H438, ",", "")</f>
        <v>131</v>
      </c>
      <c r="K438" s="5" t="str">
        <f t="shared" si="438"/>
        <v>Rp25663000</v>
      </c>
      <c r="L438" s="5" t="str">
        <f t="shared" si="3"/>
        <v>25663000</v>
      </c>
    </row>
    <row r="439">
      <c r="A439" s="6" t="s">
        <v>1039</v>
      </c>
      <c r="B439" s="7" t="str">
        <f>HYPERLINK("https://shopee.co.id/Sulwhasoo-First-Care-Activating-Serum-30ml-i.274949344.4178795257", "https://shopee.co.id/Sulwhasoo-First-Care-Activating-Serum-30ml-i.274949344.4178795257")</f>
        <v>https://shopee.co.id/Sulwhasoo-First-Care-Activating-Serum-30ml-i.274949344.4178795257</v>
      </c>
      <c r="C439" s="6" t="s">
        <v>282</v>
      </c>
      <c r="D439" s="6" t="s">
        <v>283</v>
      </c>
      <c r="E439" s="6" t="s">
        <v>12</v>
      </c>
      <c r="F439" s="6" t="s">
        <v>13</v>
      </c>
      <c r="G439" s="6" t="s">
        <v>61</v>
      </c>
      <c r="H439" s="8" t="s">
        <v>1038</v>
      </c>
      <c r="I439" s="9">
        <v>1.1659E7</v>
      </c>
      <c r="J439" s="5" t="str">
        <f t="shared" ref="J439:K439" si="439">SUBSTITUTE(H439, ",", "")</f>
        <v>131</v>
      </c>
      <c r="K439" s="5" t="str">
        <f t="shared" si="439"/>
        <v>Rp11659000</v>
      </c>
      <c r="L439" s="5" t="str">
        <f t="shared" si="3"/>
        <v>11659000</v>
      </c>
    </row>
    <row r="440">
      <c r="A440" s="6" t="s">
        <v>1040</v>
      </c>
      <c r="B440" s="7" t="str">
        <f>HYPERLINK("https://shopee.co.id/Sulwhasoo-First-Care-Activating-Serum-Kit-i.274949344.4258728388", "https://shopee.co.id/Sulwhasoo-First-Care-Activating-Serum-Kit-i.274949344.4258728388")</f>
        <v>https://shopee.co.id/Sulwhasoo-First-Care-Activating-Serum-Kit-i.274949344.4258728388</v>
      </c>
      <c r="C440" s="6" t="s">
        <v>282</v>
      </c>
      <c r="D440" s="6" t="s">
        <v>283</v>
      </c>
      <c r="E440" s="6" t="s">
        <v>12</v>
      </c>
      <c r="F440" s="6" t="s">
        <v>13</v>
      </c>
      <c r="G440" s="6" t="s">
        <v>61</v>
      </c>
      <c r="H440" s="8" t="s">
        <v>1038</v>
      </c>
      <c r="I440" s="9">
        <v>1.9120574E7</v>
      </c>
      <c r="J440" s="5" t="str">
        <f t="shared" ref="J440:K440" si="440">SUBSTITUTE(H440, ",", "")</f>
        <v>131</v>
      </c>
      <c r="K440" s="5" t="str">
        <f t="shared" si="440"/>
        <v>Rp19120574</v>
      </c>
      <c r="L440" s="5" t="str">
        <f t="shared" si="3"/>
        <v>19120574</v>
      </c>
    </row>
    <row r="441">
      <c r="A441" s="6" t="s">
        <v>1041</v>
      </c>
      <c r="B441" s="7" t="str">
        <f>HYPERLINK("https://shopee.co.id/Wardah-Pore-Oil-Control-with-Lightening-C-defense-i.59763733.13601387874", "https://shopee.co.id/Wardah-Pore-Oil-Control-with-Lightening-C-defense-i.59763733.13601387874")</f>
        <v>https://shopee.co.id/Wardah-Pore-Oil-Control-with-Lightening-C-defense-i.59763733.13601387874</v>
      </c>
      <c r="C441" s="6" t="s">
        <v>169</v>
      </c>
      <c r="D441" s="6" t="s">
        <v>170</v>
      </c>
      <c r="E441" s="6" t="s">
        <v>12</v>
      </c>
      <c r="F441" s="6" t="s">
        <v>13</v>
      </c>
      <c r="G441" s="6" t="s">
        <v>98</v>
      </c>
      <c r="H441" s="8" t="s">
        <v>1038</v>
      </c>
      <c r="I441" s="9">
        <v>4190300.0</v>
      </c>
      <c r="J441" s="5" t="str">
        <f t="shared" ref="J441:K441" si="441">SUBSTITUTE(H441, ",", "")</f>
        <v>131</v>
      </c>
      <c r="K441" s="5" t="str">
        <f t="shared" si="441"/>
        <v>Rp4190300</v>
      </c>
      <c r="L441" s="5" t="str">
        <f t="shared" si="3"/>
        <v>4190300</v>
      </c>
    </row>
    <row r="442">
      <c r="A442" s="6" t="s">
        <v>1042</v>
      </c>
      <c r="B442" s="7" t="str">
        <f>HYPERLINK("https://shopee.co.id/The-Body-Shop-Drops-of-Youth-Essence-Lotion-160ml-i.28053737.383034687", "https://shopee.co.id/The-Body-Shop-Drops-of-Youth-Essence-Lotion-160ml-i.28053737.383034687")</f>
        <v>https://shopee.co.id/The-Body-Shop-Drops-of-Youth-Essence-Lotion-160ml-i.28053737.383034687</v>
      </c>
      <c r="C442" s="6" t="s">
        <v>221</v>
      </c>
      <c r="D442" s="6" t="s">
        <v>222</v>
      </c>
      <c r="E442" s="6" t="s">
        <v>12</v>
      </c>
      <c r="F442" s="6" t="s">
        <v>13</v>
      </c>
      <c r="G442" s="6" t="s">
        <v>80</v>
      </c>
      <c r="H442" s="8" t="s">
        <v>1043</v>
      </c>
      <c r="I442" s="9">
        <v>1.3503E7</v>
      </c>
      <c r="J442" s="5" t="str">
        <f t="shared" ref="J442:K442" si="442">SUBSTITUTE(H442, ",", "")</f>
        <v>130</v>
      </c>
      <c r="K442" s="5" t="str">
        <f t="shared" si="442"/>
        <v>Rp13503000</v>
      </c>
      <c r="L442" s="5" t="str">
        <f t="shared" si="3"/>
        <v>13503000</v>
      </c>
    </row>
    <row r="443">
      <c r="A443" s="6" t="s">
        <v>1044</v>
      </c>
      <c r="B443" s="7" t="str">
        <f>HYPERLINK("https://shopee.co.id/Somethinc-10-Niacinamide-Moisture-Sabi-White-Max-Brightening-Serum-40ml-i.110573301.5679522403", "https://shopee.co.id/Somethinc-10-Niacinamide-Moisture-Sabi-White-Max-Brightening-Serum-40ml-i.110573301.5679522403")</f>
        <v>https://shopee.co.id/Somethinc-10-Niacinamide-Moisture-Sabi-White-Max-Brightening-Serum-40ml-i.110573301.5679522403</v>
      </c>
      <c r="C443" s="6" t="s">
        <v>45</v>
      </c>
      <c r="D443" s="6" t="s">
        <v>227</v>
      </c>
      <c r="E443" s="6" t="s">
        <v>12</v>
      </c>
      <c r="F443" s="6" t="s">
        <v>13</v>
      </c>
      <c r="G443" s="6" t="s">
        <v>61</v>
      </c>
      <c r="H443" s="8" t="s">
        <v>1043</v>
      </c>
      <c r="I443" s="9">
        <v>2.40786E7</v>
      </c>
      <c r="J443" s="5" t="str">
        <f t="shared" ref="J443:K443" si="443">SUBSTITUTE(H443, ",", "")</f>
        <v>130</v>
      </c>
      <c r="K443" s="5" t="str">
        <f t="shared" si="443"/>
        <v>Rp24078600</v>
      </c>
      <c r="L443" s="5" t="str">
        <f t="shared" si="3"/>
        <v>24078600</v>
      </c>
    </row>
    <row r="444">
      <c r="A444" s="6" t="s">
        <v>1045</v>
      </c>
      <c r="B444" s="7" t="str">
        <f>HYPERLINK("https://shopee.co.id/Clorismen-SC-Serum-i.17760039.8455700158", "https://shopee.co.id/Clorismen-SC-Serum-i.17760039.8455700158")</f>
        <v>https://shopee.co.id/Clorismen-SC-Serum-i.17760039.8455700158</v>
      </c>
      <c r="C444" s="6" t="s">
        <v>1046</v>
      </c>
      <c r="D444" s="6" t="s">
        <v>1047</v>
      </c>
      <c r="E444" s="6" t="s">
        <v>12</v>
      </c>
      <c r="F444" s="6" t="s">
        <v>13</v>
      </c>
      <c r="G444" s="6" t="s">
        <v>1048</v>
      </c>
      <c r="H444" s="8" t="s">
        <v>1043</v>
      </c>
      <c r="I444" s="9">
        <v>7767300.0</v>
      </c>
      <c r="J444" s="5" t="str">
        <f t="shared" ref="J444:K444" si="444">SUBSTITUTE(H444, ",", "")</f>
        <v>130</v>
      </c>
      <c r="K444" s="5" t="str">
        <f t="shared" si="444"/>
        <v>Rp7767300</v>
      </c>
      <c r="L444" s="5" t="str">
        <f t="shared" si="3"/>
        <v>7767300</v>
      </c>
    </row>
    <row r="445">
      <c r="A445" s="6" t="s">
        <v>1049</v>
      </c>
      <c r="B445" s="7" t="str">
        <f>HYPERLINK("https://shopee.co.id/Buy-2x-Pond-s-Triple-Glow-Serum-30ml-Free-Potion-Essence-50ml-i.14318452.3068171652", "https://shopee.co.id/Buy-2x-Pond-s-Triple-Glow-Serum-30ml-Free-Potion-Essence-50ml-i.14318452.3068171652")</f>
        <v>https://shopee.co.id/Buy-2x-Pond-s-Triple-Glow-Serum-30ml-Free-Potion-Essence-50ml-i.14318452.3068171652</v>
      </c>
      <c r="C445" s="6" t="s">
        <v>325</v>
      </c>
      <c r="D445" s="6" t="s">
        <v>326</v>
      </c>
      <c r="E445" s="6" t="s">
        <v>12</v>
      </c>
      <c r="F445" s="6" t="s">
        <v>13</v>
      </c>
      <c r="G445" s="6" t="s">
        <v>296</v>
      </c>
      <c r="H445" s="8" t="s">
        <v>1043</v>
      </c>
      <c r="I445" s="9">
        <v>3.9871E7</v>
      </c>
      <c r="J445" s="5" t="str">
        <f t="shared" ref="J445:K445" si="445">SUBSTITUTE(H445, ",", "")</f>
        <v>130</v>
      </c>
      <c r="K445" s="5" t="str">
        <f t="shared" si="445"/>
        <v>Rp39871000</v>
      </c>
      <c r="L445" s="5" t="str">
        <f t="shared" si="3"/>
        <v>39871000</v>
      </c>
    </row>
    <row r="446">
      <c r="A446" s="6" t="s">
        <v>1050</v>
      </c>
      <c r="B446" s="7" t="str">
        <f>HYPERLINK("https://shopee.co.id/SOMETHINC-10-Niacinamide-Moisture-Sabi-Beet-Brightening-Serum-20ml-10-sabi--i.68111.6677453253", "https://shopee.co.id/SOMETHINC-10-Niacinamide-Moisture-Sabi-Beet-Brightening-Serum-20ml-10-sabi--i.68111.6677453253")</f>
        <v>https://shopee.co.id/SOMETHINC-10-Niacinamide-Moisture-Sabi-Beet-Brightening-Serum-20ml-10-sabi--i.68111.6677453253</v>
      </c>
      <c r="C446" s="6" t="s">
        <v>45</v>
      </c>
      <c r="D446" s="6" t="s">
        <v>441</v>
      </c>
      <c r="E446" s="6" t="s">
        <v>12</v>
      </c>
      <c r="F446" s="6" t="s">
        <v>13</v>
      </c>
      <c r="G446" s="6" t="s">
        <v>130</v>
      </c>
      <c r="H446" s="8" t="s">
        <v>1043</v>
      </c>
      <c r="I446" s="9">
        <v>1.244826E7</v>
      </c>
      <c r="J446" s="5" t="str">
        <f t="shared" ref="J446:K446" si="446">SUBSTITUTE(H446, ",", "")</f>
        <v>130</v>
      </c>
      <c r="K446" s="5" t="str">
        <f t="shared" si="446"/>
        <v>Rp12448260</v>
      </c>
      <c r="L446" s="5" t="str">
        <f t="shared" si="3"/>
        <v>12448260</v>
      </c>
    </row>
    <row r="447">
      <c r="A447" s="6" t="s">
        <v>1051</v>
      </c>
      <c r="B447" s="7" t="str">
        <f>HYPERLINK("https://shopee.co.id/Bio-Talk-BPOM-Organic-Argan-Oil-Moisturizing-Anti-Aging-i.12803922.232104428", "https://shopee.co.id/Bio-Talk-BPOM-Organic-Argan-Oil-Moisturizing-Anti-Aging-i.12803922.232104428")</f>
        <v>https://shopee.co.id/Bio-Talk-BPOM-Organic-Argan-Oil-Moisturizing-Anti-Aging-i.12803922.232104428</v>
      </c>
      <c r="C447" s="6" t="s">
        <v>643</v>
      </c>
      <c r="D447" s="6" t="s">
        <v>644</v>
      </c>
      <c r="E447" s="6" t="s">
        <v>12</v>
      </c>
      <c r="F447" s="6" t="s">
        <v>13</v>
      </c>
      <c r="G447" s="6" t="s">
        <v>21</v>
      </c>
      <c r="H447" s="8" t="s">
        <v>1052</v>
      </c>
      <c r="I447" s="9">
        <v>6.99402E7</v>
      </c>
      <c r="J447" s="5" t="str">
        <f t="shared" ref="J447:K447" si="447">SUBSTITUTE(H447, ",", "")</f>
        <v>129</v>
      </c>
      <c r="K447" s="5" t="str">
        <f t="shared" si="447"/>
        <v>Rp69940200</v>
      </c>
      <c r="L447" s="5" t="str">
        <f t="shared" si="3"/>
        <v>69940200</v>
      </c>
    </row>
    <row r="448">
      <c r="A448" s="6" t="s">
        <v>1053</v>
      </c>
      <c r="B448" s="7" t="str">
        <f>HYPERLINK("https://shopee.co.id/-innisfree-Soybean-Energy-Essence-EX-150ML-Serum-Wajah-Perawatan-Wajah-i.61504589.2262244601", "https://shopee.co.id/-innisfree-Soybean-Energy-Essence-EX-150ML-Serum-Wajah-Perawatan-Wajah-i.61504589.2262244601")</f>
        <v>https://shopee.co.id/-innisfree-Soybean-Energy-Essence-EX-150ML-Serum-Wajah-Perawatan-Wajah-i.61504589.2262244601</v>
      </c>
      <c r="C448" s="6" t="s">
        <v>294</v>
      </c>
      <c r="D448" s="6" t="s">
        <v>295</v>
      </c>
      <c r="E448" s="6" t="s">
        <v>12</v>
      </c>
      <c r="F448" s="6" t="s">
        <v>13</v>
      </c>
      <c r="G448" s="6" t="s">
        <v>296</v>
      </c>
      <c r="H448" s="8" t="s">
        <v>1054</v>
      </c>
      <c r="I448" s="9">
        <v>2.9312E7</v>
      </c>
      <c r="J448" s="5" t="str">
        <f t="shared" ref="J448:K448" si="448">SUBSTITUTE(H448, ",", "")</f>
        <v>128</v>
      </c>
      <c r="K448" s="5" t="str">
        <f t="shared" si="448"/>
        <v>Rp29312000</v>
      </c>
      <c r="L448" s="5" t="str">
        <f t="shared" si="3"/>
        <v>29312000</v>
      </c>
    </row>
    <row r="449">
      <c r="A449" s="6" t="s">
        <v>1055</v>
      </c>
      <c r="B449" s="7" t="str">
        <f>HYPERLINK("https://shopee.co.id/SOMETHINC-10-Niacinamide-Moisture-Sabi-Beet-Brightening-Serum-40ml-10-sabi--i.68111.7777449177", "https://shopee.co.id/SOMETHINC-10-Niacinamide-Moisture-Sabi-Beet-Brightening-Serum-40ml-10-sabi--i.68111.7777449177")</f>
        <v>https://shopee.co.id/SOMETHINC-10-Niacinamide-Moisture-Sabi-Beet-Brightening-Serum-40ml-10-sabi--i.68111.7777449177</v>
      </c>
      <c r="C449" s="6" t="s">
        <v>45</v>
      </c>
      <c r="D449" s="6" t="s">
        <v>441</v>
      </c>
      <c r="E449" s="6" t="s">
        <v>12</v>
      </c>
      <c r="F449" s="6" t="s">
        <v>13</v>
      </c>
      <c r="G449" s="6" t="s">
        <v>130</v>
      </c>
      <c r="H449" s="8" t="s">
        <v>1056</v>
      </c>
      <c r="I449" s="9">
        <v>2.87667E7</v>
      </c>
      <c r="J449" s="5" t="str">
        <f t="shared" ref="J449:K449" si="449">SUBSTITUTE(H449, ",", "")</f>
        <v>127</v>
      </c>
      <c r="K449" s="5" t="str">
        <f t="shared" si="449"/>
        <v>Rp28766700</v>
      </c>
      <c r="L449" s="5" t="str">
        <f t="shared" si="3"/>
        <v>28766700</v>
      </c>
    </row>
    <row r="450">
      <c r="A450" s="6" t="s">
        <v>1057</v>
      </c>
      <c r="B450" s="7" t="str">
        <f>HYPERLINK("https://shopee.co.id/Somethinc-5-Niacinamide-Moisture-Sabi-Beet-Serum-40ml-i.110573301.8715961750", "https://shopee.co.id/Somethinc-5-Niacinamide-Moisture-Sabi-Beet-Serum-40ml-i.110573301.8715961750")</f>
        <v>https://shopee.co.id/Somethinc-5-Niacinamide-Moisture-Sabi-Beet-Serum-40ml-i.110573301.8715961750</v>
      </c>
      <c r="C450" s="6" t="s">
        <v>45</v>
      </c>
      <c r="D450" s="6" t="s">
        <v>227</v>
      </c>
      <c r="E450" s="6" t="s">
        <v>12</v>
      </c>
      <c r="F450" s="6" t="s">
        <v>13</v>
      </c>
      <c r="G450" s="6" t="s">
        <v>61</v>
      </c>
      <c r="H450" s="8" t="s">
        <v>1056</v>
      </c>
      <c r="I450" s="9">
        <v>2.603064E7</v>
      </c>
      <c r="J450" s="5" t="str">
        <f t="shared" ref="J450:K450" si="450">SUBSTITUTE(H450, ",", "")</f>
        <v>127</v>
      </c>
      <c r="K450" s="5" t="str">
        <f t="shared" si="450"/>
        <v>Rp26030640</v>
      </c>
      <c r="L450" s="5" t="str">
        <f t="shared" si="3"/>
        <v>26030640</v>
      </c>
    </row>
    <row r="451">
      <c r="A451" s="6" t="s">
        <v>1058</v>
      </c>
      <c r="B451" s="7" t="str">
        <f>HYPERLINK("https://shopee.co.id/-LEBIH-HEMAT-Olay-Serum-Bundle-White-Radiance-Essence-30ml-Paket-isi-2-i.11487927.3542302938", "https://shopee.co.id/-LEBIH-HEMAT-Olay-Serum-Bundle-White-Radiance-Essence-30ml-Paket-isi-2-i.11487927.3542302938")</f>
        <v>https://shopee.co.id/-LEBIH-HEMAT-Olay-Serum-Bundle-White-Radiance-Essence-30ml-Paket-isi-2-i.11487927.3542302938</v>
      </c>
      <c r="C451" s="6" t="s">
        <v>317</v>
      </c>
      <c r="D451" s="6" t="s">
        <v>318</v>
      </c>
      <c r="E451" s="6" t="s">
        <v>12</v>
      </c>
      <c r="F451" s="6" t="s">
        <v>13</v>
      </c>
      <c r="G451" s="6" t="s">
        <v>296</v>
      </c>
      <c r="H451" s="8" t="s">
        <v>1059</v>
      </c>
      <c r="I451" s="9">
        <v>9939000.0</v>
      </c>
      <c r="J451" s="5" t="str">
        <f t="shared" ref="J451:K451" si="451">SUBSTITUTE(H451, ",", "")</f>
        <v>126</v>
      </c>
      <c r="K451" s="5" t="str">
        <f t="shared" si="451"/>
        <v>Rp9939000</v>
      </c>
      <c r="L451" s="5" t="str">
        <f t="shared" si="3"/>
        <v>9939000</v>
      </c>
    </row>
    <row r="452">
      <c r="A452" s="6" t="s">
        <v>1060</v>
      </c>
      <c r="B452" s="7" t="str">
        <f>HYPERLINK("https://shopee.co.id/Evershine-Pure-Bakuchiol-2-Blemish-Age-Define-Serum-Natural-Alternatif-Retinol-Anti-aging-i.73969875.11423981242", "https://shopee.co.id/Evershine-Pure-Bakuchiol-2-Blemish-Age-Define-Serum-Natural-Alternatif-Retinol-Anti-aging-i.73969875.11423981242")</f>
        <v>https://shopee.co.id/Evershine-Pure-Bakuchiol-2-Blemish-Age-Define-Serum-Natural-Alternatif-Retinol-Anti-aging-i.73969875.11423981242</v>
      </c>
      <c r="C452" s="6" t="s">
        <v>1061</v>
      </c>
      <c r="D452" s="6" t="s">
        <v>896</v>
      </c>
      <c r="E452" s="6" t="s">
        <v>12</v>
      </c>
      <c r="F452" s="6" t="s">
        <v>13</v>
      </c>
      <c r="G452" s="6" t="s">
        <v>21</v>
      </c>
      <c r="H452" s="8" t="s">
        <v>1059</v>
      </c>
      <c r="I452" s="9">
        <v>2.4493209E7</v>
      </c>
      <c r="J452" s="5" t="str">
        <f t="shared" ref="J452:K452" si="452">SUBSTITUTE(H452, ",", "")</f>
        <v>126</v>
      </c>
      <c r="K452" s="5" t="str">
        <f t="shared" si="452"/>
        <v>Rp24493209</v>
      </c>
      <c r="L452" s="5" t="str">
        <f t="shared" si="3"/>
        <v>24493209</v>
      </c>
    </row>
    <row r="453">
      <c r="A453" s="6" t="s">
        <v>1062</v>
      </c>
      <c r="B453" s="7" t="str">
        <f>HYPERLINK("https://shopee.co.id/MISSHA-TIME-REVOLUTION-NIGHT-REPAIR-AMPOULE-5X-50ML-Free-2-Sheet-Mask-Madecasoid-Guaiazulene--i.37557990.8890153773", "https://shopee.co.id/MISSHA-TIME-REVOLUTION-NIGHT-REPAIR-AMPOULE-5X-50ML-Free-2-Sheet-Mask-Madecasoid-Guaiazulene--i.37557990.8890153773")</f>
        <v>https://shopee.co.id/MISSHA-TIME-REVOLUTION-NIGHT-REPAIR-AMPOULE-5X-50ML-Free-2-Sheet-Mask-Madecasoid-Guaiazulene--i.37557990.8890153773</v>
      </c>
      <c r="C453" s="6" t="s">
        <v>695</v>
      </c>
      <c r="D453" s="6" t="s">
        <v>696</v>
      </c>
      <c r="E453" s="6" t="s">
        <v>12</v>
      </c>
      <c r="F453" s="6" t="s">
        <v>13</v>
      </c>
      <c r="G453" s="6" t="s">
        <v>80</v>
      </c>
      <c r="H453" s="8" t="s">
        <v>1059</v>
      </c>
      <c r="I453" s="9">
        <v>7825400.0</v>
      </c>
      <c r="J453" s="5" t="str">
        <f t="shared" ref="J453:K453" si="453">SUBSTITUTE(H453, ",", "")</f>
        <v>126</v>
      </c>
      <c r="K453" s="5" t="str">
        <f t="shared" si="453"/>
        <v>Rp7825400</v>
      </c>
      <c r="L453" s="5" t="str">
        <f t="shared" si="3"/>
        <v>7825400</v>
      </c>
    </row>
    <row r="454">
      <c r="A454" s="6" t="s">
        <v>1063</v>
      </c>
      <c r="B454" s="7" t="str">
        <f>HYPERLINK("https://shopee.co.id/DERMALUZ-Serum-Acne-Exfoliating-i.43690338.696079125", "https://shopee.co.id/DERMALUZ-Serum-Acne-Exfoliating-i.43690338.696079125")</f>
        <v>https://shopee.co.id/DERMALUZ-Serum-Acne-Exfoliating-i.43690338.696079125</v>
      </c>
      <c r="C454" s="6" t="s">
        <v>1064</v>
      </c>
      <c r="D454" s="6" t="s">
        <v>1065</v>
      </c>
      <c r="E454" s="6" t="s">
        <v>12</v>
      </c>
      <c r="F454" s="6" t="s">
        <v>13</v>
      </c>
      <c r="G454" s="6" t="s">
        <v>241</v>
      </c>
      <c r="H454" s="8" t="s">
        <v>1066</v>
      </c>
      <c r="I454" s="9">
        <v>3745500.0</v>
      </c>
      <c r="J454" s="5" t="str">
        <f t="shared" ref="J454:K454" si="454">SUBSTITUTE(H454, ",", "")</f>
        <v>125</v>
      </c>
      <c r="K454" s="5" t="str">
        <f t="shared" si="454"/>
        <v>Rp3745500</v>
      </c>
      <c r="L454" s="5" t="str">
        <f t="shared" si="3"/>
        <v>3745500</v>
      </c>
    </row>
    <row r="455">
      <c r="A455" s="6" t="s">
        <v>1067</v>
      </c>
      <c r="B455" s="7" t="str">
        <f>HYPERLINK("https://shopee.co.id/BREYLEE-SETS-of-SERUM-C-Mencerahkan-Mengecilkan-Pori-Wajah-2pcs--i.324706771.5768810252", "https://shopee.co.id/BREYLEE-SETS-of-SERUM-C-Mencerahkan-Mengecilkan-Pori-Wajah-2pcs--i.324706771.5768810252")</f>
        <v>https://shopee.co.id/BREYLEE-SETS-of-SERUM-C-Mencerahkan-Mengecilkan-Pori-Wajah-2pcs--i.324706771.5768810252</v>
      </c>
      <c r="C455" s="6" t="s">
        <v>852</v>
      </c>
      <c r="D455" s="6" t="s">
        <v>853</v>
      </c>
      <c r="E455" s="6" t="s">
        <v>12</v>
      </c>
      <c r="F455" s="6" t="s">
        <v>13</v>
      </c>
      <c r="G455" s="6" t="s">
        <v>532</v>
      </c>
      <c r="H455" s="8" t="s">
        <v>1066</v>
      </c>
      <c r="I455" s="9">
        <v>1.45425E7</v>
      </c>
      <c r="J455" s="5" t="str">
        <f t="shared" ref="J455:K455" si="455">SUBSTITUTE(H455, ",", "")</f>
        <v>125</v>
      </c>
      <c r="K455" s="5" t="str">
        <f t="shared" si="455"/>
        <v>Rp14542500</v>
      </c>
      <c r="L455" s="5" t="str">
        <f t="shared" si="3"/>
        <v>14542500</v>
      </c>
    </row>
    <row r="456">
      <c r="A456" s="6" t="s">
        <v>194</v>
      </c>
      <c r="B456" s="7" t="str">
        <f>HYPERLINK("https://shopee.co.id/Nutrishe-Intensive-Bright-Glow-Serum-i.10689.5552371333", "https://shopee.co.id/Nutrishe-Intensive-Bright-Glow-Serum-i.10689.5552371333")</f>
        <v>https://shopee.co.id/Nutrishe-Intensive-Bright-Glow-Serum-i.10689.5552371333</v>
      </c>
      <c r="C456" s="6" t="s">
        <v>195</v>
      </c>
      <c r="D456" s="6" t="s">
        <v>745</v>
      </c>
      <c r="E456" s="6" t="s">
        <v>12</v>
      </c>
      <c r="F456" s="6" t="s">
        <v>13</v>
      </c>
      <c r="G456" s="6" t="s">
        <v>61</v>
      </c>
      <c r="H456" s="8" t="s">
        <v>1066</v>
      </c>
      <c r="I456" s="9">
        <v>1743680.0</v>
      </c>
      <c r="J456" s="5" t="str">
        <f t="shared" ref="J456:K456" si="456">SUBSTITUTE(H456, ",", "")</f>
        <v>125</v>
      </c>
      <c r="K456" s="5" t="str">
        <f t="shared" si="456"/>
        <v>Rp1743680</v>
      </c>
      <c r="L456" s="5" t="str">
        <f t="shared" si="3"/>
        <v>1743680</v>
      </c>
    </row>
    <row r="457">
      <c r="A457" s="6" t="s">
        <v>1068</v>
      </c>
      <c r="B457" s="7" t="str">
        <f>HYPERLINK("https://shopee.co.id/Ella-Skincare-Translucent-White-Serum-i.95154428.9961362888", "https://shopee.co.id/Ella-Skincare-Translucent-White-Serum-i.95154428.9961362888")</f>
        <v>https://shopee.co.id/Ella-Skincare-Translucent-White-Serum-i.95154428.9961362888</v>
      </c>
      <c r="C457" s="6" t="s">
        <v>954</v>
      </c>
      <c r="D457" s="6" t="s">
        <v>598</v>
      </c>
      <c r="E457" s="6" t="s">
        <v>12</v>
      </c>
      <c r="F457" s="6" t="s">
        <v>13</v>
      </c>
      <c r="G457" s="6" t="s">
        <v>409</v>
      </c>
      <c r="H457" s="8" t="s">
        <v>1069</v>
      </c>
      <c r="I457" s="9">
        <v>6058850.0</v>
      </c>
      <c r="J457" s="5" t="str">
        <f t="shared" ref="J457:K457" si="457">SUBSTITUTE(H457, ",", "")</f>
        <v>124</v>
      </c>
      <c r="K457" s="5" t="str">
        <f t="shared" si="457"/>
        <v>Rp6058850</v>
      </c>
      <c r="L457" s="5" t="str">
        <f t="shared" si="3"/>
        <v>6058850</v>
      </c>
    </row>
    <row r="458">
      <c r="A458" s="6" t="s">
        <v>1070</v>
      </c>
      <c r="B458" s="7" t="str">
        <f>HYPERLINK("https://shopee.co.id/Sulwhasoo-Concentrated-Ginseng-Renewing-Serum-30ml-i.274949344.7473404194", "https://shopee.co.id/Sulwhasoo-Concentrated-Ginseng-Renewing-Serum-30ml-i.274949344.7473404194")</f>
        <v>https://shopee.co.id/Sulwhasoo-Concentrated-Ginseng-Renewing-Serum-30ml-i.274949344.7473404194</v>
      </c>
      <c r="C458" s="6" t="s">
        <v>282</v>
      </c>
      <c r="D458" s="6" t="s">
        <v>283</v>
      </c>
      <c r="E458" s="6" t="s">
        <v>12</v>
      </c>
      <c r="F458" s="6" t="s">
        <v>13</v>
      </c>
      <c r="G458" s="6" t="s">
        <v>61</v>
      </c>
      <c r="H458" s="8" t="s">
        <v>1071</v>
      </c>
      <c r="I458" s="9">
        <v>4.16922E7</v>
      </c>
      <c r="J458" s="5" t="str">
        <f t="shared" ref="J458:K458" si="458">SUBSTITUTE(H458, ",", "")</f>
        <v>123</v>
      </c>
      <c r="K458" s="5" t="str">
        <f t="shared" si="458"/>
        <v>Rp41692200</v>
      </c>
      <c r="L458" s="5" t="str">
        <f t="shared" si="3"/>
        <v>41692200</v>
      </c>
    </row>
    <row r="459">
      <c r="A459" s="6" t="s">
        <v>1072</v>
      </c>
      <c r="B459" s="7" t="str">
        <f>HYPERLINK("https://shopee.co.id/L-OREAL-PARIS-REVITALIFT-CRYSTAL-MICRO-ESSENCE-i.30736001.6537489519", "https://shopee.co.id/L-OREAL-PARIS-REVITALIFT-CRYSTAL-MICRO-ESSENCE-i.30736001.6537489519")</f>
        <v>https://shopee.co.id/L-OREAL-PARIS-REVITALIFT-CRYSTAL-MICRO-ESSENCE-i.30736001.6537489519</v>
      </c>
      <c r="C459" s="6" t="s">
        <v>105</v>
      </c>
      <c r="D459" s="6" t="s">
        <v>335</v>
      </c>
      <c r="E459" s="6" t="s">
        <v>12</v>
      </c>
      <c r="F459" s="6" t="s">
        <v>13</v>
      </c>
      <c r="G459" s="6" t="s">
        <v>36</v>
      </c>
      <c r="H459" s="8" t="s">
        <v>1073</v>
      </c>
      <c r="I459" s="9">
        <v>4270000.0</v>
      </c>
      <c r="J459" s="5" t="str">
        <f t="shared" ref="J459:K459" si="459">SUBSTITUTE(H459, ",", "")</f>
        <v>122</v>
      </c>
      <c r="K459" s="5" t="str">
        <f t="shared" si="459"/>
        <v>Rp4270000</v>
      </c>
      <c r="L459" s="5" t="str">
        <f t="shared" si="3"/>
        <v>4270000</v>
      </c>
    </row>
    <row r="460">
      <c r="A460" s="6" t="s">
        <v>1074</v>
      </c>
      <c r="B460" s="7" t="str">
        <f>HYPERLINK("https://shopee.co.id/Azrina-Natural-Glow-Serum-i.32101291.9084452688", "https://shopee.co.id/Azrina-Natural-Glow-Serum-i.32101291.9084452688")</f>
        <v>https://shopee.co.id/Azrina-Natural-Glow-Serum-i.32101291.9084452688</v>
      </c>
      <c r="C460" s="6" t="s">
        <v>1075</v>
      </c>
      <c r="D460" s="6" t="s">
        <v>1076</v>
      </c>
      <c r="E460" s="6" t="s">
        <v>12</v>
      </c>
      <c r="F460" s="6" t="s">
        <v>13</v>
      </c>
      <c r="G460" s="6" t="s">
        <v>370</v>
      </c>
      <c r="H460" s="8" t="s">
        <v>1073</v>
      </c>
      <c r="I460" s="9">
        <v>7.2195E7</v>
      </c>
      <c r="J460" s="5" t="str">
        <f t="shared" ref="J460:K460" si="460">SUBSTITUTE(H460, ",", "")</f>
        <v>122</v>
      </c>
      <c r="K460" s="5" t="str">
        <f t="shared" si="460"/>
        <v>Rp72195000</v>
      </c>
      <c r="L460" s="5" t="str">
        <f t="shared" si="3"/>
        <v>72195000</v>
      </c>
    </row>
    <row r="461">
      <c r="A461" s="6" t="s">
        <v>1077</v>
      </c>
      <c r="B461" s="7" t="str">
        <f>HYPERLINK("https://shopee.co.id/-BPOM-BREYLEE-Step-2-Pore-Minimizer-Serum-Pengecil-Pori-Wajah-17ml--i.324706771.9824093329", "https://shopee.co.id/-BPOM-BREYLEE-Step-2-Pore-Minimizer-Serum-Pengecil-Pori-Wajah-17ml--i.324706771.9824093329")</f>
        <v>https://shopee.co.id/-BPOM-BREYLEE-Step-2-Pore-Minimizer-Serum-Pengecil-Pori-Wajah-17ml--i.324706771.9824093329</v>
      </c>
      <c r="C461" s="6" t="s">
        <v>852</v>
      </c>
      <c r="D461" s="6" t="s">
        <v>853</v>
      </c>
      <c r="E461" s="6" t="s">
        <v>12</v>
      </c>
      <c r="F461" s="6" t="s">
        <v>13</v>
      </c>
      <c r="G461" s="6" t="s">
        <v>532</v>
      </c>
      <c r="H461" s="8" t="s">
        <v>1073</v>
      </c>
      <c r="I461" s="9">
        <v>1.0492E7</v>
      </c>
      <c r="J461" s="5" t="str">
        <f t="shared" ref="J461:K461" si="461">SUBSTITUTE(H461, ",", "")</f>
        <v>122</v>
      </c>
      <c r="K461" s="5" t="str">
        <f t="shared" si="461"/>
        <v>Rp10492000</v>
      </c>
      <c r="L461" s="5" t="str">
        <f t="shared" si="3"/>
        <v>10492000</v>
      </c>
    </row>
    <row r="462">
      <c r="A462" s="6" t="s">
        <v>1078</v>
      </c>
      <c r="B462" s="7" t="str">
        <f>HYPERLINK("https://shopee.co.id/NATURE-REPUBLIC-Vitapair-C-Dark-Spot-Serum-Special-Set-i.78838801.4852357814", "https://shopee.co.id/NATURE-REPUBLIC-Vitapair-C-Dark-Spot-Serum-Special-Set-i.78838801.4852357814")</f>
        <v>https://shopee.co.id/NATURE-REPUBLIC-Vitapair-C-Dark-Spot-Serum-Special-Set-i.78838801.4852357814</v>
      </c>
      <c r="C462" s="6" t="s">
        <v>1079</v>
      </c>
      <c r="D462" s="6" t="s">
        <v>1080</v>
      </c>
      <c r="E462" s="6" t="s">
        <v>12</v>
      </c>
      <c r="F462" s="6" t="s">
        <v>13</v>
      </c>
      <c r="G462" s="6" t="s">
        <v>532</v>
      </c>
      <c r="H462" s="8" t="s">
        <v>1081</v>
      </c>
      <c r="I462" s="9">
        <v>1.45049E7</v>
      </c>
      <c r="J462" s="5" t="str">
        <f t="shared" ref="J462:K462" si="462">SUBSTITUTE(H462, ",", "")</f>
        <v>121</v>
      </c>
      <c r="K462" s="5" t="str">
        <f t="shared" si="462"/>
        <v>Rp14504900</v>
      </c>
      <c r="L462" s="5" t="str">
        <f t="shared" si="3"/>
        <v>14504900</v>
      </c>
    </row>
    <row r="463">
      <c r="A463" s="6" t="s">
        <v>1082</v>
      </c>
      <c r="B463" s="7" t="str">
        <f>HYPERLINK("https://shopee.co.id/Maggie-Glow-Acne-Pimple-Obat-Totol-Penghilang-Jerawat-Batu-i.23831802.831958418", "https://shopee.co.id/Maggie-Glow-Acne-Pimple-Obat-Totol-Penghilang-Jerawat-Batu-i.23831802.831958418")</f>
        <v>https://shopee.co.id/Maggie-Glow-Acne-Pimple-Obat-Totol-Penghilang-Jerawat-Batu-i.23831802.831958418</v>
      </c>
      <c r="C463" s="6" t="s">
        <v>1083</v>
      </c>
      <c r="D463" s="6" t="s">
        <v>1084</v>
      </c>
      <c r="E463" s="6" t="s">
        <v>12</v>
      </c>
      <c r="F463" s="6" t="s">
        <v>13</v>
      </c>
      <c r="G463" s="6" t="s">
        <v>1085</v>
      </c>
      <c r="H463" s="8" t="s">
        <v>1081</v>
      </c>
      <c r="I463" s="9">
        <v>2.15066E7</v>
      </c>
      <c r="J463" s="5" t="str">
        <f t="shared" ref="J463:K463" si="463">SUBSTITUTE(H463, ",", "")</f>
        <v>121</v>
      </c>
      <c r="K463" s="5" t="str">
        <f t="shared" si="463"/>
        <v>Rp21506600</v>
      </c>
      <c r="L463" s="5" t="str">
        <f t="shared" si="3"/>
        <v>21506600</v>
      </c>
    </row>
    <row r="464">
      <c r="A464" s="6" t="s">
        <v>1086</v>
      </c>
      <c r="B464" s="7" t="str">
        <f>HYPERLINK("https://shopee.co.id/Hanasui-Serum-Vitamin-C-i.129681299.2334973164", "https://shopee.co.id/Hanasui-Serum-Vitamin-C-i.129681299.2334973164")</f>
        <v>https://shopee.co.id/Hanasui-Serum-Vitamin-C-i.129681299.2334973164</v>
      </c>
      <c r="C464" s="6" t="s">
        <v>784</v>
      </c>
      <c r="D464" s="6" t="s">
        <v>785</v>
      </c>
      <c r="E464" s="6" t="s">
        <v>12</v>
      </c>
      <c r="F464" s="6" t="s">
        <v>13</v>
      </c>
      <c r="G464" s="6" t="s">
        <v>36</v>
      </c>
      <c r="H464" s="8" t="s">
        <v>1081</v>
      </c>
      <c r="I464" s="9">
        <v>5754736.0</v>
      </c>
      <c r="J464" s="5" t="str">
        <f t="shared" ref="J464:K464" si="464">SUBSTITUTE(H464, ",", "")</f>
        <v>121</v>
      </c>
      <c r="K464" s="5" t="str">
        <f t="shared" si="464"/>
        <v>Rp5754736</v>
      </c>
      <c r="L464" s="5" t="str">
        <f t="shared" si="3"/>
        <v>5754736</v>
      </c>
    </row>
    <row r="465">
      <c r="A465" s="6" t="s">
        <v>1087</v>
      </c>
      <c r="B465" s="7" t="str">
        <f>HYPERLINK("https://shopee.co.id/COSRX-AC-Collection-Blemish-Spot-Serum-40ML-Serum-untuk-Noda-Hitam--i.404429429.8478838442", "https://shopee.co.id/COSRX-AC-Collection-Blemish-Spot-Serum-40ML-Serum-untuk-Noda-Hitam--i.404429429.8478838442")</f>
        <v>https://shopee.co.id/COSRX-AC-Collection-Blemish-Spot-Serum-40ML-Serum-untuk-Noda-Hitam--i.404429429.8478838442</v>
      </c>
      <c r="C465" s="6" t="s">
        <v>305</v>
      </c>
      <c r="D465" s="6" t="s">
        <v>306</v>
      </c>
      <c r="E465" s="6" t="s">
        <v>12</v>
      </c>
      <c r="F465" s="6" t="s">
        <v>13</v>
      </c>
      <c r="G465" s="6" t="s">
        <v>21</v>
      </c>
      <c r="H465" s="8" t="s">
        <v>1088</v>
      </c>
      <c r="I465" s="9">
        <v>1.20309E7</v>
      </c>
      <c r="J465" s="5" t="str">
        <f t="shared" ref="J465:K465" si="465">SUBSTITUTE(H465, ",", "")</f>
        <v>119</v>
      </c>
      <c r="K465" s="5" t="str">
        <f t="shared" si="465"/>
        <v>Rp12030900</v>
      </c>
      <c r="L465" s="5" t="str">
        <f t="shared" si="3"/>
        <v>12030900</v>
      </c>
    </row>
    <row r="466">
      <c r="A466" s="6" t="s">
        <v>1089</v>
      </c>
      <c r="B466" s="7" t="str">
        <f>HYPERLINK("https://shopee.co.id/L-Oreal-Paris-Revitalift-Crystal-Micro-Essence-Serum-Mask-Skin-Care-Buy-5-Get-5-i.62579622.3353669199", "https://shopee.co.id/L-Oreal-Paris-Revitalift-Crystal-Micro-Essence-Serum-Mask-Skin-Care-Buy-5-Get-5-i.62579622.3353669199")</f>
        <v>https://shopee.co.id/L-Oreal-Paris-Revitalift-Crystal-Micro-Essence-Serum-Mask-Skin-Care-Buy-5-Get-5-i.62579622.3353669199</v>
      </c>
      <c r="C466" s="6" t="s">
        <v>105</v>
      </c>
      <c r="D466" s="6" t="s">
        <v>106</v>
      </c>
      <c r="E466" s="6" t="s">
        <v>12</v>
      </c>
      <c r="F466" s="6" t="s">
        <v>13</v>
      </c>
      <c r="G466" s="6" t="s">
        <v>61</v>
      </c>
      <c r="H466" s="8" t="s">
        <v>1088</v>
      </c>
      <c r="I466" s="9">
        <v>1.0591E7</v>
      </c>
      <c r="J466" s="5" t="str">
        <f t="shared" ref="J466:K466" si="466">SUBSTITUTE(H466, ",", "")</f>
        <v>119</v>
      </c>
      <c r="K466" s="5" t="str">
        <f t="shared" si="466"/>
        <v>Rp10591000</v>
      </c>
      <c r="L466" s="5" t="str">
        <f t="shared" si="3"/>
        <v>10591000</v>
      </c>
    </row>
    <row r="467">
      <c r="A467" s="6" t="s">
        <v>1090</v>
      </c>
      <c r="B467" s="7" t="str">
        <f>HYPERLINK("https://shopee.co.id/Garnier-Sakura-White-Whitening-Serum-Day-Cream-UV-40-ml-Untuk-Kulit-Cerah-Merona--i.62583853.1022726839", "https://shopee.co.id/Garnier-Sakura-White-Whitening-Serum-Day-Cream-UV-40-ml-Untuk-Kulit-Cerah-Merona--i.62583853.1022726839")</f>
        <v>https://shopee.co.id/Garnier-Sakura-White-Whitening-Serum-Day-Cream-UV-40-ml-Untuk-Kulit-Cerah-Merona--i.62583853.1022726839</v>
      </c>
      <c r="C467" s="6" t="s">
        <v>74</v>
      </c>
      <c r="D467" s="6" t="s">
        <v>75</v>
      </c>
      <c r="E467" s="6" t="s">
        <v>12</v>
      </c>
      <c r="F467" s="6" t="s">
        <v>13</v>
      </c>
      <c r="G467" s="6" t="s">
        <v>61</v>
      </c>
      <c r="H467" s="8" t="s">
        <v>1088</v>
      </c>
      <c r="I467" s="9">
        <v>1.0997E7</v>
      </c>
      <c r="J467" s="5" t="str">
        <f t="shared" ref="J467:K467" si="467">SUBSTITUTE(H467, ",", "")</f>
        <v>119</v>
      </c>
      <c r="K467" s="5" t="str">
        <f t="shared" si="467"/>
        <v>Rp10997000</v>
      </c>
      <c r="L467" s="5" t="str">
        <f t="shared" si="3"/>
        <v>10997000</v>
      </c>
    </row>
    <row r="468">
      <c r="A468" s="6" t="s">
        <v>1091</v>
      </c>
      <c r="B468" s="7" t="str">
        <f>HYPERLINK("https://shopee.co.id/BREYLEE-Bundle-Hemat-Step-1-I-Step-2-I-Acne-Treatment-serum-I-3pcs-i.324706771.5064994381", "https://shopee.co.id/BREYLEE-Bundle-Hemat-Step-1-I-Step-2-I-Acne-Treatment-serum-I-3pcs-i.324706771.5064994381")</f>
        <v>https://shopee.co.id/BREYLEE-Bundle-Hemat-Step-1-I-Step-2-I-Acne-Treatment-serum-I-3pcs-i.324706771.5064994381</v>
      </c>
      <c r="C468" s="6" t="s">
        <v>852</v>
      </c>
      <c r="D468" s="6" t="s">
        <v>853</v>
      </c>
      <c r="E468" s="6" t="s">
        <v>12</v>
      </c>
      <c r="F468" s="6" t="s">
        <v>13</v>
      </c>
      <c r="G468" s="6" t="s">
        <v>532</v>
      </c>
      <c r="H468" s="8" t="s">
        <v>1088</v>
      </c>
      <c r="I468" s="9">
        <v>1.2411E7</v>
      </c>
      <c r="J468" s="5" t="str">
        <f t="shared" ref="J468:K468" si="468">SUBSTITUTE(H468, ",", "")</f>
        <v>119</v>
      </c>
      <c r="K468" s="5" t="str">
        <f t="shared" si="468"/>
        <v>Rp12411000</v>
      </c>
      <c r="L468" s="5" t="str">
        <f t="shared" si="3"/>
        <v>12411000</v>
      </c>
    </row>
    <row r="469">
      <c r="A469" s="6" t="s">
        <v>100</v>
      </c>
      <c r="B469" s="7" t="str">
        <f>HYPERLINK("https://shopee.co.id/Avoskin-Perfect-Hydrating-Treatment-Essence-100ml-i.30736001.11201973171", "https://shopee.co.id/Avoskin-Perfect-Hydrating-Treatment-Essence-100ml-i.30736001.11201973171")</f>
        <v>https://shopee.co.id/Avoskin-Perfect-Hydrating-Treatment-Essence-100ml-i.30736001.11201973171</v>
      </c>
      <c r="C469" s="6" t="s">
        <v>83</v>
      </c>
      <c r="D469" s="6" t="s">
        <v>335</v>
      </c>
      <c r="E469" s="6" t="s">
        <v>12</v>
      </c>
      <c r="F469" s="6" t="s">
        <v>13</v>
      </c>
      <c r="G469" s="6" t="s">
        <v>36</v>
      </c>
      <c r="H469" s="8" t="s">
        <v>1092</v>
      </c>
      <c r="I469" s="9">
        <v>9.88987E7</v>
      </c>
      <c r="J469" s="5" t="str">
        <f t="shared" ref="J469:K469" si="469">SUBSTITUTE(H469, ",", "")</f>
        <v>118</v>
      </c>
      <c r="K469" s="5" t="str">
        <f t="shared" si="469"/>
        <v>Rp98898700</v>
      </c>
      <c r="L469" s="5" t="str">
        <f t="shared" si="3"/>
        <v>98898700</v>
      </c>
    </row>
    <row r="470">
      <c r="A470" s="6" t="s">
        <v>1093</v>
      </c>
      <c r="B470" s="7" t="str">
        <f>HYPERLINK("https://shopee.co.id/Dear-Me-Beauty-1-Bakuchiol-Blueberry-Extract-Face-Serum-12ml-i.45495764.5687287444", "https://shopee.co.id/Dear-Me-Beauty-1-Bakuchiol-Blueberry-Extract-Face-Serum-12ml-i.45495764.5687287444")</f>
        <v>https://shopee.co.id/Dear-Me-Beauty-1-Bakuchiol-Blueberry-Extract-Face-Serum-12ml-i.45495764.5687287444</v>
      </c>
      <c r="C470" s="6" t="s">
        <v>70</v>
      </c>
      <c r="D470" s="6" t="s">
        <v>71</v>
      </c>
      <c r="E470" s="6" t="s">
        <v>12</v>
      </c>
      <c r="F470" s="6" t="s">
        <v>13</v>
      </c>
      <c r="G470" s="6" t="s">
        <v>61</v>
      </c>
      <c r="H470" s="8" t="s">
        <v>1092</v>
      </c>
      <c r="I470" s="9">
        <v>1.1876E7</v>
      </c>
      <c r="J470" s="5" t="str">
        <f t="shared" ref="J470:K470" si="470">SUBSTITUTE(H470, ",", "")</f>
        <v>118</v>
      </c>
      <c r="K470" s="5" t="str">
        <f t="shared" si="470"/>
        <v>Rp11876000</v>
      </c>
      <c r="L470" s="5" t="str">
        <f t="shared" si="3"/>
        <v>11876000</v>
      </c>
    </row>
    <row r="471">
      <c r="A471" s="6" t="s">
        <v>1094</v>
      </c>
      <c r="B471" s="7" t="str">
        <f>HYPERLINK("https://shopee.co.id/Precious-Skin-Kojic-Brightening-Whitening-Intensive-Serum-Body-Face-Face-Body-Serum-30ml-i.156582062.4512634572", "https://shopee.co.id/Precious-Skin-Kojic-Brightening-Whitening-Intensive-Serum-Body-Face-Face-Body-Serum-30ml-i.156582062.4512634572")</f>
        <v>https://shopee.co.id/Precious-Skin-Kojic-Brightening-Whitening-Intensive-Serum-Body-Face-Face-Body-Serum-30ml-i.156582062.4512634572</v>
      </c>
      <c r="C471" s="6" t="s">
        <v>1095</v>
      </c>
      <c r="D471" s="6" t="s">
        <v>1096</v>
      </c>
      <c r="E471" s="6" t="s">
        <v>12</v>
      </c>
      <c r="F471" s="6" t="s">
        <v>13</v>
      </c>
      <c r="G471" s="6" t="s">
        <v>61</v>
      </c>
      <c r="H471" s="8" t="s">
        <v>1092</v>
      </c>
      <c r="I471" s="9">
        <v>1.29558E7</v>
      </c>
      <c r="J471" s="5" t="str">
        <f t="shared" ref="J471:K471" si="471">SUBSTITUTE(H471, ",", "")</f>
        <v>118</v>
      </c>
      <c r="K471" s="5" t="str">
        <f t="shared" si="471"/>
        <v>Rp12955800</v>
      </c>
      <c r="L471" s="5" t="str">
        <f t="shared" si="3"/>
        <v>12955800</v>
      </c>
    </row>
    <row r="472">
      <c r="A472" s="6" t="s">
        <v>802</v>
      </c>
      <c r="B472" s="7" t="str">
        <f>HYPERLINK("https://shopee.co.id/Dear-Me-Beauty-Hyaluronic-Acid-Pomegranate-Extract-Face-Serum-12ml-i.45495764.8748397064", "https://shopee.co.id/Dear-Me-Beauty-Hyaluronic-Acid-Pomegranate-Extract-Face-Serum-12ml-i.45495764.8748397064")</f>
        <v>https://shopee.co.id/Dear-Me-Beauty-Hyaluronic-Acid-Pomegranate-Extract-Face-Serum-12ml-i.45495764.8748397064</v>
      </c>
      <c r="C472" s="6" t="s">
        <v>83</v>
      </c>
      <c r="D472" s="6" t="s">
        <v>71</v>
      </c>
      <c r="E472" s="6" t="s">
        <v>12</v>
      </c>
      <c r="F472" s="6" t="s">
        <v>13</v>
      </c>
      <c r="G472" s="6" t="s">
        <v>61</v>
      </c>
      <c r="H472" s="8" t="s">
        <v>1097</v>
      </c>
      <c r="I472" s="9">
        <v>1.70235E7</v>
      </c>
      <c r="J472" s="5" t="str">
        <f t="shared" ref="J472:K472" si="472">SUBSTITUTE(H472, ",", "")</f>
        <v>117</v>
      </c>
      <c r="K472" s="5" t="str">
        <f t="shared" si="472"/>
        <v>Rp17023500</v>
      </c>
      <c r="L472" s="5" t="str">
        <f t="shared" si="3"/>
        <v>17023500</v>
      </c>
    </row>
    <row r="473">
      <c r="A473" s="6" t="s">
        <v>1098</v>
      </c>
      <c r="B473" s="7" t="str">
        <f>HYPERLINK("https://shopee.co.id/Bio-Essence-Bio-Gold-Radiance-Cleanser-100-gr-Foam-Cleanser-i.63822287.1671468798", "https://shopee.co.id/Bio-Essence-Bio-Gold-Radiance-Cleanser-100-gr-Foam-Cleanser-i.63822287.1671468798")</f>
        <v>https://shopee.co.id/Bio-Essence-Bio-Gold-Radiance-Cleanser-100-gr-Foam-Cleanser-i.63822287.1671468798</v>
      </c>
      <c r="C473" s="6" t="s">
        <v>834</v>
      </c>
      <c r="D473" s="6" t="s">
        <v>835</v>
      </c>
      <c r="E473" s="6" t="s">
        <v>12</v>
      </c>
      <c r="F473" s="6" t="s">
        <v>13</v>
      </c>
      <c r="G473" s="6" t="s">
        <v>61</v>
      </c>
      <c r="H473" s="8" t="s">
        <v>1097</v>
      </c>
      <c r="I473" s="9">
        <v>1.63134E7</v>
      </c>
      <c r="J473" s="5" t="str">
        <f t="shared" ref="J473:K473" si="473">SUBSTITUTE(H473, ",", "")</f>
        <v>117</v>
      </c>
      <c r="K473" s="5" t="str">
        <f t="shared" si="473"/>
        <v>Rp16313400</v>
      </c>
      <c r="L473" s="5" t="str">
        <f t="shared" si="3"/>
        <v>16313400</v>
      </c>
    </row>
    <row r="474">
      <c r="A474" s="6" t="s">
        <v>1099</v>
      </c>
      <c r="B474" s="7" t="str">
        <f>HYPERLINK("https://shopee.co.id/Aura-Bright-Facial-Treatment-Essence-i.127215672.1920850656", "https://shopee.co.id/Aura-Bright-Facial-Treatment-Essence-i.127215672.1920850656")</f>
        <v>https://shopee.co.id/Aura-Bright-Facial-Treatment-Essence-i.127215672.1920850656</v>
      </c>
      <c r="C474" s="6" t="s">
        <v>90</v>
      </c>
      <c r="D474" s="6" t="s">
        <v>91</v>
      </c>
      <c r="E474" s="6" t="s">
        <v>12</v>
      </c>
      <c r="F474" s="6" t="s">
        <v>13</v>
      </c>
      <c r="G474" s="6" t="s">
        <v>21</v>
      </c>
      <c r="H474" s="8" t="s">
        <v>1097</v>
      </c>
      <c r="I474" s="9">
        <v>1.0413E7</v>
      </c>
      <c r="J474" s="5" t="str">
        <f t="shared" ref="J474:K474" si="474">SUBSTITUTE(H474, ",", "")</f>
        <v>117</v>
      </c>
      <c r="K474" s="5" t="str">
        <f t="shared" si="474"/>
        <v>Rp10413000</v>
      </c>
      <c r="L474" s="5" t="str">
        <f t="shared" si="3"/>
        <v>10413000</v>
      </c>
    </row>
    <row r="475">
      <c r="A475" s="6" t="s">
        <v>1100</v>
      </c>
      <c r="B475" s="7" t="str">
        <f>HYPERLINK("https://shopee.co.id/Wardah-White-Secret-Intense-Brightening-Essence-17-ml-Serum-Mencerahkan-dengan-Silver-Vine-Extract-i.59763733.1080194912", "https://shopee.co.id/Wardah-White-Secret-Intense-Brightening-Essence-17-ml-Serum-Mencerahkan-dengan-Silver-Vine-Extract-i.59763733.1080194912")</f>
        <v>https://shopee.co.id/Wardah-White-Secret-Intense-Brightening-Essence-17-ml-Serum-Mencerahkan-dengan-Silver-Vine-Extract-i.59763733.1080194912</v>
      </c>
      <c r="C475" s="6" t="s">
        <v>169</v>
      </c>
      <c r="D475" s="6" t="s">
        <v>170</v>
      </c>
      <c r="E475" s="6" t="s">
        <v>12</v>
      </c>
      <c r="F475" s="6" t="s">
        <v>13</v>
      </c>
      <c r="G475" s="6" t="s">
        <v>98</v>
      </c>
      <c r="H475" s="8" t="s">
        <v>1101</v>
      </c>
      <c r="I475" s="9">
        <v>3430600.0</v>
      </c>
      <c r="J475" s="5" t="str">
        <f t="shared" ref="J475:K475" si="475">SUBSTITUTE(H475, ",", "")</f>
        <v>116</v>
      </c>
      <c r="K475" s="5" t="str">
        <f t="shared" si="475"/>
        <v>Rp3430600</v>
      </c>
      <c r="L475" s="5" t="str">
        <f t="shared" si="3"/>
        <v>3430600</v>
      </c>
    </row>
    <row r="476">
      <c r="A476" s="6" t="s">
        <v>1102</v>
      </c>
      <c r="B476" s="7" t="str">
        <f>HYPERLINK("https://shopee.co.id/AA-Anti-Aging-gold-serum-i.96907343.1583680597", "https://shopee.co.id/AA-Anti-Aging-gold-serum-i.96907343.1583680597")</f>
        <v>https://shopee.co.id/AA-Anti-Aging-gold-serum-i.96907343.1583680597</v>
      </c>
      <c r="C476" s="6" t="s">
        <v>467</v>
      </c>
      <c r="D476" s="6" t="s">
        <v>468</v>
      </c>
      <c r="E476" s="6" t="s">
        <v>12</v>
      </c>
      <c r="F476" s="6" t="s">
        <v>13</v>
      </c>
      <c r="G476" s="6" t="s">
        <v>469</v>
      </c>
      <c r="H476" s="8" t="s">
        <v>1101</v>
      </c>
      <c r="I476" s="9">
        <v>3.422E7</v>
      </c>
      <c r="J476" s="5" t="str">
        <f t="shared" ref="J476:K476" si="476">SUBSTITUTE(H476, ",", "")</f>
        <v>116</v>
      </c>
      <c r="K476" s="5" t="str">
        <f t="shared" si="476"/>
        <v>Rp34220000</v>
      </c>
      <c r="L476" s="5" t="str">
        <f t="shared" si="3"/>
        <v>34220000</v>
      </c>
    </row>
    <row r="477">
      <c r="A477" s="6" t="s">
        <v>1103</v>
      </c>
      <c r="B477" s="7" t="str">
        <f>HYPERLINK("https://shopee.co.id/-TIDAK-DIJUAL-Vitamin-C-pour-Maharis-Travel-Size-10ml-i.46300234.11913429618", "https://shopee.co.id/-TIDAK-DIJUAL-Vitamin-C-pour-Maharis-Travel-Size-10ml-i.46300234.11913429618")</f>
        <v>https://shopee.co.id/-TIDAK-DIJUAL-Vitamin-C-pour-Maharis-Travel-Size-10ml-i.46300234.11913429618</v>
      </c>
      <c r="C477" s="6" t="s">
        <v>471</v>
      </c>
      <c r="D477" s="6" t="s">
        <v>472</v>
      </c>
      <c r="E477" s="6" t="s">
        <v>12</v>
      </c>
      <c r="F477" s="6" t="s">
        <v>13</v>
      </c>
      <c r="G477" s="6" t="s">
        <v>98</v>
      </c>
      <c r="H477" s="8" t="s">
        <v>1104</v>
      </c>
      <c r="I477" s="9">
        <v>1.7668E7</v>
      </c>
      <c r="J477" s="5" t="str">
        <f t="shared" ref="J477:K477" si="477">SUBSTITUTE(H477, ",", "")</f>
        <v>114</v>
      </c>
      <c r="K477" s="5" t="str">
        <f t="shared" si="477"/>
        <v>Rp17668000</v>
      </c>
      <c r="L477" s="5" t="str">
        <f t="shared" si="3"/>
        <v>17668000</v>
      </c>
    </row>
    <row r="478">
      <c r="A478" s="6" t="s">
        <v>1105</v>
      </c>
      <c r="B478" s="7" t="str">
        <f>HYPERLINK("https://shopee.co.id/Implora-Serum-All-Varian-20ml-Acne-Luminous-Midnight-Peeling-i.136011044.9585921004", "https://shopee.co.id/Implora-Serum-All-Varian-20ml-Acne-Luminous-Midnight-Peeling-i.136011044.9585921004")</f>
        <v>https://shopee.co.id/Implora-Serum-All-Varian-20ml-Acne-Luminous-Midnight-Peeling-i.136011044.9585921004</v>
      </c>
      <c r="C478" s="6" t="s">
        <v>113</v>
      </c>
      <c r="D478" s="6" t="s">
        <v>632</v>
      </c>
      <c r="E478" s="6" t="s">
        <v>12</v>
      </c>
      <c r="F478" s="6" t="s">
        <v>13</v>
      </c>
      <c r="G478" s="6" t="s">
        <v>21</v>
      </c>
      <c r="H478" s="8" t="s">
        <v>1106</v>
      </c>
      <c r="I478" s="9">
        <v>1.2042E7</v>
      </c>
      <c r="J478" s="5" t="str">
        <f t="shared" ref="J478:K478" si="478">SUBSTITUTE(H478, ",", "")</f>
        <v>113</v>
      </c>
      <c r="K478" s="5" t="str">
        <f t="shared" si="478"/>
        <v>Rp12042000</v>
      </c>
      <c r="L478" s="5" t="str">
        <f t="shared" si="3"/>
        <v>12042000</v>
      </c>
    </row>
    <row r="479">
      <c r="A479" s="6" t="s">
        <v>1107</v>
      </c>
      <c r="B479" s="7" t="str">
        <f>HYPERLINK("https://shopee.co.id/Laneige-PR-Youth-Regenerator-40ml-i.52917348.9834181849", "https://shopee.co.id/Laneige-PR-Youth-Regenerator-40ml-i.52917348.9834181849")</f>
        <v>https://shopee.co.id/Laneige-PR-Youth-Regenerator-40ml-i.52917348.9834181849</v>
      </c>
      <c r="C479" s="6" t="s">
        <v>364</v>
      </c>
      <c r="D479" s="6" t="s">
        <v>365</v>
      </c>
      <c r="E479" s="6" t="s">
        <v>12</v>
      </c>
      <c r="F479" s="6" t="s">
        <v>13</v>
      </c>
      <c r="G479" s="6" t="s">
        <v>61</v>
      </c>
      <c r="H479" s="8" t="s">
        <v>1106</v>
      </c>
      <c r="I479" s="9">
        <v>2.2955E7</v>
      </c>
      <c r="J479" s="5" t="str">
        <f t="shared" ref="J479:K479" si="479">SUBSTITUTE(H479, ",", "")</f>
        <v>113</v>
      </c>
      <c r="K479" s="5" t="str">
        <f t="shared" si="479"/>
        <v>Rp22955000</v>
      </c>
      <c r="L479" s="5" t="str">
        <f t="shared" si="3"/>
        <v>22955000</v>
      </c>
    </row>
    <row r="480">
      <c r="A480" s="6" t="s">
        <v>1108</v>
      </c>
      <c r="B480" s="7" t="str">
        <f>HYPERLINK("https://shopee.co.id/AVOSKIN-YOUR-SKIN-BAE-SERIES-Marine-Collagen-10-Ginseng-Root-30ml--i.68111.9317480363", "https://shopee.co.id/AVOSKIN-YOUR-SKIN-BAE-SERIES-Marine-Collagen-10-Ginseng-Root-30ml--i.68111.9317480363")</f>
        <v>https://shopee.co.id/AVOSKIN-YOUR-SKIN-BAE-SERIES-Marine-Collagen-10-Ginseng-Root-30ml--i.68111.9317480363</v>
      </c>
      <c r="C480" s="6" t="s">
        <v>83</v>
      </c>
      <c r="D480" s="6" t="s">
        <v>441</v>
      </c>
      <c r="E480" s="6" t="s">
        <v>12</v>
      </c>
      <c r="F480" s="6" t="s">
        <v>13</v>
      </c>
      <c r="G480" s="6" t="s">
        <v>130</v>
      </c>
      <c r="H480" s="8" t="s">
        <v>1106</v>
      </c>
      <c r="I480" s="9">
        <v>2888000.0</v>
      </c>
      <c r="J480" s="5" t="str">
        <f t="shared" ref="J480:K480" si="480">SUBSTITUTE(H480, ",", "")</f>
        <v>113</v>
      </c>
      <c r="K480" s="5" t="str">
        <f t="shared" si="480"/>
        <v>Rp2888000</v>
      </c>
      <c r="L480" s="5" t="str">
        <f t="shared" si="3"/>
        <v>2888000</v>
      </c>
    </row>
    <row r="481">
      <c r="A481" s="6" t="s">
        <v>1109</v>
      </c>
      <c r="B481" s="7" t="str">
        <f>HYPERLINK("https://shopee.co.id/Somethinc-Niacinamide-Moisture-SABI-Beet-Serum-i.270965687.6577485883", "https://shopee.co.id/Somethinc-Niacinamide-Moisture-SABI-Beet-Serum-i.270965687.6577485883")</f>
        <v>https://shopee.co.id/Somethinc-Niacinamide-Moisture-SABI-Beet-Serum-i.270965687.6577485883</v>
      </c>
      <c r="C481" s="6" t="s">
        <v>45</v>
      </c>
      <c r="D481" s="6" t="s">
        <v>379</v>
      </c>
      <c r="E481" s="6" t="s">
        <v>12</v>
      </c>
      <c r="F481" s="6" t="s">
        <v>13</v>
      </c>
      <c r="G481" s="6" t="s">
        <v>380</v>
      </c>
      <c r="H481" s="8" t="s">
        <v>1110</v>
      </c>
      <c r="I481" s="9">
        <v>4.543875E7</v>
      </c>
      <c r="J481" s="5" t="str">
        <f t="shared" ref="J481:K481" si="481">SUBSTITUTE(H481, ",", "")</f>
        <v>112</v>
      </c>
      <c r="K481" s="5" t="str">
        <f t="shared" si="481"/>
        <v>Rp45438750</v>
      </c>
      <c r="L481" s="5" t="str">
        <f t="shared" si="3"/>
        <v>45438750</v>
      </c>
    </row>
    <row r="482">
      <c r="A482" s="6" t="s">
        <v>1111</v>
      </c>
      <c r="B482" s="7" t="str">
        <f>HYPERLINK("https://shopee.co.id/ElsheSkin-Vitamin-C-Serum-i.9035345.8963022044", "https://shopee.co.id/ElsheSkin-Vitamin-C-Serum-i.9035345.8963022044")</f>
        <v>https://shopee.co.id/ElsheSkin-Vitamin-C-Serum-i.9035345.8963022044</v>
      </c>
      <c r="C482" s="6" t="s">
        <v>135</v>
      </c>
      <c r="D482" s="6" t="s">
        <v>136</v>
      </c>
      <c r="E482" s="6" t="s">
        <v>12</v>
      </c>
      <c r="F482" s="6" t="s">
        <v>13</v>
      </c>
      <c r="G482" s="6" t="s">
        <v>80</v>
      </c>
      <c r="H482" s="8" t="s">
        <v>1110</v>
      </c>
      <c r="I482" s="9">
        <v>1.13022E7</v>
      </c>
      <c r="J482" s="5" t="str">
        <f t="shared" ref="J482:K482" si="482">SUBSTITUTE(H482, ",", "")</f>
        <v>112</v>
      </c>
      <c r="K482" s="5" t="str">
        <f t="shared" si="482"/>
        <v>Rp11302200</v>
      </c>
      <c r="L482" s="5" t="str">
        <f t="shared" si="3"/>
        <v>11302200</v>
      </c>
    </row>
    <row r="483">
      <c r="A483" s="6" t="s">
        <v>1112</v>
      </c>
      <c r="B483" s="7" t="str">
        <f>HYPERLINK("https://shopee.co.id/JUMISO-All-Day-Vitamin-Brightening-Balancing-Facial-Serum-i.125116082.3719266760", "https://shopee.co.id/JUMISO-All-Day-Vitamin-Brightening-Balancing-Facial-Serum-i.125116082.3719266760")</f>
        <v>https://shopee.co.id/JUMISO-All-Day-Vitamin-Brightening-Balancing-Facial-Serum-i.125116082.3719266760</v>
      </c>
      <c r="C483" s="6" t="s">
        <v>1113</v>
      </c>
      <c r="D483" s="6" t="s">
        <v>713</v>
      </c>
      <c r="E483" s="6" t="s">
        <v>12</v>
      </c>
      <c r="F483" s="6" t="s">
        <v>13</v>
      </c>
      <c r="G483" s="6" t="s">
        <v>61</v>
      </c>
      <c r="H483" s="8" t="s">
        <v>1110</v>
      </c>
      <c r="I483" s="9">
        <v>1.6688E7</v>
      </c>
      <c r="J483" s="5" t="str">
        <f t="shared" ref="J483:K483" si="483">SUBSTITUTE(H483, ",", "")</f>
        <v>112</v>
      </c>
      <c r="K483" s="5" t="str">
        <f t="shared" si="483"/>
        <v>Rp16688000</v>
      </c>
      <c r="L483" s="5" t="str">
        <f t="shared" si="3"/>
        <v>16688000</v>
      </c>
    </row>
    <row r="484">
      <c r="A484" s="6" t="s">
        <v>1114</v>
      </c>
      <c r="B484" s="7" t="str">
        <f>HYPERLINK("https://shopee.co.id/THE-BATH-BOX-Galacto-Essence-Anti-aging-melasma-Pigmentasi-wringkles-pencerah-wajah--i.52581685.1035962794", "https://shopee.co.id/THE-BATH-BOX-Galacto-Essence-Anti-aging-melasma-Pigmentasi-wringkles-pencerah-wajah--i.52581685.1035962794")</f>
        <v>https://shopee.co.id/THE-BATH-BOX-Galacto-Essence-Anti-aging-melasma-Pigmentasi-wringkles-pencerah-wajah--i.52581685.1035962794</v>
      </c>
      <c r="C484" s="6" t="s">
        <v>613</v>
      </c>
      <c r="D484" s="6" t="s">
        <v>614</v>
      </c>
      <c r="E484" s="6" t="s">
        <v>12</v>
      </c>
      <c r="F484" s="6" t="s">
        <v>13</v>
      </c>
      <c r="G484" s="6" t="s">
        <v>61</v>
      </c>
      <c r="H484" s="8" t="s">
        <v>1110</v>
      </c>
      <c r="I484" s="9">
        <v>1.08108E7</v>
      </c>
      <c r="J484" s="5" t="str">
        <f t="shared" ref="J484:K484" si="484">SUBSTITUTE(H484, ",", "")</f>
        <v>112</v>
      </c>
      <c r="K484" s="5" t="str">
        <f t="shared" si="484"/>
        <v>Rp10810800</v>
      </c>
      <c r="L484" s="5" t="str">
        <f t="shared" si="3"/>
        <v>10810800</v>
      </c>
    </row>
    <row r="485">
      <c r="A485" s="6" t="s">
        <v>1115</v>
      </c>
      <c r="B485" s="7" t="str">
        <f>HYPERLINK("https://shopee.co.id/I-Face-Vitamin-C-Serum-10-mL-i.207650136.7712990083", "https://shopee.co.id/I-Face-Vitamin-C-Serum-10-mL-i.207650136.7712990083")</f>
        <v>https://shopee.co.id/I-Face-Vitamin-C-Serum-10-mL-i.207650136.7712990083</v>
      </c>
      <c r="C485" s="6" t="s">
        <v>1116</v>
      </c>
      <c r="D485" s="6" t="s">
        <v>1117</v>
      </c>
      <c r="E485" s="6" t="s">
        <v>12</v>
      </c>
      <c r="F485" s="6" t="s">
        <v>13</v>
      </c>
      <c r="G485" s="6" t="s">
        <v>21</v>
      </c>
      <c r="H485" s="8" t="s">
        <v>1118</v>
      </c>
      <c r="I485" s="9">
        <v>4.00745E7</v>
      </c>
      <c r="J485" s="5" t="str">
        <f t="shared" ref="J485:K485" si="485">SUBSTITUTE(H485, ",", "")</f>
        <v>111</v>
      </c>
      <c r="K485" s="5" t="str">
        <f t="shared" si="485"/>
        <v>Rp40074500</v>
      </c>
      <c r="L485" s="5" t="str">
        <f t="shared" si="3"/>
        <v>40074500</v>
      </c>
    </row>
    <row r="486">
      <c r="A486" s="6" t="s">
        <v>1119</v>
      </c>
      <c r="B486" s="7" t="str">
        <f>HYPERLINK("https://shopee.co.id/PAKET-KOMEDO-COMEDONAL-ACNE-ELLA-SKINCARE-i.95154428.11744060878", "https://shopee.co.id/PAKET-KOMEDO-COMEDONAL-ACNE-ELLA-SKINCARE-i.95154428.11744060878")</f>
        <v>https://shopee.co.id/PAKET-KOMEDO-COMEDONAL-ACNE-ELLA-SKINCARE-i.95154428.11744060878</v>
      </c>
      <c r="C486" s="6" t="s">
        <v>954</v>
      </c>
      <c r="D486" s="6" t="s">
        <v>598</v>
      </c>
      <c r="E486" s="6" t="s">
        <v>12</v>
      </c>
      <c r="F486" s="6" t="s">
        <v>13</v>
      </c>
      <c r="G486" s="6" t="s">
        <v>409</v>
      </c>
      <c r="H486" s="8" t="s">
        <v>1120</v>
      </c>
      <c r="I486" s="9">
        <v>1.18E7</v>
      </c>
      <c r="J486" s="5" t="str">
        <f t="shared" ref="J486:K486" si="486">SUBSTITUTE(H486, ",", "")</f>
        <v>110</v>
      </c>
      <c r="K486" s="5" t="str">
        <f t="shared" si="486"/>
        <v>Rp11800000</v>
      </c>
      <c r="L486" s="5" t="str">
        <f t="shared" si="3"/>
        <v>11800000</v>
      </c>
    </row>
    <row r="487">
      <c r="A487" s="6" t="s">
        <v>1121</v>
      </c>
      <c r="B487" s="7" t="str">
        <f>HYPERLINK("https://shopee.co.id/Purivera-Almond-Buckthorn-Serum-Oil-Anti-Aging-Sea-Bakuchiol-1-As-Retinol-Retinoid-Alternative-i.43724442.8616988385", "https://shopee.co.id/Purivera-Almond-Buckthorn-Serum-Oil-Anti-Aging-Sea-Bakuchiol-1-As-Retinol-Retinoid-Alternative-i.43724442.8616988385")</f>
        <v>https://shopee.co.id/Purivera-Almond-Buckthorn-Serum-Oil-Anti-Aging-Sea-Bakuchiol-1-As-Retinol-Retinoid-Alternative-i.43724442.8616988385</v>
      </c>
      <c r="C487" s="6" t="s">
        <v>428</v>
      </c>
      <c r="D487" s="6" t="s">
        <v>429</v>
      </c>
      <c r="E487" s="6" t="s">
        <v>12</v>
      </c>
      <c r="F487" s="6" t="s">
        <v>13</v>
      </c>
      <c r="G487" s="6" t="s">
        <v>61</v>
      </c>
      <c r="H487" s="8" t="s">
        <v>1120</v>
      </c>
      <c r="I487" s="9">
        <v>1.495223E7</v>
      </c>
      <c r="J487" s="5" t="str">
        <f t="shared" ref="J487:K487" si="487">SUBSTITUTE(H487, ",", "")</f>
        <v>110</v>
      </c>
      <c r="K487" s="5" t="str">
        <f t="shared" si="487"/>
        <v>Rp14952230</v>
      </c>
      <c r="L487" s="5" t="str">
        <f t="shared" si="3"/>
        <v>14952230</v>
      </c>
    </row>
    <row r="488">
      <c r="A488" s="6" t="s">
        <v>1122</v>
      </c>
      <c r="B488" s="7" t="str">
        <f>HYPERLINK("https://shopee.co.id/Votre-Peau-Skin-Care-Acne-Fighter-Package-i.46300234.3777919788", "https://shopee.co.id/Votre-Peau-Skin-Care-Acne-Fighter-Package-i.46300234.3777919788")</f>
        <v>https://shopee.co.id/Votre-Peau-Skin-Care-Acne-Fighter-Package-i.46300234.3777919788</v>
      </c>
      <c r="C488" s="6" t="s">
        <v>999</v>
      </c>
      <c r="D488" s="6" t="s">
        <v>472</v>
      </c>
      <c r="E488" s="6" t="s">
        <v>12</v>
      </c>
      <c r="F488" s="6" t="s">
        <v>13</v>
      </c>
      <c r="G488" s="6" t="s">
        <v>98</v>
      </c>
      <c r="H488" s="8" t="s">
        <v>1120</v>
      </c>
      <c r="I488" s="9">
        <v>9889000.0</v>
      </c>
      <c r="J488" s="5" t="str">
        <f t="shared" ref="J488:K488" si="488">SUBSTITUTE(H488, ",", "")</f>
        <v>110</v>
      </c>
      <c r="K488" s="5" t="str">
        <f t="shared" si="488"/>
        <v>Rp9889000</v>
      </c>
      <c r="L488" s="5" t="str">
        <f t="shared" si="3"/>
        <v>9889000</v>
      </c>
    </row>
    <row r="489">
      <c r="A489" s="6" t="s">
        <v>1123</v>
      </c>
      <c r="B489" s="7" t="str">
        <f>HYPERLINK("https://shopee.co.id/All-Perfect-Acne-Beauty-Set-Essence-Toner-100ml-Fresh-Calming-Serum-30ml--i.167618454.6414674636", "https://shopee.co.id/All-Perfect-Acne-Beauty-Set-Essence-Toner-100ml-Fresh-Calming-Serum-30ml--i.167618454.6414674636")</f>
        <v>https://shopee.co.id/All-Perfect-Acne-Beauty-Set-Essence-Toner-100ml-Fresh-Calming-Serum-30ml--i.167618454.6414674636</v>
      </c>
      <c r="C489" s="6" t="s">
        <v>718</v>
      </c>
      <c r="D489" s="6" t="s">
        <v>678</v>
      </c>
      <c r="E489" s="6" t="s">
        <v>12</v>
      </c>
      <c r="F489" s="6" t="s">
        <v>13</v>
      </c>
      <c r="G489" s="6" t="s">
        <v>296</v>
      </c>
      <c r="H489" s="8" t="s">
        <v>1120</v>
      </c>
      <c r="I489" s="9">
        <v>2.501613E7</v>
      </c>
      <c r="J489" s="5" t="str">
        <f t="shared" ref="J489:K489" si="489">SUBSTITUTE(H489, ",", "")</f>
        <v>110</v>
      </c>
      <c r="K489" s="5" t="str">
        <f t="shared" si="489"/>
        <v>Rp25016130</v>
      </c>
      <c r="L489" s="5" t="str">
        <f t="shared" si="3"/>
        <v>25016130</v>
      </c>
    </row>
    <row r="490">
      <c r="A490" s="6" t="s">
        <v>1124</v>
      </c>
      <c r="B490" s="7" t="str">
        <f>HYPERLINK("https://shopee.co.id/Garnier-x-Realfood-Healthy-Glow-Kit-Rangkaian-Perawatan-Untuk-Kulit-Glowing-Luar-Dalam-i.62583853.2984829805", "https://shopee.co.id/Garnier-x-Realfood-Healthy-Glow-Kit-Rangkaian-Perawatan-Untuk-Kulit-Glowing-Luar-Dalam-i.62583853.2984829805")</f>
        <v>https://shopee.co.id/Garnier-x-Realfood-Healthy-Glow-Kit-Rangkaian-Perawatan-Untuk-Kulit-Glowing-Luar-Dalam-i.62583853.2984829805</v>
      </c>
      <c r="C490" s="6" t="s">
        <v>1125</v>
      </c>
      <c r="D490" s="6" t="s">
        <v>75</v>
      </c>
      <c r="E490" s="6" t="s">
        <v>12</v>
      </c>
      <c r="F490" s="6" t="s">
        <v>13</v>
      </c>
      <c r="G490" s="6" t="s">
        <v>61</v>
      </c>
      <c r="H490" s="8" t="s">
        <v>1126</v>
      </c>
      <c r="I490" s="9">
        <v>8034800.0</v>
      </c>
      <c r="J490" s="5" t="str">
        <f t="shared" ref="J490:K490" si="490">SUBSTITUTE(H490, ",", "")</f>
        <v>109</v>
      </c>
      <c r="K490" s="5" t="str">
        <f t="shared" si="490"/>
        <v>Rp8034800</v>
      </c>
      <c r="L490" s="5" t="str">
        <f t="shared" si="3"/>
        <v>8034800</v>
      </c>
    </row>
    <row r="491">
      <c r="A491" s="6" t="s">
        <v>1127</v>
      </c>
      <c r="B491" s="7" t="str">
        <f>HYPERLINK("https://shopee.co.id/SECA-BHA-2-Serum-i.373749700.9970218720", "https://shopee.co.id/SECA-BHA-2-Serum-i.373749700.9970218720")</f>
        <v>https://shopee.co.id/SECA-BHA-2-Serum-i.373749700.9970218720</v>
      </c>
      <c r="C491" s="6" t="s">
        <v>985</v>
      </c>
      <c r="D491" s="6" t="s">
        <v>986</v>
      </c>
      <c r="E491" s="6" t="s">
        <v>12</v>
      </c>
      <c r="F491" s="6" t="s">
        <v>13</v>
      </c>
      <c r="G491" s="6" t="s">
        <v>36</v>
      </c>
      <c r="H491" s="8" t="s">
        <v>1126</v>
      </c>
      <c r="I491" s="9">
        <v>7249550.0</v>
      </c>
      <c r="J491" s="5" t="str">
        <f t="shared" ref="J491:K491" si="491">SUBSTITUTE(H491, ",", "")</f>
        <v>109</v>
      </c>
      <c r="K491" s="5" t="str">
        <f t="shared" si="491"/>
        <v>Rp7249550</v>
      </c>
      <c r="L491" s="5" t="str">
        <f t="shared" si="3"/>
        <v>7249550</v>
      </c>
    </row>
    <row r="492">
      <c r="A492" s="6" t="s">
        <v>1128</v>
      </c>
      <c r="B492" s="7" t="str">
        <f>HYPERLINK("https://shopee.co.id/Somethinc-Hyaluronic9-Advanced-B5-Serum-20ml-40ml-i.50948181.2704477522", "https://shopee.co.id/Somethinc-Hyaluronic9-Advanced-B5-Serum-20ml-40ml-i.50948181.2704477522")</f>
        <v>https://shopee.co.id/Somethinc-Hyaluronic9-Advanced-B5-Serum-20ml-40ml-i.50948181.2704477522</v>
      </c>
      <c r="C492" s="6" t="s">
        <v>45</v>
      </c>
      <c r="D492" s="6" t="s">
        <v>1129</v>
      </c>
      <c r="E492" s="6" t="s">
        <v>12</v>
      </c>
      <c r="F492" s="6" t="s">
        <v>13</v>
      </c>
      <c r="G492" s="6" t="s">
        <v>1130</v>
      </c>
      <c r="H492" s="8" t="s">
        <v>1131</v>
      </c>
      <c r="I492" s="9">
        <v>1.0257E7</v>
      </c>
      <c r="J492" s="5" t="str">
        <f t="shared" ref="J492:K492" si="492">SUBSTITUTE(H492, ",", "")</f>
        <v>108</v>
      </c>
      <c r="K492" s="5" t="str">
        <f t="shared" si="492"/>
        <v>Rp10257000</v>
      </c>
      <c r="L492" s="5" t="str">
        <f t="shared" si="3"/>
        <v>10257000</v>
      </c>
    </row>
    <row r="493">
      <c r="A493" s="6" t="s">
        <v>1132</v>
      </c>
      <c r="B493" s="7" t="str">
        <f>HYPERLINK("https://shopee.co.id/Jarkeen-Vit-C-Booster-Serum-i.147936010.2688509710", "https://shopee.co.id/Jarkeen-Vit-C-Booster-Serum-i.147936010.2688509710")</f>
        <v>https://shopee.co.id/Jarkeen-Vit-C-Booster-Serum-i.147936010.2688509710</v>
      </c>
      <c r="C493" s="6" t="s">
        <v>738</v>
      </c>
      <c r="D493" s="6" t="s">
        <v>739</v>
      </c>
      <c r="E493" s="6" t="s">
        <v>12</v>
      </c>
      <c r="F493" s="6" t="s">
        <v>13</v>
      </c>
      <c r="G493" s="6" t="s">
        <v>241</v>
      </c>
      <c r="H493" s="8" t="s">
        <v>1131</v>
      </c>
      <c r="I493" s="9">
        <v>9612000.0</v>
      </c>
      <c r="J493" s="5" t="str">
        <f t="shared" ref="J493:K493" si="493">SUBSTITUTE(H493, ",", "")</f>
        <v>108</v>
      </c>
      <c r="K493" s="5" t="str">
        <f t="shared" si="493"/>
        <v>Rp9612000</v>
      </c>
      <c r="L493" s="5" t="str">
        <f t="shared" si="3"/>
        <v>9612000</v>
      </c>
    </row>
    <row r="494">
      <c r="A494" s="6" t="s">
        <v>1133</v>
      </c>
      <c r="B494" s="7" t="str">
        <f>HYPERLINK("https://shopee.co.id/Aish-Serum-Paket-12-Pcs-Bebas-Pilih-Varian-isi-di-catatan-i.406360531.9886683424", "https://shopee.co.id/Aish-Serum-Paket-12-Pcs-Bebas-Pilih-Varian-isi-di-catatan-i.406360531.9886683424")</f>
        <v>https://shopee.co.id/Aish-Serum-Paket-12-Pcs-Bebas-Pilih-Varian-isi-di-catatan-i.406360531.9886683424</v>
      </c>
      <c r="C494" s="6" t="s">
        <v>1015</v>
      </c>
      <c r="D494" s="6" t="s">
        <v>444</v>
      </c>
      <c r="E494" s="6" t="s">
        <v>12</v>
      </c>
      <c r="F494" s="6" t="s">
        <v>13</v>
      </c>
      <c r="G494" s="6" t="s">
        <v>241</v>
      </c>
      <c r="H494" s="8" t="s">
        <v>1134</v>
      </c>
      <c r="I494" s="9">
        <v>7860500.0</v>
      </c>
      <c r="J494" s="5" t="str">
        <f t="shared" ref="J494:K494" si="494">SUBSTITUTE(H494, ",", "")</f>
        <v>107</v>
      </c>
      <c r="K494" s="5" t="str">
        <f t="shared" si="494"/>
        <v>Rp7860500</v>
      </c>
      <c r="L494" s="5" t="str">
        <f t="shared" si="3"/>
        <v>7860500</v>
      </c>
    </row>
    <row r="495">
      <c r="A495" s="6" t="s">
        <v>1135</v>
      </c>
      <c r="B495" s="7" t="str">
        <f>HYPERLINK("https://shopee.co.id/NATURE-REPUBLIC-Good-Skin-Ampoule-NIACINAMIDE-i.78838801.4965332189", "https://shopee.co.id/NATURE-REPUBLIC-Good-Skin-Ampoule-NIACINAMIDE-i.78838801.4965332189")</f>
        <v>https://shopee.co.id/NATURE-REPUBLIC-Good-Skin-Ampoule-NIACINAMIDE-i.78838801.4965332189</v>
      </c>
      <c r="C495" s="6" t="s">
        <v>1079</v>
      </c>
      <c r="D495" s="6" t="s">
        <v>1080</v>
      </c>
      <c r="E495" s="6" t="s">
        <v>12</v>
      </c>
      <c r="F495" s="6" t="s">
        <v>13</v>
      </c>
      <c r="G495" s="6" t="s">
        <v>532</v>
      </c>
      <c r="H495" s="8" t="s">
        <v>1134</v>
      </c>
      <c r="I495" s="9">
        <v>8878800.0</v>
      </c>
      <c r="J495" s="5" t="str">
        <f t="shared" ref="J495:K495" si="495">SUBSTITUTE(H495, ",", "")</f>
        <v>107</v>
      </c>
      <c r="K495" s="5" t="str">
        <f t="shared" si="495"/>
        <v>Rp8878800</v>
      </c>
      <c r="L495" s="5" t="str">
        <f t="shared" si="3"/>
        <v>8878800</v>
      </c>
    </row>
    <row r="496">
      <c r="A496" s="6" t="s">
        <v>1136</v>
      </c>
      <c r="B496" s="7" t="str">
        <f>HYPERLINK("https://shopee.co.id/-innisfree-Green-Tea-Seed-Essence-In-Lotion-100ML-Serum-Wajah-Perawatan-Wajah-i.61504589.2176154131", "https://shopee.co.id/-innisfree-Green-Tea-Seed-Essence-In-Lotion-100ML-Serum-Wajah-Perawatan-Wajah-i.61504589.2176154131")</f>
        <v>https://shopee.co.id/-innisfree-Green-Tea-Seed-Essence-In-Lotion-100ML-Serum-Wajah-Perawatan-Wajah-i.61504589.2176154131</v>
      </c>
      <c r="C496" s="6" t="s">
        <v>294</v>
      </c>
      <c r="D496" s="6" t="s">
        <v>295</v>
      </c>
      <c r="E496" s="6" t="s">
        <v>12</v>
      </c>
      <c r="F496" s="6" t="s">
        <v>13</v>
      </c>
      <c r="G496" s="6" t="s">
        <v>296</v>
      </c>
      <c r="H496" s="8" t="s">
        <v>1134</v>
      </c>
      <c r="I496" s="9">
        <v>7169000.0</v>
      </c>
      <c r="J496" s="5" t="str">
        <f t="shared" ref="J496:K496" si="496">SUBSTITUTE(H496, ",", "")</f>
        <v>107</v>
      </c>
      <c r="K496" s="5" t="str">
        <f t="shared" si="496"/>
        <v>Rp7169000</v>
      </c>
      <c r="L496" s="5" t="str">
        <f t="shared" si="3"/>
        <v>7169000</v>
      </c>
    </row>
    <row r="497">
      <c r="A497" s="6" t="s">
        <v>1137</v>
      </c>
      <c r="B497" s="7" t="str">
        <f>HYPERLINK("https://shopee.co.id/Laneige-Water-Bank-Hydro-Essence-70ml-i.52917348.8334178538", "https://shopee.co.id/Laneige-Water-Bank-Hydro-Essence-70ml-i.52917348.8334178538")</f>
        <v>https://shopee.co.id/Laneige-Water-Bank-Hydro-Essence-70ml-i.52917348.8334178538</v>
      </c>
      <c r="C497" s="6" t="s">
        <v>364</v>
      </c>
      <c r="D497" s="6" t="s">
        <v>365</v>
      </c>
      <c r="E497" s="6" t="s">
        <v>12</v>
      </c>
      <c r="F497" s="6" t="s">
        <v>13</v>
      </c>
      <c r="G497" s="6" t="s">
        <v>61</v>
      </c>
      <c r="H497" s="8" t="s">
        <v>1134</v>
      </c>
      <c r="I497" s="9">
        <v>1425000.0</v>
      </c>
      <c r="J497" s="5" t="str">
        <f t="shared" ref="J497:K497" si="497">SUBSTITUTE(H497, ",", "")</f>
        <v>107</v>
      </c>
      <c r="K497" s="5" t="str">
        <f t="shared" si="497"/>
        <v>Rp1425000</v>
      </c>
      <c r="L497" s="5" t="str">
        <f t="shared" si="3"/>
        <v>1425000</v>
      </c>
    </row>
    <row r="498">
      <c r="A498" s="6" t="s">
        <v>1138</v>
      </c>
      <c r="B498" s="7" t="str">
        <f>HYPERLINK("https://shopee.co.id/SOMETHINC-Niacinamide-Moisture-Beet-Serum-40-ml--i.68111.6718306335", "https://shopee.co.id/SOMETHINC-Niacinamide-Moisture-Beet-Serum-40-ml--i.68111.6718306335")</f>
        <v>https://shopee.co.id/SOMETHINC-Niacinamide-Moisture-Beet-Serum-40-ml--i.68111.6718306335</v>
      </c>
      <c r="C498" s="6" t="s">
        <v>45</v>
      </c>
      <c r="D498" s="6" t="s">
        <v>441</v>
      </c>
      <c r="E498" s="6" t="s">
        <v>12</v>
      </c>
      <c r="F498" s="6" t="s">
        <v>13</v>
      </c>
      <c r="G498" s="6" t="s">
        <v>130</v>
      </c>
      <c r="H498" s="8" t="s">
        <v>1139</v>
      </c>
      <c r="I498" s="9">
        <v>2850000.0</v>
      </c>
      <c r="J498" s="5" t="str">
        <f t="shared" ref="J498:K498" si="498">SUBSTITUTE(H498, ",", "")</f>
        <v>106</v>
      </c>
      <c r="K498" s="5" t="str">
        <f t="shared" si="498"/>
        <v>Rp2850000</v>
      </c>
      <c r="L498" s="5" t="str">
        <f t="shared" si="3"/>
        <v>2850000</v>
      </c>
    </row>
    <row r="499">
      <c r="A499" s="6" t="s">
        <v>1140</v>
      </c>
      <c r="B499" s="7" t="str">
        <f>HYPERLINK("https://shopee.co.id/Skinmee-Dualmee-Series-Shine-Bright-i.426361756.8976990950", "https://shopee.co.id/Skinmee-Dualmee-Series-Shine-Bright-i.426361756.8976990950")</f>
        <v>https://shopee.co.id/Skinmee-Dualmee-Series-Shine-Bright-i.426361756.8976990950</v>
      </c>
      <c r="C499" s="6" t="s">
        <v>1141</v>
      </c>
      <c r="D499" s="6" t="s">
        <v>1142</v>
      </c>
      <c r="E499" s="6" t="s">
        <v>12</v>
      </c>
      <c r="F499" s="6" t="s">
        <v>13</v>
      </c>
      <c r="G499" s="6" t="s">
        <v>98</v>
      </c>
      <c r="H499" s="8" t="s">
        <v>1139</v>
      </c>
      <c r="I499" s="9">
        <v>9374000.0</v>
      </c>
      <c r="J499" s="5" t="str">
        <f t="shared" ref="J499:K499" si="499">SUBSTITUTE(H499, ",", "")</f>
        <v>106</v>
      </c>
      <c r="K499" s="5" t="str">
        <f t="shared" si="499"/>
        <v>Rp9374000</v>
      </c>
      <c r="L499" s="5" t="str">
        <f t="shared" si="3"/>
        <v>9374000</v>
      </c>
    </row>
    <row r="500">
      <c r="A500" s="6" t="s">
        <v>1143</v>
      </c>
      <c r="B500" s="7" t="str">
        <f>HYPERLINK("https://shopee.co.id/Haum-LCID-Salicylic-Acid-2-28-Ml-X-1-i.344731863.7365350818", "https://shopee.co.id/Haum-LCID-Salicylic-Acid-2-28-Ml-X-1-i.344731863.7365350818")</f>
        <v>https://shopee.co.id/Haum-LCID-Salicylic-Acid-2-28-Ml-X-1-i.344731863.7365350818</v>
      </c>
      <c r="C500" s="6" t="s">
        <v>1144</v>
      </c>
      <c r="D500" s="6" t="s">
        <v>1145</v>
      </c>
      <c r="E500" s="6" t="s">
        <v>12</v>
      </c>
      <c r="F500" s="6" t="s">
        <v>13</v>
      </c>
      <c r="G500" s="6" t="s">
        <v>98</v>
      </c>
      <c r="H500" s="8" t="s">
        <v>1146</v>
      </c>
      <c r="I500" s="9">
        <v>3.788E7</v>
      </c>
      <c r="J500" s="5" t="str">
        <f t="shared" ref="J500:K500" si="500">SUBSTITUTE(H500, ",", "")</f>
        <v>105</v>
      </c>
      <c r="K500" s="5" t="str">
        <f t="shared" si="500"/>
        <v>Rp37880000</v>
      </c>
      <c r="L500" s="5" t="str">
        <f t="shared" si="3"/>
        <v>37880000</v>
      </c>
    </row>
    <row r="501">
      <c r="A501" s="6" t="s">
        <v>1147</v>
      </c>
      <c r="B501" s="7" t="str">
        <f>HYPERLINK("https://shopee.co.id/Scarlett-Whitening-Serum-Acne-Brightly-Ever-After-Glowtening-15ml-i.136011044.5243010493", "https://shopee.co.id/Scarlett-Whitening-Serum-Acne-Brightly-Ever-After-Glowtening-15ml-i.136011044.5243010493")</f>
        <v>https://shopee.co.id/Scarlett-Whitening-Serum-Acne-Brightly-Ever-After-Glowtening-15ml-i.136011044.5243010493</v>
      </c>
      <c r="C501" s="6" t="s">
        <v>19</v>
      </c>
      <c r="D501" s="6" t="s">
        <v>632</v>
      </c>
      <c r="E501" s="6" t="s">
        <v>12</v>
      </c>
      <c r="F501" s="6" t="s">
        <v>13</v>
      </c>
      <c r="G501" s="6" t="s">
        <v>21</v>
      </c>
      <c r="H501" s="8" t="s">
        <v>1146</v>
      </c>
      <c r="I501" s="9">
        <v>1.9364458E7</v>
      </c>
      <c r="J501" s="5" t="str">
        <f t="shared" ref="J501:K501" si="501">SUBSTITUTE(H501, ",", "")</f>
        <v>105</v>
      </c>
      <c r="K501" s="5" t="str">
        <f t="shared" si="501"/>
        <v>Rp19364458</v>
      </c>
      <c r="L501" s="5" t="str">
        <f t="shared" si="3"/>
        <v>19364458</v>
      </c>
    </row>
    <row r="502">
      <c r="A502" s="6" t="s">
        <v>1148</v>
      </c>
      <c r="B502" s="7" t="str">
        <f>HYPERLINK("https://shopee.co.id/MSBB-Lacoco-5-Bakuchiol-Essence-i.288588702.8987976739", "https://shopee.co.id/MSBB-Lacoco-5-Bakuchiol-Essence-i.288588702.8987976739")</f>
        <v>https://shopee.co.id/MSBB-Lacoco-5-Bakuchiol-Essence-i.288588702.8987976739</v>
      </c>
      <c r="C502" s="6" t="s">
        <v>78</v>
      </c>
      <c r="D502" s="6" t="s">
        <v>79</v>
      </c>
      <c r="E502" s="6" t="s">
        <v>12</v>
      </c>
      <c r="F502" s="6" t="s">
        <v>13</v>
      </c>
      <c r="G502" s="6" t="s">
        <v>80</v>
      </c>
      <c r="H502" s="8" t="s">
        <v>1146</v>
      </c>
      <c r="I502" s="9">
        <v>3.27035E7</v>
      </c>
      <c r="J502" s="5" t="str">
        <f t="shared" ref="J502:K502" si="502">SUBSTITUTE(H502, ",", "")</f>
        <v>105</v>
      </c>
      <c r="K502" s="5" t="str">
        <f t="shared" si="502"/>
        <v>Rp32703500</v>
      </c>
      <c r="L502" s="5" t="str">
        <f t="shared" si="3"/>
        <v>32703500</v>
      </c>
    </row>
    <row r="503">
      <c r="A503" s="6" t="s">
        <v>1149</v>
      </c>
      <c r="B503" s="7" t="str">
        <f>HYPERLINK("https://shopee.co.id/YOU-AcnePlus-Complete-Solution-Serum-20-ml-i.72375863.6393092312", "https://shopee.co.id/YOU-AcnePlus-Complete-Solution-Serum-20-ml-i.72375863.6393092312")</f>
        <v>https://shopee.co.id/YOU-AcnePlus-Complete-Solution-Serum-20-ml-i.72375863.6393092312</v>
      </c>
      <c r="C503" s="6" t="s">
        <v>128</v>
      </c>
      <c r="D503" s="6" t="s">
        <v>129</v>
      </c>
      <c r="E503" s="6" t="s">
        <v>12</v>
      </c>
      <c r="F503" s="6" t="s">
        <v>13</v>
      </c>
      <c r="G503" s="6" t="s">
        <v>130</v>
      </c>
      <c r="H503" s="8" t="s">
        <v>1146</v>
      </c>
      <c r="I503" s="9">
        <v>7035000.0</v>
      </c>
      <c r="J503" s="5" t="str">
        <f t="shared" ref="J503:K503" si="503">SUBSTITUTE(H503, ",", "")</f>
        <v>105</v>
      </c>
      <c r="K503" s="5" t="str">
        <f t="shared" si="503"/>
        <v>Rp7035000</v>
      </c>
      <c r="L503" s="5" t="str">
        <f t="shared" si="3"/>
        <v>7035000</v>
      </c>
    </row>
    <row r="504">
      <c r="A504" s="6" t="s">
        <v>1150</v>
      </c>
      <c r="B504" s="7" t="str">
        <f>HYPERLINK("https://shopee.co.id/The-Aubree-Rose-Bloom-Petal-Essence-120-ml-i.495290309.10920466657", "https://shopee.co.id/The-Aubree-Rose-Bloom-Petal-Essence-120-ml-i.495290309.10920466657")</f>
        <v>https://shopee.co.id/The-Aubree-Rose-Bloom-Petal-Essence-120-ml-i.495290309.10920466657</v>
      </c>
      <c r="C504" s="6" t="s">
        <v>772</v>
      </c>
      <c r="D504" s="6" t="s">
        <v>773</v>
      </c>
      <c r="E504" s="6" t="s">
        <v>12</v>
      </c>
      <c r="F504" s="6" t="s">
        <v>13</v>
      </c>
      <c r="G504" s="6" t="s">
        <v>241</v>
      </c>
      <c r="H504" s="8" t="s">
        <v>1151</v>
      </c>
      <c r="I504" s="9">
        <v>7459750.0</v>
      </c>
      <c r="J504" s="5" t="str">
        <f t="shared" ref="J504:K504" si="504">SUBSTITUTE(H504, ",", "")</f>
        <v>104</v>
      </c>
      <c r="K504" s="5" t="str">
        <f t="shared" si="504"/>
        <v>Rp7459750</v>
      </c>
      <c r="L504" s="5" t="str">
        <f t="shared" si="3"/>
        <v>7459750</v>
      </c>
    </row>
    <row r="505">
      <c r="A505" s="6" t="s">
        <v>1152</v>
      </c>
      <c r="B505" s="7" t="str">
        <f>HYPERLINK("https://shopee.co.id/Dear-Me-Beauty-10-Cica-Watermelon-Extract-Face-Serum-12ml-i.45495764.2950079790", "https://shopee.co.id/Dear-Me-Beauty-10-Cica-Watermelon-Extract-Face-Serum-12ml-i.45495764.2950079790")</f>
        <v>https://shopee.co.id/Dear-Me-Beauty-10-Cica-Watermelon-Extract-Face-Serum-12ml-i.45495764.2950079790</v>
      </c>
      <c r="C505" s="6" t="s">
        <v>70</v>
      </c>
      <c r="D505" s="6" t="s">
        <v>71</v>
      </c>
      <c r="E505" s="6" t="s">
        <v>12</v>
      </c>
      <c r="F505" s="6" t="s">
        <v>13</v>
      </c>
      <c r="G505" s="6" t="s">
        <v>61</v>
      </c>
      <c r="H505" s="8" t="s">
        <v>1151</v>
      </c>
      <c r="I505" s="9">
        <v>3.18968E7</v>
      </c>
      <c r="J505" s="5" t="str">
        <f t="shared" ref="J505:K505" si="505">SUBSTITUTE(H505, ",", "")</f>
        <v>104</v>
      </c>
      <c r="K505" s="5" t="str">
        <f t="shared" si="505"/>
        <v>Rp31896800</v>
      </c>
      <c r="L505" s="5" t="str">
        <f t="shared" si="3"/>
        <v>31896800</v>
      </c>
    </row>
    <row r="506">
      <c r="A506" s="6" t="s">
        <v>1153</v>
      </c>
      <c r="B506" s="7" t="str">
        <f>HYPERLINK("https://shopee.co.id/ERTOS-SERUM-KINCLONG-ERTO-S-SERUM-CREAM-MUKA-i.23831802.380720959", "https://shopee.co.id/ERTOS-SERUM-KINCLONG-ERTO-S-SERUM-CREAM-MUKA-i.23831802.380720959")</f>
        <v>https://shopee.co.id/ERTOS-SERUM-KINCLONG-ERTO-S-SERUM-CREAM-MUKA-i.23831802.380720959</v>
      </c>
      <c r="C506" s="6" t="s">
        <v>467</v>
      </c>
      <c r="D506" s="6" t="s">
        <v>1084</v>
      </c>
      <c r="E506" s="6" t="s">
        <v>12</v>
      </c>
      <c r="F506" s="6" t="s">
        <v>13</v>
      </c>
      <c r="G506" s="6" t="s">
        <v>1085</v>
      </c>
      <c r="H506" s="8" t="s">
        <v>1154</v>
      </c>
      <c r="I506" s="9">
        <v>1.36188E7</v>
      </c>
      <c r="J506" s="5" t="str">
        <f t="shared" ref="J506:K506" si="506">SUBSTITUTE(H506, ",", "")</f>
        <v>103</v>
      </c>
      <c r="K506" s="5" t="str">
        <f t="shared" si="506"/>
        <v>Rp13618800</v>
      </c>
      <c r="L506" s="5" t="str">
        <f t="shared" si="3"/>
        <v>13618800</v>
      </c>
    </row>
    <row r="507">
      <c r="A507" s="6" t="s">
        <v>1155</v>
      </c>
      <c r="B507" s="7" t="str">
        <f>HYPERLINK("https://shopee.co.id/-Buy-1-Get-1-Bio-Essence-Bio-Gold-Day-Cream-Spf-25-40Gr-i.63822287.7866607181", "https://shopee.co.id/-Buy-1-Get-1-Bio-Essence-Bio-Gold-Day-Cream-Spf-25-40Gr-i.63822287.7866607181")</f>
        <v>https://shopee.co.id/-Buy-1-Get-1-Bio-Essence-Bio-Gold-Day-Cream-Spf-25-40Gr-i.63822287.7866607181</v>
      </c>
      <c r="C507" s="6" t="s">
        <v>834</v>
      </c>
      <c r="D507" s="6" t="s">
        <v>835</v>
      </c>
      <c r="E507" s="6" t="s">
        <v>12</v>
      </c>
      <c r="F507" s="6" t="s">
        <v>13</v>
      </c>
      <c r="G507" s="6" t="s">
        <v>61</v>
      </c>
      <c r="H507" s="8" t="s">
        <v>1154</v>
      </c>
      <c r="I507" s="9">
        <v>1.88199E7</v>
      </c>
      <c r="J507" s="5" t="str">
        <f t="shared" ref="J507:K507" si="507">SUBSTITUTE(H507, ",", "")</f>
        <v>103</v>
      </c>
      <c r="K507" s="5" t="str">
        <f t="shared" si="507"/>
        <v>Rp18819900</v>
      </c>
      <c r="L507" s="5" t="str">
        <f t="shared" si="3"/>
        <v>18819900</v>
      </c>
    </row>
    <row r="508">
      <c r="A508" s="6" t="s">
        <v>1156</v>
      </c>
      <c r="B508" s="7" t="str">
        <f>HYPERLINK("https://shopee.co.id/Vitamin-C-Serum-20ml-Nadfaskin--i.3087844.50496123", "https://shopee.co.id/Vitamin-C-Serum-20ml-Nadfaskin--i.3087844.50496123")</f>
        <v>https://shopee.co.id/Vitamin-C-Serum-20ml-Nadfaskin--i.3087844.50496123</v>
      </c>
      <c r="C508" s="6" t="s">
        <v>1157</v>
      </c>
      <c r="D508" s="6" t="s">
        <v>1158</v>
      </c>
      <c r="E508" s="6" t="s">
        <v>12</v>
      </c>
      <c r="F508" s="6" t="s">
        <v>13</v>
      </c>
      <c r="G508" s="6" t="s">
        <v>241</v>
      </c>
      <c r="H508" s="8" t="s">
        <v>1154</v>
      </c>
      <c r="I508" s="9">
        <v>4.141865E7</v>
      </c>
      <c r="J508" s="5" t="str">
        <f t="shared" ref="J508:K508" si="508">SUBSTITUTE(H508, ",", "")</f>
        <v>103</v>
      </c>
      <c r="K508" s="5" t="str">
        <f t="shared" si="508"/>
        <v>Rp41418650</v>
      </c>
      <c r="L508" s="5" t="str">
        <f t="shared" si="3"/>
        <v>41418650</v>
      </c>
    </row>
    <row r="509">
      <c r="A509" s="6" t="s">
        <v>1159</v>
      </c>
      <c r="B509" s="7" t="str">
        <f>HYPERLINK("https://shopee.co.id/The-Body-Shop-New-Drops-Of-Youth-Youth-Concentrate-Serum-30ml-i.28053737.6717597756", "https://shopee.co.id/The-Body-Shop-New-Drops-Of-Youth-Youth-Concentrate-Serum-30ml-i.28053737.6717597756")</f>
        <v>https://shopee.co.id/The-Body-Shop-New-Drops-Of-Youth-Youth-Concentrate-Serum-30ml-i.28053737.6717597756</v>
      </c>
      <c r="C509" s="6" t="s">
        <v>221</v>
      </c>
      <c r="D509" s="6" t="s">
        <v>222</v>
      </c>
      <c r="E509" s="6" t="s">
        <v>12</v>
      </c>
      <c r="F509" s="6" t="s">
        <v>13</v>
      </c>
      <c r="G509" s="6" t="s">
        <v>80</v>
      </c>
      <c r="H509" s="8" t="s">
        <v>1154</v>
      </c>
      <c r="I509" s="9">
        <v>1.95807E7</v>
      </c>
      <c r="J509" s="5" t="str">
        <f t="shared" ref="J509:K509" si="509">SUBSTITUTE(H509, ",", "")</f>
        <v>103</v>
      </c>
      <c r="K509" s="5" t="str">
        <f t="shared" si="509"/>
        <v>Rp19580700</v>
      </c>
      <c r="L509" s="5" t="str">
        <f t="shared" si="3"/>
        <v>19580700</v>
      </c>
    </row>
    <row r="510">
      <c r="A510" s="6" t="s">
        <v>1160</v>
      </c>
      <c r="B510" s="7" t="str">
        <f>HYPERLINK("https://shopee.co.id/-Bundle-Olay-White-Radiance-Essence-30-ml-Retinol-Serum-30-ml-i.11487927.8715829910", "https://shopee.co.id/-Bundle-Olay-White-Radiance-Essence-30-ml-Retinol-Serum-30-ml-i.11487927.8715829910")</f>
        <v>https://shopee.co.id/-Bundle-Olay-White-Radiance-Essence-30-ml-Retinol-Serum-30-ml-i.11487927.8715829910</v>
      </c>
      <c r="C510" s="6" t="s">
        <v>317</v>
      </c>
      <c r="D510" s="6" t="s">
        <v>318</v>
      </c>
      <c r="E510" s="6" t="s">
        <v>12</v>
      </c>
      <c r="F510" s="6" t="s">
        <v>13</v>
      </c>
      <c r="G510" s="6" t="s">
        <v>296</v>
      </c>
      <c r="H510" s="8" t="s">
        <v>1154</v>
      </c>
      <c r="I510" s="9">
        <v>1.2457E7</v>
      </c>
      <c r="J510" s="5" t="str">
        <f t="shared" ref="J510:K510" si="510">SUBSTITUTE(H510, ",", "")</f>
        <v>103</v>
      </c>
      <c r="K510" s="5" t="str">
        <f t="shared" si="510"/>
        <v>Rp12457000</v>
      </c>
      <c r="L510" s="5" t="str">
        <f t="shared" si="3"/>
        <v>12457000</v>
      </c>
    </row>
    <row r="511">
      <c r="A511" s="6" t="s">
        <v>1161</v>
      </c>
      <c r="B511" s="7" t="str">
        <f>HYPERLINK("https://shopee.co.id/ACNES-DERMA-ANTI-BLEMISH-ESSENCE-20ML-i.78713320.6859623013", "https://shopee.co.id/ACNES-DERMA-ANTI-BLEMISH-ESSENCE-20ML-i.78713320.6859623013")</f>
        <v>https://shopee.co.id/ACNES-DERMA-ANTI-BLEMISH-ESSENCE-20ML-i.78713320.6859623013</v>
      </c>
      <c r="C511" s="6" t="s">
        <v>1162</v>
      </c>
      <c r="D511" s="6" t="s">
        <v>831</v>
      </c>
      <c r="E511" s="6" t="s">
        <v>12</v>
      </c>
      <c r="F511" s="6" t="s">
        <v>13</v>
      </c>
      <c r="G511" s="6" t="s">
        <v>61</v>
      </c>
      <c r="H511" s="8" t="s">
        <v>1154</v>
      </c>
      <c r="I511" s="9">
        <v>2607000.0</v>
      </c>
      <c r="J511" s="5" t="str">
        <f t="shared" ref="J511:K511" si="511">SUBSTITUTE(H511, ",", "")</f>
        <v>103</v>
      </c>
      <c r="K511" s="5" t="str">
        <f t="shared" si="511"/>
        <v>Rp2607000</v>
      </c>
      <c r="L511" s="5" t="str">
        <f t="shared" si="3"/>
        <v>2607000</v>
      </c>
    </row>
    <row r="512">
      <c r="A512" s="6" t="s">
        <v>1163</v>
      </c>
      <c r="B512" s="7" t="str">
        <f>HYPERLINK("https://shopee.co.id/All-Perfect-Fresh-Calming-Serum-i.167618454.2610526746", "https://shopee.co.id/All-Perfect-Fresh-Calming-Serum-i.167618454.2610526746")</f>
        <v>https://shopee.co.id/All-Perfect-Fresh-Calming-Serum-i.167618454.2610526746</v>
      </c>
      <c r="C512" s="6" t="s">
        <v>718</v>
      </c>
      <c r="D512" s="6" t="s">
        <v>678</v>
      </c>
      <c r="E512" s="6" t="s">
        <v>12</v>
      </c>
      <c r="F512" s="6" t="s">
        <v>13</v>
      </c>
      <c r="G512" s="6" t="s">
        <v>296</v>
      </c>
      <c r="H512" s="8" t="s">
        <v>1164</v>
      </c>
      <c r="I512" s="9">
        <v>1581000.0</v>
      </c>
      <c r="J512" s="5" t="str">
        <f t="shared" ref="J512:K512" si="512">SUBSTITUTE(H512, ",", "")</f>
        <v>102</v>
      </c>
      <c r="K512" s="5" t="str">
        <f t="shared" si="512"/>
        <v>Rp1581000</v>
      </c>
      <c r="L512" s="5" t="str">
        <f t="shared" si="3"/>
        <v>1581000</v>
      </c>
    </row>
    <row r="513">
      <c r="A513" s="6" t="s">
        <v>1165</v>
      </c>
      <c r="B513" s="7" t="str">
        <f>HYPERLINK("https://shopee.co.id/Bio-Essence-Bio-Gold-Gold-Water-30-ml-Bio-Essence-Bio-Gold-Radiance-Cleanser-100-gr-i.63822287.5556206884", "https://shopee.co.id/Bio-Essence-Bio-Gold-Gold-Water-30-ml-Bio-Essence-Bio-Gold-Radiance-Cleanser-100-gr-i.63822287.5556206884")</f>
        <v>https://shopee.co.id/Bio-Essence-Bio-Gold-Gold-Water-30-ml-Bio-Essence-Bio-Gold-Radiance-Cleanser-100-gr-i.63822287.5556206884</v>
      </c>
      <c r="C513" s="6" t="s">
        <v>834</v>
      </c>
      <c r="D513" s="6" t="s">
        <v>835</v>
      </c>
      <c r="E513" s="6" t="s">
        <v>12</v>
      </c>
      <c r="F513" s="6" t="s">
        <v>13</v>
      </c>
      <c r="G513" s="6" t="s">
        <v>61</v>
      </c>
      <c r="H513" s="8" t="s">
        <v>1164</v>
      </c>
      <c r="I513" s="9">
        <v>8583300.0</v>
      </c>
      <c r="J513" s="5" t="str">
        <f t="shared" ref="J513:K513" si="513">SUBSTITUTE(H513, ",", "")</f>
        <v>102</v>
      </c>
      <c r="K513" s="5" t="str">
        <f t="shared" si="513"/>
        <v>Rp8583300</v>
      </c>
      <c r="L513" s="5" t="str">
        <f t="shared" si="3"/>
        <v>8583300</v>
      </c>
    </row>
    <row r="514">
      <c r="A514" s="6" t="s">
        <v>1166</v>
      </c>
      <c r="B514" s="7" t="str">
        <f>HYPERLINK("https://shopee.co.id/GEUT-BY-DR-T-GEUT-BRILLIANCE-Serum-Duo-i.430986274.3072437965", "https://shopee.co.id/GEUT-BY-DR-T-GEUT-BRILLIANCE-Serum-Duo-i.430986274.3072437965")</f>
        <v>https://shopee.co.id/GEUT-BY-DR-T-GEUT-BRILLIANCE-Serum-Duo-i.430986274.3072437965</v>
      </c>
      <c r="C514" s="6" t="s">
        <v>1167</v>
      </c>
      <c r="D514" s="6" t="s">
        <v>1168</v>
      </c>
      <c r="E514" s="6" t="s">
        <v>12</v>
      </c>
      <c r="F514" s="6" t="s">
        <v>13</v>
      </c>
      <c r="G514" s="6" t="s">
        <v>21</v>
      </c>
      <c r="H514" s="8" t="s">
        <v>1169</v>
      </c>
      <c r="I514" s="9">
        <v>6462600.0</v>
      </c>
      <c r="J514" s="5" t="str">
        <f t="shared" ref="J514:K514" si="514">SUBSTITUTE(H514, ",", "")</f>
        <v>101</v>
      </c>
      <c r="K514" s="5" t="str">
        <f t="shared" si="514"/>
        <v>Rp6462600</v>
      </c>
      <c r="L514" s="5" t="str">
        <f t="shared" si="3"/>
        <v>6462600</v>
      </c>
    </row>
    <row r="515">
      <c r="A515" s="6" t="s">
        <v>1170</v>
      </c>
      <c r="B515" s="7" t="str">
        <f>HYPERLINK("https://shopee.co.id/Vavl-Vightne-Blemish-Serum-15ml-i.50948181.8219201934", "https://shopee.co.id/Vavl-Vightne-Blemish-Serum-15ml-i.50948181.8219201934")</f>
        <v>https://shopee.co.id/Vavl-Vightne-Blemish-Serum-15ml-i.50948181.8219201934</v>
      </c>
      <c r="C515" s="6" t="s">
        <v>1171</v>
      </c>
      <c r="D515" s="6" t="s">
        <v>1129</v>
      </c>
      <c r="E515" s="6" t="s">
        <v>12</v>
      </c>
      <c r="F515" s="6" t="s">
        <v>13</v>
      </c>
      <c r="G515" s="6" t="s">
        <v>1130</v>
      </c>
      <c r="H515" s="8" t="s">
        <v>1172</v>
      </c>
      <c r="I515" s="9">
        <v>3.166E7</v>
      </c>
      <c r="J515" s="5" t="str">
        <f t="shared" ref="J515:K515" si="515">SUBSTITUTE(H515, ",", "")</f>
        <v>100</v>
      </c>
      <c r="K515" s="5" t="str">
        <f t="shared" si="515"/>
        <v>Rp31660000</v>
      </c>
      <c r="L515" s="5" t="str">
        <f t="shared" si="3"/>
        <v>31660000</v>
      </c>
    </row>
    <row r="516">
      <c r="A516" s="6" t="s">
        <v>1173</v>
      </c>
      <c r="B516" s="7" t="str">
        <f>HYPERLINK("https://shopee.co.id/Laneige-White-Dew-Skin-Refiner-120ml-i.52917348.8234178451", "https://shopee.co.id/Laneige-White-Dew-Skin-Refiner-120ml-i.52917348.8234178451")</f>
        <v>https://shopee.co.id/Laneige-White-Dew-Skin-Refiner-120ml-i.52917348.8234178451</v>
      </c>
      <c r="C516" s="6" t="s">
        <v>1174</v>
      </c>
      <c r="D516" s="6" t="s">
        <v>365</v>
      </c>
      <c r="E516" s="6" t="s">
        <v>12</v>
      </c>
      <c r="F516" s="6" t="s">
        <v>13</v>
      </c>
      <c r="G516" s="6" t="s">
        <v>61</v>
      </c>
      <c r="H516" s="8" t="s">
        <v>1172</v>
      </c>
      <c r="I516" s="9">
        <v>2670000.0</v>
      </c>
      <c r="J516" s="5" t="str">
        <f t="shared" ref="J516:K516" si="516">SUBSTITUTE(H516, ",", "")</f>
        <v>100</v>
      </c>
      <c r="K516" s="5" t="str">
        <f t="shared" si="516"/>
        <v>Rp2670000</v>
      </c>
      <c r="L516" s="5" t="str">
        <f t="shared" si="3"/>
        <v>2670000</v>
      </c>
    </row>
    <row r="517">
      <c r="A517" s="6" t="s">
        <v>1175</v>
      </c>
      <c r="B517" s="7" t="str">
        <f>HYPERLINK("https://shopee.co.id/Frudia-Serum-Hydrating-Brightening-Moisturizing-FREE-Frudia-Pouch-Garis-Vertikal-i.98124209.4031499784", "https://shopee.co.id/Frudia-Serum-Hydrating-Brightening-Moisturizing-FREE-Frudia-Pouch-Garis-Vertikal-i.98124209.4031499784")</f>
        <v>https://shopee.co.id/Frudia-Serum-Hydrating-Brightening-Moisturizing-FREE-Frudia-Pouch-Garis-Vertikal-i.98124209.4031499784</v>
      </c>
      <c r="C517" s="6" t="s">
        <v>790</v>
      </c>
      <c r="D517" s="6" t="s">
        <v>791</v>
      </c>
      <c r="E517" s="6" t="s">
        <v>12</v>
      </c>
      <c r="F517" s="6" t="s">
        <v>13</v>
      </c>
      <c r="G517" s="6" t="s">
        <v>85</v>
      </c>
      <c r="H517" s="8" t="s">
        <v>1176</v>
      </c>
      <c r="I517" s="9">
        <v>1.42598E7</v>
      </c>
      <c r="J517" s="5" t="str">
        <f t="shared" ref="J517:K517" si="517">SUBSTITUTE(H517, ",", "")</f>
        <v>99</v>
      </c>
      <c r="K517" s="5" t="str">
        <f t="shared" si="517"/>
        <v>Rp14259800</v>
      </c>
      <c r="L517" s="5" t="str">
        <f t="shared" si="3"/>
        <v>14259800</v>
      </c>
    </row>
    <row r="518">
      <c r="A518" s="6" t="s">
        <v>1177</v>
      </c>
      <c r="B518" s="7" t="str">
        <f>HYPERLINK("https://shopee.co.id/Sulwhasoo-First-Care-Activating-Serum-60ml-i.274949344.5539205234", "https://shopee.co.id/Sulwhasoo-First-Care-Activating-Serum-60ml-i.274949344.5539205234")</f>
        <v>https://shopee.co.id/Sulwhasoo-First-Care-Activating-Serum-60ml-i.274949344.5539205234</v>
      </c>
      <c r="C518" s="6" t="s">
        <v>282</v>
      </c>
      <c r="D518" s="6" t="s">
        <v>283</v>
      </c>
      <c r="E518" s="6" t="s">
        <v>12</v>
      </c>
      <c r="F518" s="6" t="s">
        <v>13</v>
      </c>
      <c r="G518" s="6" t="s">
        <v>61</v>
      </c>
      <c r="H518" s="8" t="s">
        <v>1176</v>
      </c>
      <c r="I518" s="9">
        <v>2.31725E7</v>
      </c>
      <c r="J518" s="5" t="str">
        <f t="shared" ref="J518:K518" si="518">SUBSTITUTE(H518, ",", "")</f>
        <v>99</v>
      </c>
      <c r="K518" s="5" t="str">
        <f t="shared" si="518"/>
        <v>Rp23172500</v>
      </c>
      <c r="L518" s="5" t="str">
        <f t="shared" si="3"/>
        <v>23172500</v>
      </c>
    </row>
    <row r="519">
      <c r="A519" s="6" t="s">
        <v>1178</v>
      </c>
      <c r="B519" s="7" t="str">
        <f>HYPERLINK("https://shopee.co.id/Viva-Queen-Whitening-Advanced-Face-Serum-i.18233004.5939050235", "https://shopee.co.id/Viva-Queen-Whitening-Advanced-Face-Serum-i.18233004.5939050235")</f>
        <v>https://shopee.co.id/Viva-Queen-Whitening-Advanced-Face-Serum-i.18233004.5939050235</v>
      </c>
      <c r="C519" s="6" t="s">
        <v>647</v>
      </c>
      <c r="D519" s="6" t="s">
        <v>1179</v>
      </c>
      <c r="E519" s="6" t="s">
        <v>12</v>
      </c>
      <c r="F519" s="6" t="s">
        <v>13</v>
      </c>
      <c r="G519" s="6" t="s">
        <v>469</v>
      </c>
      <c r="H519" s="8" t="s">
        <v>1176</v>
      </c>
      <c r="I519" s="9">
        <v>1.23291E8</v>
      </c>
      <c r="J519" s="5" t="str">
        <f t="shared" ref="J519:K519" si="519">SUBSTITUTE(H519, ",", "")</f>
        <v>99</v>
      </c>
      <c r="K519" s="5" t="str">
        <f t="shared" si="519"/>
        <v>Rp123291000</v>
      </c>
      <c r="L519" s="5" t="str">
        <f t="shared" si="3"/>
        <v>123291000</v>
      </c>
    </row>
    <row r="520">
      <c r="A520" s="6" t="s">
        <v>1180</v>
      </c>
      <c r="B520" s="7" t="str">
        <f>HYPERLINK("https://shopee.co.id/L-Occitane-Immortelle-Divine-Extract-Serum-Wajah-30-mL--i.88079439.1480571588", "https://shopee.co.id/L-Occitane-Immortelle-Divine-Extract-Serum-Wajah-30-mL--i.88079439.1480571588")</f>
        <v>https://shopee.co.id/L-Occitane-Immortelle-Divine-Extract-Serum-Wajah-30-mL--i.88079439.1480571588</v>
      </c>
      <c r="C520" s="6" t="s">
        <v>579</v>
      </c>
      <c r="D520" s="6" t="s">
        <v>580</v>
      </c>
      <c r="E520" s="6" t="s">
        <v>12</v>
      </c>
      <c r="F520" s="6" t="s">
        <v>13</v>
      </c>
      <c r="G520" s="6" t="s">
        <v>532</v>
      </c>
      <c r="H520" s="8" t="s">
        <v>1176</v>
      </c>
      <c r="I520" s="9">
        <v>9557460.0</v>
      </c>
      <c r="J520" s="5" t="str">
        <f t="shared" ref="J520:K520" si="520">SUBSTITUTE(H520, ",", "")</f>
        <v>99</v>
      </c>
      <c r="K520" s="5" t="str">
        <f t="shared" si="520"/>
        <v>Rp9557460</v>
      </c>
      <c r="L520" s="5" t="str">
        <f t="shared" si="3"/>
        <v>9557460</v>
      </c>
    </row>
    <row r="521">
      <c r="A521" s="6" t="s">
        <v>1181</v>
      </c>
      <c r="B521" s="7" t="str">
        <f>HYPERLINK("https://shopee.co.id/COSRX-Advanced-Snail-96-Mucin-Power-Essence-100ml-i.270965687.5836907183", "https://shopee.co.id/COSRX-Advanced-Snail-96-Mucin-Power-Essence-100ml-i.270965687.5836907183")</f>
        <v>https://shopee.co.id/COSRX-Advanced-Snail-96-Mucin-Power-Essence-100ml-i.270965687.5836907183</v>
      </c>
      <c r="C521" s="6" t="s">
        <v>305</v>
      </c>
      <c r="D521" s="6" t="s">
        <v>379</v>
      </c>
      <c r="E521" s="6" t="s">
        <v>12</v>
      </c>
      <c r="F521" s="6" t="s">
        <v>13</v>
      </c>
      <c r="G521" s="6" t="s">
        <v>380</v>
      </c>
      <c r="H521" s="8" t="s">
        <v>1182</v>
      </c>
      <c r="I521" s="9">
        <v>1.22598E7</v>
      </c>
      <c r="J521" s="5" t="str">
        <f t="shared" ref="J521:K521" si="521">SUBSTITUTE(H521, ",", "")</f>
        <v>98</v>
      </c>
      <c r="K521" s="5" t="str">
        <f t="shared" si="521"/>
        <v>Rp12259800</v>
      </c>
      <c r="L521" s="5" t="str">
        <f t="shared" si="3"/>
        <v>12259800</v>
      </c>
    </row>
    <row r="522">
      <c r="A522" s="6" t="s">
        <v>1183</v>
      </c>
      <c r="B522" s="7" t="str">
        <f>HYPERLINK("https://shopee.co.id/Lacoco-Dark-Spot-Essence-12ml-i.825870.3729944231", "https://shopee.co.id/Lacoco-Dark-Spot-Essence-12ml-i.825870.3729944231")</f>
        <v>https://shopee.co.id/Lacoco-Dark-Spot-Essence-12ml-i.825870.3729944231</v>
      </c>
      <c r="C522" s="6" t="s">
        <v>501</v>
      </c>
      <c r="D522" s="6" t="s">
        <v>1184</v>
      </c>
      <c r="E522" s="6" t="s">
        <v>12</v>
      </c>
      <c r="F522" s="6" t="s">
        <v>13</v>
      </c>
      <c r="G522" s="6" t="s">
        <v>21</v>
      </c>
      <c r="H522" s="8" t="s">
        <v>1182</v>
      </c>
      <c r="I522" s="9">
        <v>9538650.0</v>
      </c>
      <c r="J522" s="5" t="str">
        <f t="shared" ref="J522:K522" si="522">SUBSTITUTE(H522, ",", "")</f>
        <v>98</v>
      </c>
      <c r="K522" s="5" t="str">
        <f t="shared" si="522"/>
        <v>Rp9538650</v>
      </c>
      <c r="L522" s="5" t="str">
        <f t="shared" si="3"/>
        <v>9538650</v>
      </c>
    </row>
    <row r="523">
      <c r="A523" s="6" t="s">
        <v>1185</v>
      </c>
      <c r="B523" s="7" t="str">
        <f>HYPERLINK("https://shopee.co.id/Safi-Age-Defy-Gold-Water-Essence-100-ml-Day-Night-Cream-40-gr-i.63823668.5832806181", "https://shopee.co.id/Safi-Age-Defy-Gold-Water-Essence-100-ml-Day-Night-Cream-40-gr-i.63823668.5832806181")</f>
        <v>https://shopee.co.id/Safi-Age-Defy-Gold-Water-Essence-100-ml-Day-Night-Cream-40-gr-i.63823668.5832806181</v>
      </c>
      <c r="C523" s="6" t="s">
        <v>278</v>
      </c>
      <c r="D523" s="6" t="s">
        <v>279</v>
      </c>
      <c r="E523" s="6" t="s">
        <v>12</v>
      </c>
      <c r="F523" s="6" t="s">
        <v>13</v>
      </c>
      <c r="G523" s="6" t="s">
        <v>61</v>
      </c>
      <c r="H523" s="8" t="s">
        <v>1186</v>
      </c>
      <c r="I523" s="9">
        <v>8034150.0</v>
      </c>
      <c r="J523" s="5" t="str">
        <f t="shared" ref="J523:K523" si="523">SUBSTITUTE(H523, ",", "")</f>
        <v>97</v>
      </c>
      <c r="K523" s="5" t="str">
        <f t="shared" si="523"/>
        <v>Rp8034150</v>
      </c>
      <c r="L523" s="5" t="str">
        <f t="shared" si="3"/>
        <v>8034150</v>
      </c>
    </row>
    <row r="524">
      <c r="A524" s="6" t="s">
        <v>1187</v>
      </c>
      <c r="B524" s="7" t="str">
        <f>HYPERLINK("https://shopee.co.id/Beautybarme-Skin1004-Madagascar-Centella-Asiatica-100-Ampoule-100-Ml-50-Ml-New-Cover-i.28781862.3118229043", "https://shopee.co.id/Beautybarme-Skin1004-Madagascar-Centella-Asiatica-100-Ampoule-100-Ml-50-Ml-New-Cover-i.28781862.3118229043")</f>
        <v>https://shopee.co.id/Beautybarme-Skin1004-Madagascar-Centella-Asiatica-100-Ampoule-100-Ml-50-Ml-New-Cover-i.28781862.3118229043</v>
      </c>
      <c r="C524" s="6" t="s">
        <v>1188</v>
      </c>
      <c r="D524" s="6" t="s">
        <v>1189</v>
      </c>
      <c r="E524" s="6" t="s">
        <v>12</v>
      </c>
      <c r="F524" s="6" t="s">
        <v>13</v>
      </c>
      <c r="G524" s="6" t="s">
        <v>1190</v>
      </c>
      <c r="H524" s="8" t="s">
        <v>1186</v>
      </c>
      <c r="I524" s="9">
        <v>7350576.0</v>
      </c>
      <c r="J524" s="5" t="str">
        <f t="shared" ref="J524:K524" si="524">SUBSTITUTE(H524, ",", "")</f>
        <v>97</v>
      </c>
      <c r="K524" s="5" t="str">
        <f t="shared" si="524"/>
        <v>Rp7350576</v>
      </c>
      <c r="L524" s="5" t="str">
        <f t="shared" si="3"/>
        <v>7350576</v>
      </c>
    </row>
    <row r="525">
      <c r="A525" s="6" t="s">
        <v>1191</v>
      </c>
      <c r="B525" s="7" t="str">
        <f>HYPERLINK("https://shopee.co.id/-RAMADHAN-PACKAGE-Around-The-Nature-Brightening-Set-i.78838801.5832127691", "https://shopee.co.id/-RAMADHAN-PACKAGE-Around-The-Nature-Brightening-Set-i.78838801.5832127691")</f>
        <v>https://shopee.co.id/-RAMADHAN-PACKAGE-Around-The-Nature-Brightening-Set-i.78838801.5832127691</v>
      </c>
      <c r="C525" s="6" t="s">
        <v>1079</v>
      </c>
      <c r="D525" s="6" t="s">
        <v>1080</v>
      </c>
      <c r="E525" s="6" t="s">
        <v>12</v>
      </c>
      <c r="F525" s="6" t="s">
        <v>13</v>
      </c>
      <c r="G525" s="6" t="s">
        <v>532</v>
      </c>
      <c r="H525" s="8" t="s">
        <v>1186</v>
      </c>
      <c r="I525" s="9">
        <v>1375000.0</v>
      </c>
      <c r="J525" s="5" t="str">
        <f t="shared" ref="J525:K525" si="525">SUBSTITUTE(H525, ",", "")</f>
        <v>97</v>
      </c>
      <c r="K525" s="5" t="str">
        <f t="shared" si="525"/>
        <v>Rp1375000</v>
      </c>
      <c r="L525" s="5" t="str">
        <f t="shared" si="3"/>
        <v>1375000</v>
      </c>
    </row>
    <row r="526">
      <c r="A526" s="6" t="s">
        <v>1192</v>
      </c>
      <c r="B526" s="7" t="str">
        <f>HYPERLINK("https://shopee.co.id/Dove-Deodorant-Dry-Serum-Regenerate-Care-Collagen-Vitamin-B3-Free-Dove-Deodorant-Ultimate-40Ml-i.14318452.11923410836", "https://shopee.co.id/Dove-Deodorant-Dry-Serum-Regenerate-Care-Collagen-Vitamin-B3-Free-Dove-Deodorant-Ultimate-40Ml-i.14318452.11923410836")</f>
        <v>https://shopee.co.id/Dove-Deodorant-Dry-Serum-Regenerate-Care-Collagen-Vitamin-B3-Free-Dove-Deodorant-Ultimate-40Ml-i.14318452.11923410836</v>
      </c>
      <c r="C526" s="6" t="s">
        <v>591</v>
      </c>
      <c r="D526" s="6" t="s">
        <v>326</v>
      </c>
      <c r="E526" s="6" t="s">
        <v>12</v>
      </c>
      <c r="F526" s="6" t="s">
        <v>13</v>
      </c>
      <c r="G526" s="6" t="s">
        <v>296</v>
      </c>
      <c r="H526" s="8" t="s">
        <v>1193</v>
      </c>
      <c r="I526" s="9">
        <v>9913124.0</v>
      </c>
      <c r="J526" s="5" t="str">
        <f t="shared" ref="J526:K526" si="526">SUBSTITUTE(H526, ",", "")</f>
        <v>96</v>
      </c>
      <c r="K526" s="5" t="str">
        <f t="shared" si="526"/>
        <v>Rp9913124</v>
      </c>
      <c r="L526" s="5" t="str">
        <f t="shared" si="3"/>
        <v>9913124</v>
      </c>
    </row>
    <row r="527">
      <c r="A527" s="6" t="s">
        <v>1194</v>
      </c>
      <c r="B527" s="7" t="str">
        <f>HYPERLINK("https://shopee.co.id/NMW-Serum-Vit-C-20Ml-i.240100481.3922912800", "https://shopee.co.id/NMW-Serum-Vit-C-20Ml-i.240100481.3922912800")</f>
        <v>https://shopee.co.id/NMW-Serum-Vit-C-20Ml-i.240100481.3922912800</v>
      </c>
      <c r="C527" s="6" t="s">
        <v>1195</v>
      </c>
      <c r="D527" s="6" t="s">
        <v>1196</v>
      </c>
      <c r="E527" s="6" t="s">
        <v>12</v>
      </c>
      <c r="F527" s="6" t="s">
        <v>13</v>
      </c>
      <c r="G527" s="6" t="s">
        <v>98</v>
      </c>
      <c r="H527" s="8" t="s">
        <v>1193</v>
      </c>
      <c r="I527" s="9">
        <v>1.44E7</v>
      </c>
      <c r="J527" s="5" t="str">
        <f t="shared" ref="J527:K527" si="527">SUBSTITUTE(H527, ",", "")</f>
        <v>96</v>
      </c>
      <c r="K527" s="5" t="str">
        <f t="shared" si="527"/>
        <v>Rp14400000</v>
      </c>
      <c r="L527" s="5" t="str">
        <f t="shared" si="3"/>
        <v>14400000</v>
      </c>
    </row>
    <row r="528">
      <c r="A528" s="6" t="s">
        <v>1197</v>
      </c>
      <c r="B528" s="7" t="str">
        <f>HYPERLINK("https://shopee.co.id/-innisfree-Brightening-Pore-Spot-Treatment-30ML-i.61504589.5721348101", "https://shopee.co.id/-innisfree-Brightening-Pore-Spot-Treatment-30ML-i.61504589.5721348101")</f>
        <v>https://shopee.co.id/-innisfree-Brightening-Pore-Spot-Treatment-30ML-i.61504589.5721348101</v>
      </c>
      <c r="C528" s="6" t="s">
        <v>294</v>
      </c>
      <c r="D528" s="6" t="s">
        <v>295</v>
      </c>
      <c r="E528" s="6" t="s">
        <v>12</v>
      </c>
      <c r="F528" s="6" t="s">
        <v>13</v>
      </c>
      <c r="G528" s="6" t="s">
        <v>296</v>
      </c>
      <c r="H528" s="8" t="s">
        <v>1193</v>
      </c>
      <c r="I528" s="9">
        <v>1794000.0</v>
      </c>
      <c r="J528" s="5" t="str">
        <f t="shared" ref="J528:K528" si="528">SUBSTITUTE(H528, ",", "")</f>
        <v>96</v>
      </c>
      <c r="K528" s="5" t="str">
        <f t="shared" si="528"/>
        <v>Rp1794000</v>
      </c>
      <c r="L528" s="5" t="str">
        <f t="shared" si="3"/>
        <v>1794000</v>
      </c>
    </row>
    <row r="529">
      <c r="A529" s="6" t="s">
        <v>1198</v>
      </c>
      <c r="B529" s="7" t="str">
        <f>HYPERLINK("https://shopee.co.id/WARDAH-White-Secret-Pure-Treatment-Essence-100ml-i.30736001.1120767499", "https://shopee.co.id/WARDAH-White-Secret-Pure-Treatment-Essence-100ml-i.30736001.1120767499")</f>
        <v>https://shopee.co.id/WARDAH-White-Secret-Pure-Treatment-Essence-100ml-i.30736001.1120767499</v>
      </c>
      <c r="C529" s="6" t="s">
        <v>169</v>
      </c>
      <c r="D529" s="6" t="s">
        <v>335</v>
      </c>
      <c r="E529" s="6" t="s">
        <v>12</v>
      </c>
      <c r="F529" s="6" t="s">
        <v>13</v>
      </c>
      <c r="G529" s="6" t="s">
        <v>36</v>
      </c>
      <c r="H529" s="8" t="s">
        <v>1199</v>
      </c>
      <c r="I529" s="9">
        <v>8498500.0</v>
      </c>
      <c r="J529" s="5" t="str">
        <f t="shared" ref="J529:K529" si="529">SUBSTITUTE(H529, ",", "")</f>
        <v>95</v>
      </c>
      <c r="K529" s="5" t="str">
        <f t="shared" si="529"/>
        <v>Rp8498500</v>
      </c>
      <c r="L529" s="5" t="str">
        <f t="shared" si="3"/>
        <v>8498500</v>
      </c>
    </row>
    <row r="530">
      <c r="A530" s="6" t="s">
        <v>1200</v>
      </c>
      <c r="B530" s="7" t="str">
        <f>HYPERLINK("https://shopee.co.id/AVOSKIN-Your-Skin-Bae-Vitamin-C-3-Niacinamide-2-Mandarin-Orange-Fruit-Extract-30ml-i.270965687.9828351833", "https://shopee.co.id/AVOSKIN-Your-Skin-Bae-Vitamin-C-3-Niacinamide-2-Mandarin-Orange-Fruit-Extract-30ml-i.270965687.9828351833")</f>
        <v>https://shopee.co.id/AVOSKIN-Your-Skin-Bae-Vitamin-C-3-Niacinamide-2-Mandarin-Orange-Fruit-Extract-30ml-i.270965687.9828351833</v>
      </c>
      <c r="C530" s="6" t="s">
        <v>83</v>
      </c>
      <c r="D530" s="6" t="s">
        <v>379</v>
      </c>
      <c r="E530" s="6" t="s">
        <v>12</v>
      </c>
      <c r="F530" s="6" t="s">
        <v>13</v>
      </c>
      <c r="G530" s="6" t="s">
        <v>380</v>
      </c>
      <c r="H530" s="8" t="s">
        <v>1199</v>
      </c>
      <c r="I530" s="9">
        <v>3538000.0</v>
      </c>
      <c r="J530" s="5" t="str">
        <f t="shared" ref="J530:K530" si="530">SUBSTITUTE(H530, ",", "")</f>
        <v>95</v>
      </c>
      <c r="K530" s="5" t="str">
        <f t="shared" si="530"/>
        <v>Rp3538000</v>
      </c>
      <c r="L530" s="5" t="str">
        <f t="shared" si="3"/>
        <v>3538000</v>
      </c>
    </row>
    <row r="531">
      <c r="A531" s="6" t="s">
        <v>1201</v>
      </c>
      <c r="B531" s="7" t="str">
        <f>HYPERLINK("https://shopee.co.id/KEEP-COOL-Soothe-Bamboo-Serum-50ml-i.446775850.8656939793", "https://shopee.co.id/KEEP-COOL-Soothe-Bamboo-Serum-50ml-i.446775850.8656939793")</f>
        <v>https://shopee.co.id/KEEP-COOL-Soothe-Bamboo-Serum-50ml-i.446775850.8656939793</v>
      </c>
      <c r="C531" s="6" t="s">
        <v>1202</v>
      </c>
      <c r="D531" s="6" t="s">
        <v>1203</v>
      </c>
      <c r="E531" s="6" t="s">
        <v>12</v>
      </c>
      <c r="F531" s="6" t="s">
        <v>13</v>
      </c>
      <c r="G531" s="6" t="s">
        <v>80</v>
      </c>
      <c r="H531" s="8" t="s">
        <v>1199</v>
      </c>
      <c r="I531" s="9">
        <v>2591900.0</v>
      </c>
      <c r="J531" s="5" t="str">
        <f t="shared" ref="J531:K531" si="531">SUBSTITUTE(H531, ",", "")</f>
        <v>95</v>
      </c>
      <c r="K531" s="5" t="str">
        <f t="shared" si="531"/>
        <v>Rp2591900</v>
      </c>
      <c r="L531" s="5" t="str">
        <f t="shared" si="3"/>
        <v>2591900</v>
      </c>
    </row>
    <row r="532">
      <c r="A532" s="6" t="s">
        <v>1204</v>
      </c>
      <c r="B532" s="7" t="str">
        <f>HYPERLINK("https://shopee.co.id/Mineral-Botanica-Niacinamide-Serum-with-Artichoke-Leaf-Extract--i.124549994.9127208214", "https://shopee.co.id/Mineral-Botanica-Niacinamide-Serum-with-Artichoke-Leaf-Extract--i.124549994.9127208214")</f>
        <v>https://shopee.co.id/Mineral-Botanica-Niacinamide-Serum-with-Artichoke-Leaf-Extract--i.124549994.9127208214</v>
      </c>
      <c r="C532" s="6" t="s">
        <v>807</v>
      </c>
      <c r="D532" s="6" t="s">
        <v>808</v>
      </c>
      <c r="E532" s="6" t="s">
        <v>12</v>
      </c>
      <c r="F532" s="6" t="s">
        <v>13</v>
      </c>
      <c r="G532" s="6" t="s">
        <v>61</v>
      </c>
      <c r="H532" s="8" t="s">
        <v>1199</v>
      </c>
      <c r="I532" s="9">
        <v>9405000.0</v>
      </c>
      <c r="J532" s="5" t="str">
        <f t="shared" ref="J532:K532" si="532">SUBSTITUTE(H532, ",", "")</f>
        <v>95</v>
      </c>
      <c r="K532" s="5" t="str">
        <f t="shared" si="532"/>
        <v>Rp9405000</v>
      </c>
      <c r="L532" s="5" t="str">
        <f t="shared" si="3"/>
        <v>9405000</v>
      </c>
    </row>
    <row r="533">
      <c r="A533" s="6" t="s">
        <v>1205</v>
      </c>
      <c r="B533" s="7" t="str">
        <f>HYPERLINK("https://shopee.co.id/Olay-Regenerist-RETINOL-24-Serum-30ml-i.30736001.11701956571", "https://shopee.co.id/Olay-Regenerist-RETINOL-24-Serum-30ml-i.30736001.11701956571")</f>
        <v>https://shopee.co.id/Olay-Regenerist-RETINOL-24-Serum-30ml-i.30736001.11701956571</v>
      </c>
      <c r="C533" s="6" t="s">
        <v>317</v>
      </c>
      <c r="D533" s="6" t="s">
        <v>335</v>
      </c>
      <c r="E533" s="6" t="s">
        <v>12</v>
      </c>
      <c r="F533" s="6" t="s">
        <v>13</v>
      </c>
      <c r="G533" s="6" t="s">
        <v>36</v>
      </c>
      <c r="H533" s="8" t="s">
        <v>1206</v>
      </c>
      <c r="I533" s="9">
        <v>7948638.0</v>
      </c>
      <c r="J533" s="5" t="str">
        <f t="shared" ref="J533:K533" si="533">SUBSTITUTE(H533, ",", "")</f>
        <v>94</v>
      </c>
      <c r="K533" s="5" t="str">
        <f t="shared" si="533"/>
        <v>Rp7948638</v>
      </c>
      <c r="L533" s="5" t="str">
        <f t="shared" si="3"/>
        <v>7948638</v>
      </c>
    </row>
    <row r="534">
      <c r="A534" s="6" t="s">
        <v>1207</v>
      </c>
      <c r="B534" s="7" t="str">
        <f>HYPERLINK("https://shopee.co.id/HAUM-C-Serum-Vitamin-C-15-28-ml-x-1-i.344731863.8616886326", "https://shopee.co.id/HAUM-C-Serum-Vitamin-C-15-28-ml-x-1-i.344731863.8616886326")</f>
        <v>https://shopee.co.id/HAUM-C-Serum-Vitamin-C-15-28-ml-x-1-i.344731863.8616886326</v>
      </c>
      <c r="C534" s="6" t="s">
        <v>1144</v>
      </c>
      <c r="D534" s="6" t="s">
        <v>1145</v>
      </c>
      <c r="E534" s="6" t="s">
        <v>12</v>
      </c>
      <c r="F534" s="6" t="s">
        <v>13</v>
      </c>
      <c r="G534" s="6" t="s">
        <v>98</v>
      </c>
      <c r="H534" s="8" t="s">
        <v>1206</v>
      </c>
      <c r="I534" s="9">
        <v>1.446105E7</v>
      </c>
      <c r="J534" s="5" t="str">
        <f t="shared" ref="J534:K534" si="534">SUBSTITUTE(H534, ",", "")</f>
        <v>94</v>
      </c>
      <c r="K534" s="5" t="str">
        <f t="shared" si="534"/>
        <v>Rp14461050</v>
      </c>
      <c r="L534" s="5" t="str">
        <f t="shared" si="3"/>
        <v>14461050</v>
      </c>
    </row>
    <row r="535">
      <c r="A535" s="6" t="s">
        <v>1208</v>
      </c>
      <c r="B535" s="7" t="str">
        <f>HYPERLINK("https://shopee.co.id/Clorismen-Brightening-Serum-i.17760039.8155743532", "https://shopee.co.id/Clorismen-Brightening-Serum-i.17760039.8155743532")</f>
        <v>https://shopee.co.id/Clorismen-Brightening-Serum-i.17760039.8155743532</v>
      </c>
      <c r="C535" s="6" t="s">
        <v>1046</v>
      </c>
      <c r="D535" s="6" t="s">
        <v>1047</v>
      </c>
      <c r="E535" s="6" t="s">
        <v>12</v>
      </c>
      <c r="F535" s="6" t="s">
        <v>13</v>
      </c>
      <c r="G535" s="6" t="s">
        <v>1048</v>
      </c>
      <c r="H535" s="8" t="s">
        <v>1206</v>
      </c>
      <c r="I535" s="9">
        <v>2.23562E7</v>
      </c>
      <c r="J535" s="5" t="str">
        <f t="shared" ref="J535:K535" si="535">SUBSTITUTE(H535, ",", "")</f>
        <v>94</v>
      </c>
      <c r="K535" s="5" t="str">
        <f t="shared" si="535"/>
        <v>Rp22356200</v>
      </c>
      <c r="L535" s="5" t="str">
        <f t="shared" si="3"/>
        <v>22356200</v>
      </c>
    </row>
    <row r="536">
      <c r="A536" s="6" t="s">
        <v>1209</v>
      </c>
      <c r="B536" s="7" t="str">
        <f>HYPERLINK("https://shopee.co.id/Ultima-II-Paket-Clear-White-i.152254718.8391259403", "https://shopee.co.id/Ultima-II-Paket-Clear-White-i.152254718.8391259403")</f>
        <v>https://shopee.co.id/Ultima-II-Paket-Clear-White-i.152254718.8391259403</v>
      </c>
      <c r="C536" s="6" t="s">
        <v>1210</v>
      </c>
      <c r="D536" s="6" t="s">
        <v>1211</v>
      </c>
      <c r="E536" s="6" t="s">
        <v>12</v>
      </c>
      <c r="F536" s="6" t="s">
        <v>13</v>
      </c>
      <c r="G536" s="6" t="s">
        <v>469</v>
      </c>
      <c r="H536" s="8" t="s">
        <v>1206</v>
      </c>
      <c r="I536" s="9">
        <v>3.71896E7</v>
      </c>
      <c r="J536" s="5" t="str">
        <f t="shared" ref="J536:K536" si="536">SUBSTITUTE(H536, ",", "")</f>
        <v>94</v>
      </c>
      <c r="K536" s="5" t="str">
        <f t="shared" si="536"/>
        <v>Rp37189600</v>
      </c>
      <c r="L536" s="5" t="str">
        <f t="shared" si="3"/>
        <v>37189600</v>
      </c>
    </row>
    <row r="537">
      <c r="A537" s="6" t="s">
        <v>1212</v>
      </c>
      <c r="B537" s="7" t="str">
        <f>HYPERLINK("https://shopee.co.id/-innisfree-Jeju-Orchid-Enriched-Essence-50ML-Serum-Wajah-Perawatan-Wajah-i.61504589.2301981050", "https://shopee.co.id/-innisfree-Jeju-Orchid-Enriched-Essence-50ML-Serum-Wajah-Perawatan-Wajah-i.61504589.2301981050")</f>
        <v>https://shopee.co.id/-innisfree-Jeju-Orchid-Enriched-Essence-50ML-Serum-Wajah-Perawatan-Wajah-i.61504589.2301981050</v>
      </c>
      <c r="C537" s="6" t="s">
        <v>294</v>
      </c>
      <c r="D537" s="6" t="s">
        <v>295</v>
      </c>
      <c r="E537" s="6" t="s">
        <v>12</v>
      </c>
      <c r="F537" s="6" t="s">
        <v>13</v>
      </c>
      <c r="G537" s="6" t="s">
        <v>296</v>
      </c>
      <c r="H537" s="8" t="s">
        <v>1206</v>
      </c>
      <c r="I537" s="9">
        <v>3.0926E7</v>
      </c>
      <c r="J537" s="5" t="str">
        <f t="shared" ref="J537:K537" si="537">SUBSTITUTE(H537, ",", "")</f>
        <v>94</v>
      </c>
      <c r="K537" s="5" t="str">
        <f t="shared" si="537"/>
        <v>Rp30926000</v>
      </c>
      <c r="L537" s="5" t="str">
        <f t="shared" si="3"/>
        <v>30926000</v>
      </c>
    </row>
    <row r="538">
      <c r="A538" s="6" t="s">
        <v>1213</v>
      </c>
      <c r="B538" s="7" t="str">
        <f>HYPERLINK("https://shopee.co.id/Hanasui-Vitamin-C-New-Look-New-Formula-i.129681299.8988422731", "https://shopee.co.id/Hanasui-Vitamin-C-New-Look-New-Formula-i.129681299.8988422731")</f>
        <v>https://shopee.co.id/Hanasui-Vitamin-C-New-Look-New-Formula-i.129681299.8988422731</v>
      </c>
      <c r="C538" s="6" t="s">
        <v>784</v>
      </c>
      <c r="D538" s="6" t="s">
        <v>785</v>
      </c>
      <c r="E538" s="6" t="s">
        <v>12</v>
      </c>
      <c r="F538" s="6" t="s">
        <v>13</v>
      </c>
      <c r="G538" s="6" t="s">
        <v>36</v>
      </c>
      <c r="H538" s="8" t="s">
        <v>1206</v>
      </c>
      <c r="I538" s="9">
        <v>1457000.0</v>
      </c>
      <c r="J538" s="5" t="str">
        <f t="shared" ref="J538:K538" si="538">SUBSTITUTE(H538, ",", "")</f>
        <v>94</v>
      </c>
      <c r="K538" s="5" t="str">
        <f t="shared" si="538"/>
        <v>Rp1457000</v>
      </c>
      <c r="L538" s="5" t="str">
        <f t="shared" si="3"/>
        <v>1457000</v>
      </c>
    </row>
    <row r="539">
      <c r="A539" s="6" t="s">
        <v>1214</v>
      </c>
      <c r="B539" s="7" t="str">
        <f>HYPERLINK("https://shopee.co.id/Hanasui-Whitening-Gold-Serum-New-Look-New-Formula-i.129681299.4497071557", "https://shopee.co.id/Hanasui-Whitening-Gold-Serum-New-Look-New-Formula-i.129681299.4497071557")</f>
        <v>https://shopee.co.id/Hanasui-Whitening-Gold-Serum-New-Look-New-Formula-i.129681299.4497071557</v>
      </c>
      <c r="C539" s="6" t="s">
        <v>784</v>
      </c>
      <c r="D539" s="6" t="s">
        <v>785</v>
      </c>
      <c r="E539" s="6" t="s">
        <v>12</v>
      </c>
      <c r="F539" s="6" t="s">
        <v>13</v>
      </c>
      <c r="G539" s="6" t="s">
        <v>36</v>
      </c>
      <c r="H539" s="8" t="s">
        <v>1215</v>
      </c>
      <c r="I539" s="9">
        <v>1.2927E7</v>
      </c>
      <c r="J539" s="5" t="str">
        <f t="shared" ref="J539:K539" si="539">SUBSTITUTE(H539, ",", "")</f>
        <v>93</v>
      </c>
      <c r="K539" s="5" t="str">
        <f t="shared" si="539"/>
        <v>Rp12927000</v>
      </c>
      <c r="L539" s="5" t="str">
        <f t="shared" si="3"/>
        <v>12927000</v>
      </c>
    </row>
    <row r="540">
      <c r="A540" s="6" t="s">
        <v>1216</v>
      </c>
      <c r="B540" s="7" t="str">
        <f>HYPERLINK("https://shopee.co.id/-The-Face-Shop-White-Seed-Brightening-Serum-50ml-Original-i.34671748.2620179924", "https://shopee.co.id/-The-Face-Shop-White-Seed-Brightening-Serum-50ml-Original-i.34671748.2620179924")</f>
        <v>https://shopee.co.id/-The-Face-Shop-White-Seed-Brightening-Serum-50ml-Original-i.34671748.2620179924</v>
      </c>
      <c r="C540" s="6" t="s">
        <v>1217</v>
      </c>
      <c r="D540" s="6" t="s">
        <v>1218</v>
      </c>
      <c r="E540" s="6" t="s">
        <v>12</v>
      </c>
      <c r="F540" s="6" t="s">
        <v>13</v>
      </c>
      <c r="G540" s="6" t="s">
        <v>61</v>
      </c>
      <c r="H540" s="8" t="s">
        <v>1215</v>
      </c>
      <c r="I540" s="9">
        <v>7347000.0</v>
      </c>
      <c r="J540" s="5" t="str">
        <f t="shared" ref="J540:K540" si="540">SUBSTITUTE(H540, ",", "")</f>
        <v>93</v>
      </c>
      <c r="K540" s="5" t="str">
        <f t="shared" si="540"/>
        <v>Rp7347000</v>
      </c>
      <c r="L540" s="5" t="str">
        <f t="shared" si="3"/>
        <v>7347000</v>
      </c>
    </row>
    <row r="541">
      <c r="A541" s="6" t="s">
        <v>1219</v>
      </c>
      <c r="B541" s="7" t="str">
        <f>HYPERLINK("https://shopee.co.id/Trueve-Ultimate-Combo-Vitamin-C-Series-i.310417610.11007232024", "https://shopee.co.id/Trueve-Ultimate-Combo-Vitamin-C-Series-i.310417610.11007232024")</f>
        <v>https://shopee.co.id/Trueve-Ultimate-Combo-Vitamin-C-Series-i.310417610.11007232024</v>
      </c>
      <c r="C541" s="6" t="s">
        <v>34</v>
      </c>
      <c r="D541" s="6" t="s">
        <v>35</v>
      </c>
      <c r="E541" s="6" t="s">
        <v>12</v>
      </c>
      <c r="F541" s="6" t="s">
        <v>13</v>
      </c>
      <c r="G541" s="6" t="s">
        <v>36</v>
      </c>
      <c r="H541" s="8" t="s">
        <v>1215</v>
      </c>
      <c r="I541" s="9">
        <v>1.24485E7</v>
      </c>
      <c r="J541" s="5" t="str">
        <f t="shared" ref="J541:K541" si="541">SUBSTITUTE(H541, ",", "")</f>
        <v>93</v>
      </c>
      <c r="K541" s="5" t="str">
        <f t="shared" si="541"/>
        <v>Rp12448500</v>
      </c>
      <c r="L541" s="5" t="str">
        <f t="shared" si="3"/>
        <v>12448500</v>
      </c>
    </row>
    <row r="542">
      <c r="A542" s="6" t="s">
        <v>1220</v>
      </c>
      <c r="B542" s="7" t="str">
        <f>HYPERLINK("https://shopee.co.id/Tuesbelle-AVOSKIN-Your-Skin-Bae-Alpha-Arbutin-Niacinamide-Marine-Collagen-Mugwort-Cica-i.36872574.7375700597", "https://shopee.co.id/Tuesbelle-AVOSKIN-Your-Skin-Bae-Alpha-Arbutin-Niacinamide-Marine-Collagen-Mugwort-Cica-i.36872574.7375700597")</f>
        <v>https://shopee.co.id/Tuesbelle-AVOSKIN-Your-Skin-Bae-Alpha-Arbutin-Niacinamide-Marine-Collagen-Mugwort-Cica-i.36872574.7375700597</v>
      </c>
      <c r="C542" s="6" t="s">
        <v>83</v>
      </c>
      <c r="D542" s="6" t="s">
        <v>969</v>
      </c>
      <c r="E542" s="6" t="s">
        <v>12</v>
      </c>
      <c r="F542" s="6" t="s">
        <v>13</v>
      </c>
      <c r="G542" s="6" t="s">
        <v>115</v>
      </c>
      <c r="H542" s="8" t="s">
        <v>1215</v>
      </c>
      <c r="I542" s="9">
        <v>4.99442E7</v>
      </c>
      <c r="J542" s="5" t="str">
        <f t="shared" ref="J542:K542" si="542">SUBSTITUTE(H542, ",", "")</f>
        <v>93</v>
      </c>
      <c r="K542" s="5" t="str">
        <f t="shared" si="542"/>
        <v>Rp49944200</v>
      </c>
      <c r="L542" s="5" t="str">
        <f t="shared" si="3"/>
        <v>49944200</v>
      </c>
    </row>
    <row r="543">
      <c r="A543" s="6" t="s">
        <v>1221</v>
      </c>
      <c r="B543" s="7" t="str">
        <f>HYPERLINK("https://shopee.co.id/Jarkeen-Porecelain-Skin-Serum-i.147936010.6031596076", "https://shopee.co.id/Jarkeen-Porecelain-Skin-Serum-i.147936010.6031596076")</f>
        <v>https://shopee.co.id/Jarkeen-Porecelain-Skin-Serum-i.147936010.6031596076</v>
      </c>
      <c r="C543" s="6" t="s">
        <v>738</v>
      </c>
      <c r="D543" s="6" t="s">
        <v>739</v>
      </c>
      <c r="E543" s="6" t="s">
        <v>12</v>
      </c>
      <c r="F543" s="6" t="s">
        <v>13</v>
      </c>
      <c r="G543" s="6" t="s">
        <v>241</v>
      </c>
      <c r="H543" s="8" t="s">
        <v>1215</v>
      </c>
      <c r="I543" s="9">
        <v>7.48018E7</v>
      </c>
      <c r="J543" s="5" t="str">
        <f t="shared" ref="J543:K543" si="543">SUBSTITUTE(H543, ",", "")</f>
        <v>93</v>
      </c>
      <c r="K543" s="5" t="str">
        <f t="shared" si="543"/>
        <v>Rp74801800</v>
      </c>
      <c r="L543" s="5" t="str">
        <f t="shared" si="3"/>
        <v>74801800</v>
      </c>
    </row>
    <row r="544">
      <c r="A544" s="6" t="s">
        <v>1222</v>
      </c>
      <c r="B544" s="7" t="str">
        <f>HYPERLINK("https://shopee.co.id/The-Aubree-Centella-Herb-Serum-30-ml-i.495290309.11120466506", "https://shopee.co.id/The-Aubree-Centella-Herb-Serum-30-ml-i.495290309.11120466506")</f>
        <v>https://shopee.co.id/The-Aubree-Centella-Herb-Serum-30-ml-i.495290309.11120466506</v>
      </c>
      <c r="C544" s="6" t="s">
        <v>772</v>
      </c>
      <c r="D544" s="6" t="s">
        <v>773</v>
      </c>
      <c r="E544" s="6" t="s">
        <v>12</v>
      </c>
      <c r="F544" s="6" t="s">
        <v>13</v>
      </c>
      <c r="G544" s="6" t="s">
        <v>241</v>
      </c>
      <c r="H544" s="8" t="s">
        <v>1215</v>
      </c>
      <c r="I544" s="9">
        <v>1762800.0</v>
      </c>
      <c r="J544" s="5" t="str">
        <f t="shared" ref="J544:K544" si="544">SUBSTITUTE(H544, ",", "")</f>
        <v>93</v>
      </c>
      <c r="K544" s="5" t="str">
        <f t="shared" si="544"/>
        <v>Rp1762800</v>
      </c>
      <c r="L544" s="5" t="str">
        <f t="shared" si="3"/>
        <v>1762800</v>
      </c>
    </row>
    <row r="545">
      <c r="A545" s="6" t="s">
        <v>1223</v>
      </c>
      <c r="B545" s="7" t="str">
        <f>HYPERLINK("https://shopee.co.id/L-Oreal-Paris-Revitalift-Crystal-Micro-Essence-Serum-Skin-Care-130-ml-Serum-Mask-i.62579622.3948833571", "https://shopee.co.id/L-Oreal-Paris-Revitalift-Crystal-Micro-Essence-Serum-Skin-Care-130-ml-Serum-Mask-i.62579622.3948833571")</f>
        <v>https://shopee.co.id/L-Oreal-Paris-Revitalift-Crystal-Micro-Essence-Serum-Skin-Care-130-ml-Serum-Mask-i.62579622.3948833571</v>
      </c>
      <c r="C545" s="6" t="s">
        <v>105</v>
      </c>
      <c r="D545" s="6" t="s">
        <v>106</v>
      </c>
      <c r="E545" s="6" t="s">
        <v>12</v>
      </c>
      <c r="F545" s="6" t="s">
        <v>13</v>
      </c>
      <c r="G545" s="6" t="s">
        <v>61</v>
      </c>
      <c r="H545" s="8" t="s">
        <v>1224</v>
      </c>
      <c r="I545" s="9">
        <v>2.3104E7</v>
      </c>
      <c r="J545" s="5" t="str">
        <f t="shared" ref="J545:K545" si="545">SUBSTITUTE(H545, ",", "")</f>
        <v>92</v>
      </c>
      <c r="K545" s="5" t="str">
        <f t="shared" si="545"/>
        <v>Rp23104000</v>
      </c>
      <c r="L545" s="5" t="str">
        <f t="shared" si="3"/>
        <v>23104000</v>
      </c>
    </row>
    <row r="546">
      <c r="A546" s="6" t="s">
        <v>1225</v>
      </c>
      <c r="B546" s="7" t="str">
        <f>HYPERLINK("https://shopee.co.id/Avoskin-Miraculous-Refining-Serum-30ml-i.30736001.4987529013", "https://shopee.co.id/Avoskin-Miraculous-Refining-Serum-30ml-i.30736001.4987529013")</f>
        <v>https://shopee.co.id/Avoskin-Miraculous-Refining-Serum-30ml-i.30736001.4987529013</v>
      </c>
      <c r="C546" s="6" t="s">
        <v>83</v>
      </c>
      <c r="D546" s="6" t="s">
        <v>335</v>
      </c>
      <c r="E546" s="6" t="s">
        <v>12</v>
      </c>
      <c r="F546" s="6" t="s">
        <v>13</v>
      </c>
      <c r="G546" s="6" t="s">
        <v>36</v>
      </c>
      <c r="H546" s="8" t="s">
        <v>1224</v>
      </c>
      <c r="I546" s="9">
        <v>1292340.0</v>
      </c>
      <c r="J546" s="5" t="str">
        <f t="shared" ref="J546:K546" si="546">SUBSTITUTE(H546, ",", "")</f>
        <v>92</v>
      </c>
      <c r="K546" s="5" t="str">
        <f t="shared" si="546"/>
        <v>Rp1292340</v>
      </c>
      <c r="L546" s="5" t="str">
        <f t="shared" si="3"/>
        <v>1292340</v>
      </c>
    </row>
    <row r="547">
      <c r="A547" s="6" t="s">
        <v>1226</v>
      </c>
      <c r="B547" s="7" t="str">
        <f>HYPERLINK("https://shopee.co.id/Vavl-Vightne-Blemish-Serum-15ml-i.136011044.8548531110", "https://shopee.co.id/Vavl-Vightne-Blemish-Serum-15ml-i.136011044.8548531110")</f>
        <v>https://shopee.co.id/Vavl-Vightne-Blemish-Serum-15ml-i.136011044.8548531110</v>
      </c>
      <c r="C547" s="6" t="s">
        <v>514</v>
      </c>
      <c r="D547" s="6" t="s">
        <v>632</v>
      </c>
      <c r="E547" s="6" t="s">
        <v>12</v>
      </c>
      <c r="F547" s="6" t="s">
        <v>13</v>
      </c>
      <c r="G547" s="6" t="s">
        <v>21</v>
      </c>
      <c r="H547" s="8" t="s">
        <v>1224</v>
      </c>
      <c r="I547" s="9">
        <v>1.159194E7</v>
      </c>
      <c r="J547" s="5" t="str">
        <f t="shared" ref="J547:K547" si="547">SUBSTITUTE(H547, ",", "")</f>
        <v>92</v>
      </c>
      <c r="K547" s="5" t="str">
        <f t="shared" si="547"/>
        <v>Rp11591940</v>
      </c>
      <c r="L547" s="5" t="str">
        <f t="shared" si="3"/>
        <v>11591940</v>
      </c>
    </row>
    <row r="548">
      <c r="A548" s="6" t="s">
        <v>1227</v>
      </c>
      <c r="B548" s="7" t="str">
        <f>HYPERLINK("https://shopee.co.id/Avoskin-Perfect-Hydrating-Treatment-Essence-30-Ml-Menjaga-Kesegaran-Dan-Kelembapan-Kulit-i.50972887.3167307802", "https://shopee.co.id/Avoskin-Perfect-Hydrating-Treatment-Essence-30-Ml-Menjaga-Kesegaran-Dan-Kelembapan-Kulit-i.50972887.3167307802")</f>
        <v>https://shopee.co.id/Avoskin-Perfect-Hydrating-Treatment-Essence-30-Ml-Menjaga-Kesegaran-Dan-Kelembapan-Kulit-i.50972887.3167307802</v>
      </c>
      <c r="C548" s="6" t="s">
        <v>83</v>
      </c>
      <c r="D548" s="6" t="s">
        <v>552</v>
      </c>
      <c r="E548" s="6" t="s">
        <v>12</v>
      </c>
      <c r="F548" s="6" t="s">
        <v>13</v>
      </c>
      <c r="G548" s="6" t="s">
        <v>61</v>
      </c>
      <c r="H548" s="8" t="s">
        <v>1228</v>
      </c>
      <c r="I548" s="9">
        <v>6202500.0</v>
      </c>
      <c r="J548" s="5" t="str">
        <f t="shared" ref="J548:K548" si="548">SUBSTITUTE(H548, ",", "")</f>
        <v>91</v>
      </c>
      <c r="K548" s="5" t="str">
        <f t="shared" si="548"/>
        <v>Rp6202500</v>
      </c>
      <c r="L548" s="5" t="str">
        <f t="shared" si="3"/>
        <v>6202500</v>
      </c>
    </row>
    <row r="549">
      <c r="A549" s="6" t="s">
        <v>1229</v>
      </c>
      <c r="B549" s="7" t="str">
        <f>HYPERLINK("https://shopee.co.id/Hanasui-Anti-Acne-Serum-New-Look-New-Formula-i.129681299.11024773256", "https://shopee.co.id/Hanasui-Anti-Acne-Serum-New-Look-New-Formula-i.129681299.11024773256")</f>
        <v>https://shopee.co.id/Hanasui-Anti-Acne-Serum-New-Look-New-Formula-i.129681299.11024773256</v>
      </c>
      <c r="C549" s="6" t="s">
        <v>784</v>
      </c>
      <c r="D549" s="6" t="s">
        <v>785</v>
      </c>
      <c r="E549" s="6" t="s">
        <v>12</v>
      </c>
      <c r="F549" s="6" t="s">
        <v>13</v>
      </c>
      <c r="G549" s="6" t="s">
        <v>36</v>
      </c>
      <c r="H549" s="8" t="s">
        <v>1228</v>
      </c>
      <c r="I549" s="9">
        <v>5814250.0</v>
      </c>
      <c r="J549" s="5" t="str">
        <f t="shared" ref="J549:K549" si="549">SUBSTITUTE(H549, ",", "")</f>
        <v>91</v>
      </c>
      <c r="K549" s="5" t="str">
        <f t="shared" si="549"/>
        <v>Rp5814250</v>
      </c>
      <c r="L549" s="5" t="str">
        <f t="shared" si="3"/>
        <v>5814250</v>
      </c>
    </row>
    <row r="550">
      <c r="A550" s="6" t="s">
        <v>1230</v>
      </c>
      <c r="B550" s="7" t="str">
        <f>HYPERLINK("https://shopee.co.id/SOMETHINC-Level-1-Encapsulated-Retinol-i.195455930.11647048690", "https://shopee.co.id/SOMETHINC-Level-1-Encapsulated-Retinol-i.195455930.11647048690")</f>
        <v>https://shopee.co.id/SOMETHINC-Level-1-Encapsulated-Retinol-i.195455930.11647048690</v>
      </c>
      <c r="C550" s="6" t="s">
        <v>45</v>
      </c>
      <c r="D550" s="6" t="s">
        <v>46</v>
      </c>
      <c r="E550" s="6" t="s">
        <v>12</v>
      </c>
      <c r="F550" s="6" t="s">
        <v>13</v>
      </c>
      <c r="G550" s="6" t="s">
        <v>21</v>
      </c>
      <c r="H550" s="8" t="s">
        <v>1228</v>
      </c>
      <c r="I550" s="9">
        <v>2.7385E7</v>
      </c>
      <c r="J550" s="5" t="str">
        <f t="shared" ref="J550:K550" si="550">SUBSTITUTE(H550, ",", "")</f>
        <v>91</v>
      </c>
      <c r="K550" s="5" t="str">
        <f t="shared" si="550"/>
        <v>Rp27385000</v>
      </c>
      <c r="L550" s="5" t="str">
        <f t="shared" si="3"/>
        <v>27385000</v>
      </c>
    </row>
    <row r="551">
      <c r="A551" s="6" t="s">
        <v>1231</v>
      </c>
      <c r="B551" s="7" t="str">
        <f>HYPERLINK("https://shopee.co.id/NATURE-REPUBLIC-Good-Skin-Ampoule-VITAMIN-E-i.78838801.4165324908", "https://shopee.co.id/NATURE-REPUBLIC-Good-Skin-Ampoule-VITAMIN-E-i.78838801.4165324908")</f>
        <v>https://shopee.co.id/NATURE-REPUBLIC-Good-Skin-Ampoule-VITAMIN-E-i.78838801.4165324908</v>
      </c>
      <c r="C551" s="6" t="s">
        <v>1079</v>
      </c>
      <c r="D551" s="6" t="s">
        <v>1080</v>
      </c>
      <c r="E551" s="6" t="s">
        <v>12</v>
      </c>
      <c r="F551" s="6" t="s">
        <v>13</v>
      </c>
      <c r="G551" s="6" t="s">
        <v>532</v>
      </c>
      <c r="H551" s="8" t="s">
        <v>1228</v>
      </c>
      <c r="I551" s="9">
        <v>2.0577E7</v>
      </c>
      <c r="J551" s="5" t="str">
        <f t="shared" ref="J551:K551" si="551">SUBSTITUTE(H551, ",", "")</f>
        <v>91</v>
      </c>
      <c r="K551" s="5" t="str">
        <f t="shared" si="551"/>
        <v>Rp20577000</v>
      </c>
      <c r="L551" s="5" t="str">
        <f t="shared" si="3"/>
        <v>20577000</v>
      </c>
    </row>
    <row r="552">
      <c r="A552" s="6" t="s">
        <v>1232</v>
      </c>
      <c r="B552" s="7" t="str">
        <f>HYPERLINK("https://shopee.co.id/Dr-Jart-New-Ceramidin-Serum-i.126014132.1909344080", "https://shopee.co.id/Dr-Jart-New-Ceramidin-Serum-i.126014132.1909344080")</f>
        <v>https://shopee.co.id/Dr-Jart-New-Ceramidin-Serum-i.126014132.1909344080</v>
      </c>
      <c r="C552" s="6" t="s">
        <v>639</v>
      </c>
      <c r="D552" s="6" t="s">
        <v>640</v>
      </c>
      <c r="E552" s="6" t="s">
        <v>12</v>
      </c>
      <c r="F552" s="6" t="s">
        <v>13</v>
      </c>
      <c r="G552" s="6" t="s">
        <v>61</v>
      </c>
      <c r="H552" s="8" t="s">
        <v>1228</v>
      </c>
      <c r="I552" s="9">
        <v>5409750.0</v>
      </c>
      <c r="J552" s="5" t="str">
        <f t="shared" ref="J552:K552" si="552">SUBSTITUTE(H552, ",", "")</f>
        <v>91</v>
      </c>
      <c r="K552" s="5" t="str">
        <f t="shared" si="552"/>
        <v>Rp5409750</v>
      </c>
      <c r="L552" s="5" t="str">
        <f t="shared" si="3"/>
        <v>5409750</v>
      </c>
    </row>
    <row r="553">
      <c r="A553" s="6" t="s">
        <v>1233</v>
      </c>
      <c r="B553" s="7" t="str">
        <f>HYPERLINK("https://shopee.co.id/Natur-Miracle-Calming-Face-Serum-Cica-Witch-Hazel-i.38631574.3833420527", "https://shopee.co.id/Natur-Miracle-Calming-Face-Serum-Cica-Witch-Hazel-i.38631574.3833420527")</f>
        <v>https://shopee.co.id/Natur-Miracle-Calming-Face-Serum-Cica-Witch-Hazel-i.38631574.3833420527</v>
      </c>
      <c r="C553" s="6" t="s">
        <v>1234</v>
      </c>
      <c r="D553" s="6" t="s">
        <v>1235</v>
      </c>
      <c r="E553" s="6" t="s">
        <v>12</v>
      </c>
      <c r="F553" s="6" t="s">
        <v>13</v>
      </c>
      <c r="G553" s="6" t="s">
        <v>469</v>
      </c>
      <c r="H553" s="8" t="s">
        <v>1228</v>
      </c>
      <c r="I553" s="9">
        <v>1.37775E7</v>
      </c>
      <c r="J553" s="5" t="str">
        <f t="shared" ref="J553:K553" si="553">SUBSTITUTE(H553, ",", "")</f>
        <v>91</v>
      </c>
      <c r="K553" s="5" t="str">
        <f t="shared" si="553"/>
        <v>Rp13777500</v>
      </c>
      <c r="L553" s="5" t="str">
        <f t="shared" si="3"/>
        <v>13777500</v>
      </c>
    </row>
    <row r="554">
      <c r="A554" s="6" t="s">
        <v>1236</v>
      </c>
      <c r="B554" s="7" t="str">
        <f>HYPERLINK("https://shopee.co.id/L-Oreal-Revitalift-Pro-Youth-Face-Mask-Skin-Elasticity-Anti-Aging-x-5-pcs-i.62579622.6732745232", "https://shopee.co.id/L-Oreal-Revitalift-Pro-Youth-Face-Mask-Skin-Elasticity-Anti-Aging-x-5-pcs-i.62579622.6732745232")</f>
        <v>https://shopee.co.id/L-Oreal-Revitalift-Pro-Youth-Face-Mask-Skin-Elasticity-Anti-Aging-x-5-pcs-i.62579622.6732745232</v>
      </c>
      <c r="C554" s="6" t="s">
        <v>105</v>
      </c>
      <c r="D554" s="6" t="s">
        <v>106</v>
      </c>
      <c r="E554" s="6" t="s">
        <v>12</v>
      </c>
      <c r="F554" s="6" t="s">
        <v>13</v>
      </c>
      <c r="G554" s="6" t="s">
        <v>61</v>
      </c>
      <c r="H554" s="8" t="s">
        <v>1237</v>
      </c>
      <c r="I554" s="9">
        <v>1.176298E7</v>
      </c>
      <c r="J554" s="5" t="str">
        <f t="shared" ref="J554:K554" si="554">SUBSTITUTE(H554, ",", "")</f>
        <v>89</v>
      </c>
      <c r="K554" s="5" t="str">
        <f t="shared" si="554"/>
        <v>Rp11762980</v>
      </c>
      <c r="L554" s="5" t="str">
        <f t="shared" si="3"/>
        <v>11762980</v>
      </c>
    </row>
    <row r="555">
      <c r="A555" s="6" t="s">
        <v>1238</v>
      </c>
      <c r="B555" s="7" t="str">
        <f>HYPERLINK("https://shopee.co.id/Avoskin-Miraculous-Retinol-Ampoule-30-Ml-Penunda-Munculnya-Tanda-Penuaan-Dini-Regenerasi-Kulit-i.50972887.5357761396", "https://shopee.co.id/Avoskin-Miraculous-Retinol-Ampoule-30-Ml-Penunda-Munculnya-Tanda-Penuaan-Dini-Regenerasi-Kulit-i.50972887.5357761396")</f>
        <v>https://shopee.co.id/Avoskin-Miraculous-Retinol-Ampoule-30-Ml-Penunda-Munculnya-Tanda-Penuaan-Dini-Regenerasi-Kulit-i.50972887.5357761396</v>
      </c>
      <c r="C555" s="6" t="s">
        <v>83</v>
      </c>
      <c r="D555" s="6" t="s">
        <v>552</v>
      </c>
      <c r="E555" s="6" t="s">
        <v>12</v>
      </c>
      <c r="F555" s="6" t="s">
        <v>13</v>
      </c>
      <c r="G555" s="6" t="s">
        <v>61</v>
      </c>
      <c r="H555" s="8" t="s">
        <v>1237</v>
      </c>
      <c r="I555" s="9">
        <v>1.7836266E7</v>
      </c>
      <c r="J555" s="5" t="str">
        <f t="shared" ref="J555:K555" si="555">SUBSTITUTE(H555, ",", "")</f>
        <v>89</v>
      </c>
      <c r="K555" s="5" t="str">
        <f t="shared" si="555"/>
        <v>Rp17836266</v>
      </c>
      <c r="L555" s="5" t="str">
        <f t="shared" si="3"/>
        <v>17836266</v>
      </c>
    </row>
    <row r="556">
      <c r="A556" s="6" t="s">
        <v>1239</v>
      </c>
      <c r="B556" s="7" t="str">
        <f>HYPERLINK("https://shopee.co.id/Sulwhasoo-Men-Recharging-Serum-i.274949344.10735980572", "https://shopee.co.id/Sulwhasoo-Men-Recharging-Serum-i.274949344.10735980572")</f>
        <v>https://shopee.co.id/Sulwhasoo-Men-Recharging-Serum-i.274949344.10735980572</v>
      </c>
      <c r="C556" s="6" t="s">
        <v>282</v>
      </c>
      <c r="D556" s="6" t="s">
        <v>283</v>
      </c>
      <c r="E556" s="6" t="s">
        <v>12</v>
      </c>
      <c r="F556" s="6" t="s">
        <v>13</v>
      </c>
      <c r="G556" s="6" t="s">
        <v>61</v>
      </c>
      <c r="H556" s="8" t="s">
        <v>1237</v>
      </c>
      <c r="I556" s="9">
        <v>2252500.0</v>
      </c>
      <c r="J556" s="5" t="str">
        <f t="shared" ref="J556:K556" si="556">SUBSTITUTE(H556, ",", "")</f>
        <v>89</v>
      </c>
      <c r="K556" s="5" t="str">
        <f t="shared" si="556"/>
        <v>Rp2252500</v>
      </c>
      <c r="L556" s="5" t="str">
        <f t="shared" si="3"/>
        <v>2252500</v>
      </c>
    </row>
    <row r="557">
      <c r="A557" s="6" t="s">
        <v>1240</v>
      </c>
      <c r="B557" s="7" t="str">
        <f>HYPERLINK("https://shopee.co.id/Implora-Promo-Buy-1-Serum-Wajah-1-Lip-Satin-i.10960132.8485099037", "https://shopee.co.id/Implora-Promo-Buy-1-Serum-Wajah-1-Lip-Satin-i.10960132.8485099037")</f>
        <v>https://shopee.co.id/Implora-Promo-Buy-1-Serum-Wajah-1-Lip-Satin-i.10960132.8485099037</v>
      </c>
      <c r="C557" s="6" t="s">
        <v>113</v>
      </c>
      <c r="D557" s="6" t="s">
        <v>114</v>
      </c>
      <c r="E557" s="6" t="s">
        <v>12</v>
      </c>
      <c r="F557" s="6" t="s">
        <v>13</v>
      </c>
      <c r="G557" s="6" t="s">
        <v>115</v>
      </c>
      <c r="H557" s="8" t="s">
        <v>1237</v>
      </c>
      <c r="I557" s="9">
        <v>1.1392E7</v>
      </c>
      <c r="J557" s="5" t="str">
        <f t="shared" ref="J557:K557" si="557">SUBSTITUTE(H557, ",", "")</f>
        <v>89</v>
      </c>
      <c r="K557" s="5" t="str">
        <f t="shared" si="557"/>
        <v>Rp11392000</v>
      </c>
      <c r="L557" s="5" t="str">
        <f t="shared" si="3"/>
        <v>11392000</v>
      </c>
    </row>
    <row r="558">
      <c r="A558" s="6" t="s">
        <v>1241</v>
      </c>
      <c r="B558" s="7" t="str">
        <f>HYPERLINK("https://shopee.co.id/AVOSKIN-Your-Skin-Bae-Collagen10-Ginseng-Root-30ml-i.270965687.9004838011", "https://shopee.co.id/AVOSKIN-Your-Skin-Bae-Collagen10-Ginseng-Root-30ml-i.270965687.9004838011")</f>
        <v>https://shopee.co.id/AVOSKIN-Your-Skin-Bae-Collagen10-Ginseng-Root-30ml-i.270965687.9004838011</v>
      </c>
      <c r="C558" s="6" t="s">
        <v>83</v>
      </c>
      <c r="D558" s="6" t="s">
        <v>379</v>
      </c>
      <c r="E558" s="6" t="s">
        <v>12</v>
      </c>
      <c r="F558" s="6" t="s">
        <v>13</v>
      </c>
      <c r="G558" s="6" t="s">
        <v>380</v>
      </c>
      <c r="H558" s="8" t="s">
        <v>1237</v>
      </c>
      <c r="I558" s="9">
        <v>1.0206E7</v>
      </c>
      <c r="J558" s="5" t="str">
        <f t="shared" ref="J558:K558" si="558">SUBSTITUTE(H558, ",", "")</f>
        <v>89</v>
      </c>
      <c r="K558" s="5" t="str">
        <f t="shared" si="558"/>
        <v>Rp10206000</v>
      </c>
      <c r="L558" s="5" t="str">
        <f t="shared" si="3"/>
        <v>10206000</v>
      </c>
    </row>
    <row r="559">
      <c r="A559" s="6" t="s">
        <v>1242</v>
      </c>
      <c r="B559" s="7" t="str">
        <f>HYPERLINK("https://shopee.co.id/SOMETHINC-Niacinamide-5-BARRIER-Serum-20ml-i.270965687.4591536633", "https://shopee.co.id/SOMETHINC-Niacinamide-5-BARRIER-Serum-20ml-i.270965687.4591536633")</f>
        <v>https://shopee.co.id/SOMETHINC-Niacinamide-5-BARRIER-Serum-20ml-i.270965687.4591536633</v>
      </c>
      <c r="C559" s="6" t="s">
        <v>45</v>
      </c>
      <c r="D559" s="6" t="s">
        <v>379</v>
      </c>
      <c r="E559" s="6" t="s">
        <v>12</v>
      </c>
      <c r="F559" s="6" t="s">
        <v>13</v>
      </c>
      <c r="G559" s="6" t="s">
        <v>380</v>
      </c>
      <c r="H559" s="8" t="s">
        <v>1243</v>
      </c>
      <c r="I559" s="9">
        <v>8781000.0</v>
      </c>
      <c r="J559" s="5" t="str">
        <f t="shared" ref="J559:K559" si="559">SUBSTITUTE(H559, ",", "")</f>
        <v>88</v>
      </c>
      <c r="K559" s="5" t="str">
        <f t="shared" si="559"/>
        <v>Rp8781000</v>
      </c>
      <c r="L559" s="5" t="str">
        <f t="shared" si="3"/>
        <v>8781000</v>
      </c>
    </row>
    <row r="560">
      <c r="A560" s="6" t="s">
        <v>1244</v>
      </c>
      <c r="B560" s="7" t="str">
        <f>HYPERLINK("https://shopee.co.id/The-Ordinary-Hyaluronic-Acid-2-B5-60ml-i.825870.3403050979", "https://shopee.co.id/The-Ordinary-Hyaluronic-Acid-2-B5-60ml-i.825870.3403050979")</f>
        <v>https://shopee.co.id/The-Ordinary-Hyaluronic-Acid-2-B5-60ml-i.825870.3403050979</v>
      </c>
      <c r="C560" s="6" t="s">
        <v>1245</v>
      </c>
      <c r="D560" s="6" t="s">
        <v>1184</v>
      </c>
      <c r="E560" s="6" t="s">
        <v>12</v>
      </c>
      <c r="F560" s="6" t="s">
        <v>13</v>
      </c>
      <c r="G560" s="6" t="s">
        <v>21</v>
      </c>
      <c r="H560" s="8" t="s">
        <v>1243</v>
      </c>
      <c r="I560" s="9">
        <v>3.2252605E7</v>
      </c>
      <c r="J560" s="5" t="str">
        <f t="shared" ref="J560:K560" si="560">SUBSTITUTE(H560, ",", "")</f>
        <v>88</v>
      </c>
      <c r="K560" s="5" t="str">
        <f t="shared" si="560"/>
        <v>Rp32252605</v>
      </c>
      <c r="L560" s="5" t="str">
        <f t="shared" si="3"/>
        <v>32252605</v>
      </c>
    </row>
    <row r="561">
      <c r="A561" s="6" t="s">
        <v>1246</v>
      </c>
      <c r="B561" s="7" t="str">
        <f>HYPERLINK("https://shopee.co.id/Tull-Jye-Whitening-Lotion-i.161178916.8070976078", "https://shopee.co.id/Tull-Jye-Whitening-Lotion-i.161178916.8070976078")</f>
        <v>https://shopee.co.id/Tull-Jye-Whitening-Lotion-i.161178916.8070976078</v>
      </c>
      <c r="C561" s="6" t="s">
        <v>1247</v>
      </c>
      <c r="D561" s="6" t="s">
        <v>1248</v>
      </c>
      <c r="E561" s="6" t="s">
        <v>12</v>
      </c>
      <c r="F561" s="6" t="s">
        <v>13</v>
      </c>
      <c r="G561" s="6" t="s">
        <v>61</v>
      </c>
      <c r="H561" s="8" t="s">
        <v>1243</v>
      </c>
      <c r="I561" s="9">
        <v>2200000.0</v>
      </c>
      <c r="J561" s="5" t="str">
        <f t="shared" ref="J561:K561" si="561">SUBSTITUTE(H561, ",", "")</f>
        <v>88</v>
      </c>
      <c r="K561" s="5" t="str">
        <f t="shared" si="561"/>
        <v>Rp2200000</v>
      </c>
      <c r="L561" s="5" t="str">
        <f t="shared" si="3"/>
        <v>2200000</v>
      </c>
    </row>
    <row r="562">
      <c r="A562" s="6" t="s">
        <v>1249</v>
      </c>
      <c r="B562" s="7" t="str">
        <f>HYPERLINK("https://shopee.co.id/NATURE-REACTION-CRYSTAL-BRIGHT-SERUM-NR-Pemutih-Wajah-Glowing-Atasi-Jerawat-Flek-Hitam-Original-BPOM-i.375565670.11926098725", "https://shopee.co.id/NATURE-REACTION-CRYSTAL-BRIGHT-SERUM-NR-Pemutih-Wajah-Glowing-Atasi-Jerawat-Flek-Hitam-Original-BPOM-i.375565670.11926098725")</f>
        <v>https://shopee.co.id/NATURE-REACTION-CRYSTAL-BRIGHT-SERUM-NR-Pemutih-Wajah-Glowing-Atasi-Jerawat-Flek-Hitam-Original-BPOM-i.375565670.11926098725</v>
      </c>
      <c r="C562" s="6" t="s">
        <v>530</v>
      </c>
      <c r="D562" s="6" t="s">
        <v>531</v>
      </c>
      <c r="E562" s="6" t="s">
        <v>12</v>
      </c>
      <c r="F562" s="6" t="s">
        <v>13</v>
      </c>
      <c r="G562" s="6" t="s">
        <v>532</v>
      </c>
      <c r="H562" s="8" t="s">
        <v>1243</v>
      </c>
      <c r="I562" s="9">
        <v>6.33562E7</v>
      </c>
      <c r="J562" s="5" t="str">
        <f t="shared" ref="J562:K562" si="562">SUBSTITUTE(H562, ",", "")</f>
        <v>88</v>
      </c>
      <c r="K562" s="5" t="str">
        <f t="shared" si="562"/>
        <v>Rp63356200</v>
      </c>
      <c r="L562" s="5" t="str">
        <f t="shared" si="3"/>
        <v>63356200</v>
      </c>
    </row>
    <row r="563">
      <c r="A563" s="6" t="s">
        <v>1250</v>
      </c>
      <c r="B563" s="7" t="str">
        <f>HYPERLINK("https://shopee.co.id/Somethinc-5-Niacinamide-Barrier-Serum-20-ml-i.110573301.9283096673", "https://shopee.co.id/Somethinc-5-Niacinamide-Barrier-Serum-20-ml-i.110573301.9283096673")</f>
        <v>https://shopee.co.id/Somethinc-5-Niacinamide-Barrier-Serum-20-ml-i.110573301.9283096673</v>
      </c>
      <c r="C563" s="6" t="s">
        <v>45</v>
      </c>
      <c r="D563" s="6" t="s">
        <v>227</v>
      </c>
      <c r="E563" s="6" t="s">
        <v>12</v>
      </c>
      <c r="F563" s="6" t="s">
        <v>13</v>
      </c>
      <c r="G563" s="6" t="s">
        <v>61</v>
      </c>
      <c r="H563" s="8" t="s">
        <v>1243</v>
      </c>
      <c r="I563" s="9">
        <v>1.1262E7</v>
      </c>
      <c r="J563" s="5" t="str">
        <f t="shared" ref="J563:K563" si="563">SUBSTITUTE(H563, ",", "")</f>
        <v>88</v>
      </c>
      <c r="K563" s="5" t="str">
        <f t="shared" si="563"/>
        <v>Rp11262000</v>
      </c>
      <c r="L563" s="5" t="str">
        <f t="shared" si="3"/>
        <v>11262000</v>
      </c>
    </row>
    <row r="564">
      <c r="A564" s="6" t="s">
        <v>1251</v>
      </c>
      <c r="B564" s="7" t="str">
        <f>HYPERLINK("https://shopee.co.id/Airnderm-Aesthetic-AHA-BHA-Serum-by-AIRIN-BEAUTY--i.112372548.12605910298", "https://shopee.co.id/Airnderm-Aesthetic-AHA-BHA-Serum-by-AIRIN-BEAUTY--i.112372548.12605910298")</f>
        <v>https://shopee.co.id/Airnderm-Aesthetic-AHA-BHA-Serum-by-AIRIN-BEAUTY--i.112372548.12605910298</v>
      </c>
      <c r="C564" s="6" t="s">
        <v>239</v>
      </c>
      <c r="D564" s="6" t="s">
        <v>240</v>
      </c>
      <c r="E564" s="6" t="s">
        <v>12</v>
      </c>
      <c r="F564" s="6" t="s">
        <v>13</v>
      </c>
      <c r="G564" s="6" t="s">
        <v>241</v>
      </c>
      <c r="H564" s="8" t="s">
        <v>1243</v>
      </c>
      <c r="I564" s="9">
        <v>4457920.0</v>
      </c>
      <c r="J564" s="5" t="str">
        <f t="shared" ref="J564:K564" si="564">SUBSTITUTE(H564, ",", "")</f>
        <v>88</v>
      </c>
      <c r="K564" s="5" t="str">
        <f t="shared" si="564"/>
        <v>Rp4457920</v>
      </c>
      <c r="L564" s="5" t="str">
        <f t="shared" si="3"/>
        <v>4457920</v>
      </c>
    </row>
    <row r="565">
      <c r="A565" s="6" t="s">
        <v>1252</v>
      </c>
      <c r="B565" s="7" t="str">
        <f>HYPERLINK("https://shopee.co.id/Safi-Expert-Solutions-Milk-Drop-Serum-Cream-Anti-Aging-40gr-Wajah-i.63823668.6266937991", "https://shopee.co.id/Safi-Expert-Solutions-Milk-Drop-Serum-Cream-Anti-Aging-40gr-Wajah-i.63823668.6266937991")</f>
        <v>https://shopee.co.id/Safi-Expert-Solutions-Milk-Drop-Serum-Cream-Anti-Aging-40gr-Wajah-i.63823668.6266937991</v>
      </c>
      <c r="C565" s="6" t="s">
        <v>278</v>
      </c>
      <c r="D565" s="6" t="s">
        <v>279</v>
      </c>
      <c r="E565" s="6" t="s">
        <v>12</v>
      </c>
      <c r="F565" s="6" t="s">
        <v>13</v>
      </c>
      <c r="G565" s="6" t="s">
        <v>61</v>
      </c>
      <c r="H565" s="8" t="s">
        <v>1243</v>
      </c>
      <c r="I565" s="9">
        <v>5054680.0</v>
      </c>
      <c r="J565" s="5" t="str">
        <f t="shared" ref="J565:K565" si="565">SUBSTITUTE(H565, ",", "")</f>
        <v>88</v>
      </c>
      <c r="K565" s="5" t="str">
        <f t="shared" si="565"/>
        <v>Rp5054680</v>
      </c>
      <c r="L565" s="5" t="str">
        <f t="shared" si="3"/>
        <v>5054680</v>
      </c>
    </row>
    <row r="566">
      <c r="A566" s="6" t="s">
        <v>1253</v>
      </c>
      <c r="B566" s="7" t="str">
        <f>HYPERLINK("https://shopee.co.id/Bio-Essence-Bio-Renew-Exfoliating-Face-Scrub-Gel-60-gr-Cleanser-i.63822287.2777201279", "https://shopee.co.id/Bio-Essence-Bio-Renew-Exfoliating-Face-Scrub-Gel-60-gr-Cleanser-i.63822287.2777201279")</f>
        <v>https://shopee.co.id/Bio-Essence-Bio-Renew-Exfoliating-Face-Scrub-Gel-60-gr-Cleanser-i.63822287.2777201279</v>
      </c>
      <c r="C566" s="6" t="s">
        <v>1254</v>
      </c>
      <c r="D566" s="6" t="s">
        <v>835</v>
      </c>
      <c r="E566" s="6" t="s">
        <v>12</v>
      </c>
      <c r="F566" s="6" t="s">
        <v>13</v>
      </c>
      <c r="G566" s="6" t="s">
        <v>61</v>
      </c>
      <c r="H566" s="8" t="s">
        <v>1255</v>
      </c>
      <c r="I566" s="9">
        <v>1.15521E7</v>
      </c>
      <c r="J566" s="5" t="str">
        <f t="shared" ref="J566:K566" si="566">SUBSTITUTE(H566, ",", "")</f>
        <v>87</v>
      </c>
      <c r="K566" s="5" t="str">
        <f t="shared" si="566"/>
        <v>Rp11552100</v>
      </c>
      <c r="L566" s="5" t="str">
        <f t="shared" si="3"/>
        <v>11552100</v>
      </c>
    </row>
    <row r="567">
      <c r="A567" s="6" t="s">
        <v>1256</v>
      </c>
      <c r="B567" s="7" t="str">
        <f>HYPERLINK("https://shopee.co.id/Ella-Skincare-Niacinamide-Botanical-Cica-Essence-i.95154428.3763381334", "https://shopee.co.id/Ella-Skincare-Niacinamide-Botanical-Cica-Essence-i.95154428.3763381334")</f>
        <v>https://shopee.co.id/Ella-Skincare-Niacinamide-Botanical-Cica-Essence-i.95154428.3763381334</v>
      </c>
      <c r="C567" s="6" t="s">
        <v>954</v>
      </c>
      <c r="D567" s="6" t="s">
        <v>598</v>
      </c>
      <c r="E567" s="6" t="s">
        <v>12</v>
      </c>
      <c r="F567" s="6" t="s">
        <v>13</v>
      </c>
      <c r="G567" s="6" t="s">
        <v>409</v>
      </c>
      <c r="H567" s="8" t="s">
        <v>1255</v>
      </c>
      <c r="I567" s="9">
        <v>5254100.0</v>
      </c>
      <c r="J567" s="5" t="str">
        <f t="shared" ref="J567:K567" si="567">SUBSTITUTE(H567, ",", "")</f>
        <v>87</v>
      </c>
      <c r="K567" s="5" t="str">
        <f t="shared" si="567"/>
        <v>Rp5254100</v>
      </c>
      <c r="L567" s="5" t="str">
        <f t="shared" si="3"/>
        <v>5254100</v>
      </c>
    </row>
    <row r="568">
      <c r="A568" s="6" t="s">
        <v>1257</v>
      </c>
      <c r="B568" s="7" t="str">
        <f>HYPERLINK("https://shopee.co.id/Elvicto-Brightening-Serum-i.214358077.9401948848", "https://shopee.co.id/Elvicto-Brightening-Serum-i.214358077.9401948848")</f>
        <v>https://shopee.co.id/Elvicto-Brightening-Serum-i.214358077.9401948848</v>
      </c>
      <c r="C568" s="6" t="s">
        <v>1258</v>
      </c>
      <c r="D568" s="6" t="s">
        <v>1259</v>
      </c>
      <c r="E568" s="6" t="s">
        <v>12</v>
      </c>
      <c r="F568" s="6" t="s">
        <v>13</v>
      </c>
      <c r="G568" s="6" t="s">
        <v>469</v>
      </c>
      <c r="H568" s="8" t="s">
        <v>1260</v>
      </c>
      <c r="I568" s="9">
        <v>1.1954E7</v>
      </c>
      <c r="J568" s="5" t="str">
        <f t="shared" ref="J568:K568" si="568">SUBSTITUTE(H568, ",", "")</f>
        <v>86</v>
      </c>
      <c r="K568" s="5" t="str">
        <f t="shared" si="568"/>
        <v>Rp11954000</v>
      </c>
      <c r="L568" s="5" t="str">
        <f t="shared" si="3"/>
        <v>11954000</v>
      </c>
    </row>
    <row r="569">
      <c r="A569" s="6" t="s">
        <v>1261</v>
      </c>
      <c r="B569" s="7" t="str">
        <f>HYPERLINK("https://shopee.co.id/Wardah-Renewal-Anti-Aging-Intensive-Serum-i.30736001.2787586512", "https://shopee.co.id/Wardah-Renewal-Anti-Aging-Intensive-Serum-i.30736001.2787586512")</f>
        <v>https://shopee.co.id/Wardah-Renewal-Anti-Aging-Intensive-Serum-i.30736001.2787586512</v>
      </c>
      <c r="C569" s="6" t="s">
        <v>169</v>
      </c>
      <c r="D569" s="6" t="s">
        <v>335</v>
      </c>
      <c r="E569" s="6" t="s">
        <v>12</v>
      </c>
      <c r="F569" s="6" t="s">
        <v>13</v>
      </c>
      <c r="G569" s="6" t="s">
        <v>36</v>
      </c>
      <c r="H569" s="8" t="s">
        <v>1260</v>
      </c>
      <c r="I569" s="9">
        <v>1.57124E7</v>
      </c>
      <c r="J569" s="5" t="str">
        <f t="shared" ref="J569:K569" si="569">SUBSTITUTE(H569, ",", "")</f>
        <v>86</v>
      </c>
      <c r="K569" s="5" t="str">
        <f t="shared" si="569"/>
        <v>Rp15712400</v>
      </c>
      <c r="L569" s="5" t="str">
        <f t="shared" si="3"/>
        <v>15712400</v>
      </c>
    </row>
    <row r="570">
      <c r="A570" s="6" t="s">
        <v>1262</v>
      </c>
      <c r="B570" s="7" t="str">
        <f>HYPERLINK("https://shopee.co.id/Derma-Express-Acne-Defense-Intensive-Serum-i.243650388.6686772391", "https://shopee.co.id/Derma-Express-Acne-Defense-Intensive-Serum-i.243650388.6686772391")</f>
        <v>https://shopee.co.id/Derma-Express-Acne-Defense-Intensive-Serum-i.243650388.6686772391</v>
      </c>
      <c r="C570" s="6" t="s">
        <v>957</v>
      </c>
      <c r="D570" s="6" t="s">
        <v>958</v>
      </c>
      <c r="E570" s="6" t="s">
        <v>12</v>
      </c>
      <c r="F570" s="6" t="s">
        <v>13</v>
      </c>
      <c r="G570" s="6" t="s">
        <v>532</v>
      </c>
      <c r="H570" s="8" t="s">
        <v>1260</v>
      </c>
      <c r="I570" s="9">
        <v>5.71103E7</v>
      </c>
      <c r="J570" s="5" t="str">
        <f t="shared" ref="J570:K570" si="570">SUBSTITUTE(H570, ",", "")</f>
        <v>86</v>
      </c>
      <c r="K570" s="5" t="str">
        <f t="shared" si="570"/>
        <v>Rp57110300</v>
      </c>
      <c r="L570" s="5" t="str">
        <f t="shared" si="3"/>
        <v>57110300</v>
      </c>
    </row>
    <row r="571">
      <c r="A571" s="6" t="s">
        <v>154</v>
      </c>
      <c r="B571" s="7" t="str">
        <f>HYPERLINK("https://shopee.co.id/Avoskin-Miraculous-Refining-Serum-i.110573301.6068619687", "https://shopee.co.id/Avoskin-Miraculous-Refining-Serum-i.110573301.6068619687")</f>
        <v>https://shopee.co.id/Avoskin-Miraculous-Refining-Serum-i.110573301.6068619687</v>
      </c>
      <c r="C571" s="6" t="s">
        <v>83</v>
      </c>
      <c r="D571" s="6" t="s">
        <v>227</v>
      </c>
      <c r="E571" s="6" t="s">
        <v>12</v>
      </c>
      <c r="F571" s="6" t="s">
        <v>13</v>
      </c>
      <c r="G571" s="6" t="s">
        <v>61</v>
      </c>
      <c r="H571" s="8" t="s">
        <v>1260</v>
      </c>
      <c r="I571" s="9">
        <v>6895339.0</v>
      </c>
      <c r="J571" s="5" t="str">
        <f t="shared" ref="J571:K571" si="571">SUBSTITUTE(H571, ",", "")</f>
        <v>86</v>
      </c>
      <c r="K571" s="5" t="str">
        <f t="shared" si="571"/>
        <v>Rp6895339</v>
      </c>
      <c r="L571" s="5" t="str">
        <f t="shared" si="3"/>
        <v>6895339</v>
      </c>
    </row>
    <row r="572">
      <c r="A572" s="6" t="s">
        <v>1263</v>
      </c>
      <c r="B572" s="7" t="str">
        <f>HYPERLINK("https://shopee.co.id/The-Aubree-Brightening-Serum-Concentrate-30-ml-i.495290309.11720466603", "https://shopee.co.id/The-Aubree-Brightening-Serum-Concentrate-30-ml-i.495290309.11720466603")</f>
        <v>https://shopee.co.id/The-Aubree-Brightening-Serum-Concentrate-30-ml-i.495290309.11720466603</v>
      </c>
      <c r="C572" s="6" t="s">
        <v>772</v>
      </c>
      <c r="D572" s="6" t="s">
        <v>773</v>
      </c>
      <c r="E572" s="6" t="s">
        <v>12</v>
      </c>
      <c r="F572" s="6" t="s">
        <v>13</v>
      </c>
      <c r="G572" s="6" t="s">
        <v>241</v>
      </c>
      <c r="H572" s="8" t="s">
        <v>1260</v>
      </c>
      <c r="I572" s="9">
        <v>1.430031E7</v>
      </c>
      <c r="J572" s="5" t="str">
        <f t="shared" ref="J572:K572" si="572">SUBSTITUTE(H572, ",", "")</f>
        <v>86</v>
      </c>
      <c r="K572" s="5" t="str">
        <f t="shared" si="572"/>
        <v>Rp14300310</v>
      </c>
      <c r="L572" s="5" t="str">
        <f t="shared" si="3"/>
        <v>14300310</v>
      </c>
    </row>
    <row r="573">
      <c r="A573" s="6" t="s">
        <v>1264</v>
      </c>
      <c r="B573" s="7" t="str">
        <f>HYPERLINK("https://shopee.co.id/Garnier-Sakura-White-Daily-Treatment-Skin-Care-Rangkaian-Lengkap-Untuk-Kulit-Cerah-Merona--i.62583853.6559435099", "https://shopee.co.id/Garnier-Sakura-White-Daily-Treatment-Skin-Care-Rangkaian-Lengkap-Untuk-Kulit-Cerah-Merona--i.62583853.6559435099")</f>
        <v>https://shopee.co.id/Garnier-Sakura-White-Daily-Treatment-Skin-Care-Rangkaian-Lengkap-Untuk-Kulit-Cerah-Merona--i.62583853.6559435099</v>
      </c>
      <c r="C573" s="6" t="s">
        <v>74</v>
      </c>
      <c r="D573" s="6" t="s">
        <v>75</v>
      </c>
      <c r="E573" s="6" t="s">
        <v>12</v>
      </c>
      <c r="F573" s="6" t="s">
        <v>13</v>
      </c>
      <c r="G573" s="6" t="s">
        <v>61</v>
      </c>
      <c r="H573" s="8" t="s">
        <v>1260</v>
      </c>
      <c r="I573" s="9">
        <v>1.7114E7</v>
      </c>
      <c r="J573" s="5" t="str">
        <f t="shared" ref="J573:K573" si="573">SUBSTITUTE(H573, ",", "")</f>
        <v>86</v>
      </c>
      <c r="K573" s="5" t="str">
        <f t="shared" si="573"/>
        <v>Rp17114000</v>
      </c>
      <c r="L573" s="5" t="str">
        <f t="shared" si="3"/>
        <v>17114000</v>
      </c>
    </row>
    <row r="574">
      <c r="A574" s="6" t="s">
        <v>1265</v>
      </c>
      <c r="B574" s="7" t="str">
        <f>HYPERLINK("https://shopee.co.id/Azarine-Vitamin-Lab-Series-Beauty-is-Fun-x-Nanda-Arsyinta-i.80036545.8848449285", "https://shopee.co.id/Azarine-Vitamin-Lab-Series-Beauty-is-Fun-x-Nanda-Arsyinta-i.80036545.8848449285")</f>
        <v>https://shopee.co.id/Azarine-Vitamin-Lab-Series-Beauty-is-Fun-x-Nanda-Arsyinta-i.80036545.8848449285</v>
      </c>
      <c r="C574" s="6" t="s">
        <v>233</v>
      </c>
      <c r="D574" s="6" t="s">
        <v>234</v>
      </c>
      <c r="E574" s="6" t="s">
        <v>12</v>
      </c>
      <c r="F574" s="6" t="s">
        <v>13</v>
      </c>
      <c r="G574" s="6" t="s">
        <v>115</v>
      </c>
      <c r="H574" s="8" t="s">
        <v>1266</v>
      </c>
      <c r="I574" s="9">
        <v>3.2809E7</v>
      </c>
      <c r="J574" s="5" t="str">
        <f t="shared" ref="J574:K574" si="574">SUBSTITUTE(H574, ",", "")</f>
        <v>85</v>
      </c>
      <c r="K574" s="5" t="str">
        <f t="shared" si="574"/>
        <v>Rp32809000</v>
      </c>
      <c r="L574" s="5" t="str">
        <f t="shared" si="3"/>
        <v>32809000</v>
      </c>
    </row>
    <row r="575">
      <c r="A575" s="6" t="s">
        <v>1267</v>
      </c>
      <c r="B575" s="7" t="str">
        <f>HYPERLINK("https://shopee.co.id/Solcare-Collagen-Serum-i.266902345.7363783609", "https://shopee.co.id/Solcare-Collagen-Serum-i.266902345.7363783609")</f>
        <v>https://shopee.co.id/Solcare-Collagen-Serum-i.266902345.7363783609</v>
      </c>
      <c r="C575" s="6" t="s">
        <v>910</v>
      </c>
      <c r="D575" s="6" t="s">
        <v>911</v>
      </c>
      <c r="E575" s="6" t="s">
        <v>12</v>
      </c>
      <c r="F575" s="6" t="s">
        <v>13</v>
      </c>
      <c r="G575" s="6" t="s">
        <v>241</v>
      </c>
      <c r="H575" s="8" t="s">
        <v>1266</v>
      </c>
      <c r="I575" s="9">
        <v>2.20608E7</v>
      </c>
      <c r="J575" s="5" t="str">
        <f t="shared" ref="J575:K575" si="575">SUBSTITUTE(H575, ",", "")</f>
        <v>85</v>
      </c>
      <c r="K575" s="5" t="str">
        <f t="shared" si="575"/>
        <v>Rp22060800</v>
      </c>
      <c r="L575" s="5" t="str">
        <f t="shared" si="3"/>
        <v>22060800</v>
      </c>
    </row>
    <row r="576">
      <c r="A576" s="6" t="s">
        <v>1268</v>
      </c>
      <c r="B576" s="7" t="str">
        <f>HYPERLINK("https://shopee.co.id/La-Roche-Posay-Care-Protect-Bundle-FREE-Kerastase--i.433144176.11349209739", "https://shopee.co.id/La-Roche-Posay-Care-Protect-Bundle-FREE-Kerastase--i.433144176.11349209739")</f>
        <v>https://shopee.co.id/La-Roche-Posay-Care-Protect-Bundle-FREE-Kerastase--i.433144176.11349209739</v>
      </c>
      <c r="C576" s="6" t="s">
        <v>147</v>
      </c>
      <c r="D576" s="6" t="s">
        <v>148</v>
      </c>
      <c r="E576" s="6" t="s">
        <v>12</v>
      </c>
      <c r="F576" s="6" t="s">
        <v>13</v>
      </c>
      <c r="G576" s="6" t="s">
        <v>61</v>
      </c>
      <c r="H576" s="8" t="s">
        <v>1269</v>
      </c>
      <c r="I576" s="9">
        <v>1.8286961E7</v>
      </c>
      <c r="J576" s="5" t="str">
        <f t="shared" ref="J576:K576" si="576">SUBSTITUTE(H576, ",", "")</f>
        <v>84</v>
      </c>
      <c r="K576" s="5" t="str">
        <f t="shared" si="576"/>
        <v>Rp18286961</v>
      </c>
      <c r="L576" s="5" t="str">
        <f t="shared" si="3"/>
        <v>18286961</v>
      </c>
    </row>
    <row r="577">
      <c r="A577" s="6" t="s">
        <v>1270</v>
      </c>
      <c r="B577" s="7" t="str">
        <f>HYPERLINK("https://shopee.co.id/SNP-Prep-Peptaronic-Serum-220ml-i.270965687.5757253748", "https://shopee.co.id/SNP-Prep-Peptaronic-Serum-220ml-i.270965687.5757253748")</f>
        <v>https://shopee.co.id/SNP-Prep-Peptaronic-Serum-220ml-i.270965687.5757253748</v>
      </c>
      <c r="C577" s="6" t="s">
        <v>565</v>
      </c>
      <c r="D577" s="6" t="s">
        <v>379</v>
      </c>
      <c r="E577" s="6" t="s">
        <v>12</v>
      </c>
      <c r="F577" s="6" t="s">
        <v>13</v>
      </c>
      <c r="G577" s="6" t="s">
        <v>380</v>
      </c>
      <c r="H577" s="8" t="s">
        <v>1269</v>
      </c>
      <c r="I577" s="9">
        <v>9156000.0</v>
      </c>
      <c r="J577" s="5" t="str">
        <f t="shared" ref="J577:K577" si="577">SUBSTITUTE(H577, ",", "")</f>
        <v>84</v>
      </c>
      <c r="K577" s="5" t="str">
        <f t="shared" si="577"/>
        <v>Rp9156000</v>
      </c>
      <c r="L577" s="5" t="str">
        <f t="shared" si="3"/>
        <v>9156000</v>
      </c>
    </row>
    <row r="578">
      <c r="A578" s="6" t="s">
        <v>1271</v>
      </c>
      <c r="B578" s="7" t="str">
        <f>HYPERLINK("https://shopee.co.id/White-Expert-Cerahkan-Ramadhan-2-i.63823668.11700471518", "https://shopee.co.id/White-Expert-Cerahkan-Ramadhan-2-i.63823668.11700471518")</f>
        <v>https://shopee.co.id/White-Expert-Cerahkan-Ramadhan-2-i.63823668.11700471518</v>
      </c>
      <c r="C578" s="6" t="s">
        <v>278</v>
      </c>
      <c r="D578" s="6" t="s">
        <v>279</v>
      </c>
      <c r="E578" s="6" t="s">
        <v>12</v>
      </c>
      <c r="F578" s="6" t="s">
        <v>13</v>
      </c>
      <c r="G578" s="6" t="s">
        <v>61</v>
      </c>
      <c r="H578" s="8" t="s">
        <v>1269</v>
      </c>
      <c r="I578" s="9">
        <v>6150000.0</v>
      </c>
      <c r="J578" s="5" t="str">
        <f t="shared" ref="J578:K578" si="578">SUBSTITUTE(H578, ",", "")</f>
        <v>84</v>
      </c>
      <c r="K578" s="5" t="str">
        <f t="shared" si="578"/>
        <v>Rp6150000</v>
      </c>
      <c r="L578" s="5" t="str">
        <f t="shared" si="3"/>
        <v>6150000</v>
      </c>
    </row>
    <row r="579">
      <c r="A579" s="6" t="s">
        <v>1272</v>
      </c>
      <c r="B579" s="7" t="str">
        <f>HYPERLINK("https://shopee.co.id/Serum-Acne-Fighter-15ml-Nadfaskin--i.3087844.4353121929", "https://shopee.co.id/Serum-Acne-Fighter-15ml-Nadfaskin--i.3087844.4353121929")</f>
        <v>https://shopee.co.id/Serum-Acne-Fighter-15ml-Nadfaskin--i.3087844.4353121929</v>
      </c>
      <c r="C579" s="6" t="s">
        <v>1157</v>
      </c>
      <c r="D579" s="6" t="s">
        <v>1158</v>
      </c>
      <c r="E579" s="6" t="s">
        <v>12</v>
      </c>
      <c r="F579" s="6" t="s">
        <v>13</v>
      </c>
      <c r="G579" s="6" t="s">
        <v>241</v>
      </c>
      <c r="H579" s="8" t="s">
        <v>1269</v>
      </c>
      <c r="I579" s="9">
        <v>1.6716E7</v>
      </c>
      <c r="J579" s="5" t="str">
        <f t="shared" ref="J579:K579" si="579">SUBSTITUTE(H579, ",", "")</f>
        <v>84</v>
      </c>
      <c r="K579" s="5" t="str">
        <f t="shared" si="579"/>
        <v>Rp16716000</v>
      </c>
      <c r="L579" s="5" t="str">
        <f t="shared" si="3"/>
        <v>16716000</v>
      </c>
    </row>
    <row r="580">
      <c r="A580" s="6" t="s">
        <v>1273</v>
      </c>
      <c r="B580" s="7" t="str">
        <f>HYPERLINK("https://shopee.co.id/Bio-Essence-BioWhite-Advanced-Whitening-Cleanser-100gr-Foam-Cleanser-i.63822287.1671468816", "https://shopee.co.id/Bio-Essence-BioWhite-Advanced-Whitening-Cleanser-100gr-Foam-Cleanser-i.63822287.1671468816")</f>
        <v>https://shopee.co.id/Bio-Essence-BioWhite-Advanced-Whitening-Cleanser-100gr-Foam-Cleanser-i.63822287.1671468816</v>
      </c>
      <c r="C580" s="6" t="s">
        <v>1254</v>
      </c>
      <c r="D580" s="6" t="s">
        <v>835</v>
      </c>
      <c r="E580" s="6" t="s">
        <v>12</v>
      </c>
      <c r="F580" s="6" t="s">
        <v>13</v>
      </c>
      <c r="G580" s="6" t="s">
        <v>61</v>
      </c>
      <c r="H580" s="8" t="s">
        <v>1274</v>
      </c>
      <c r="I580" s="9">
        <v>7430000.0</v>
      </c>
      <c r="J580" s="5" t="str">
        <f t="shared" ref="J580:K580" si="580">SUBSTITUTE(H580, ",", "")</f>
        <v>83</v>
      </c>
      <c r="K580" s="5" t="str">
        <f t="shared" si="580"/>
        <v>Rp7430000</v>
      </c>
      <c r="L580" s="5" t="str">
        <f t="shared" si="3"/>
        <v>7430000</v>
      </c>
    </row>
    <row r="581">
      <c r="A581" s="6" t="s">
        <v>1275</v>
      </c>
      <c r="B581" s="7" t="str">
        <f>HYPERLINK("https://shopee.co.id/MISSHA-MINIATUR-KIT-5X-GENERATION-FTE-AMPOULE-AMPOULE-CREAM--i.37557990.8491204595", "https://shopee.co.id/MISSHA-MINIATUR-KIT-5X-GENERATION-FTE-AMPOULE-AMPOULE-CREAM--i.37557990.8491204595")</f>
        <v>https://shopee.co.id/MISSHA-MINIATUR-KIT-5X-GENERATION-FTE-AMPOULE-AMPOULE-CREAM--i.37557990.8491204595</v>
      </c>
      <c r="C581" s="6" t="s">
        <v>695</v>
      </c>
      <c r="D581" s="6" t="s">
        <v>696</v>
      </c>
      <c r="E581" s="6" t="s">
        <v>12</v>
      </c>
      <c r="F581" s="6" t="s">
        <v>13</v>
      </c>
      <c r="G581" s="6" t="s">
        <v>80</v>
      </c>
      <c r="H581" s="8" t="s">
        <v>1274</v>
      </c>
      <c r="I581" s="9">
        <v>3.30057E7</v>
      </c>
      <c r="J581" s="5" t="str">
        <f t="shared" ref="J581:K581" si="581">SUBSTITUTE(H581, ",", "")</f>
        <v>83</v>
      </c>
      <c r="K581" s="5" t="str">
        <f t="shared" si="581"/>
        <v>Rp33005700</v>
      </c>
      <c r="L581" s="5" t="str">
        <f t="shared" si="3"/>
        <v>33005700</v>
      </c>
    </row>
    <row r="582">
      <c r="A582" s="6" t="s">
        <v>1276</v>
      </c>
      <c r="B582" s="7" t="str">
        <f>HYPERLINK("https://shopee.co.id/BIO-BEAUTY-LAB-Phyto-Power-Essence-50ml-i.68111.9259857792", "https://shopee.co.id/BIO-BEAUTY-LAB-Phyto-Power-Essence-50ml-i.68111.9259857792")</f>
        <v>https://shopee.co.id/BIO-BEAUTY-LAB-Phyto-Power-Essence-50ml-i.68111.9259857792</v>
      </c>
      <c r="C582" s="6" t="s">
        <v>120</v>
      </c>
      <c r="D582" s="6" t="s">
        <v>441</v>
      </c>
      <c r="E582" s="6" t="s">
        <v>12</v>
      </c>
      <c r="F582" s="6" t="s">
        <v>13</v>
      </c>
      <c r="G582" s="6" t="s">
        <v>130</v>
      </c>
      <c r="H582" s="8" t="s">
        <v>1277</v>
      </c>
      <c r="I582" s="9">
        <v>1.03689E7</v>
      </c>
      <c r="J582" s="5" t="str">
        <f t="shared" ref="J582:K582" si="582">SUBSTITUTE(H582, ",", "")</f>
        <v>82</v>
      </c>
      <c r="K582" s="5" t="str">
        <f t="shared" si="582"/>
        <v>Rp10368900</v>
      </c>
      <c r="L582" s="5" t="str">
        <f t="shared" si="3"/>
        <v>10368900</v>
      </c>
    </row>
    <row r="583">
      <c r="A583" s="6" t="s">
        <v>1278</v>
      </c>
      <c r="B583" s="7" t="str">
        <f>HYPERLINK("https://shopee.co.id/Safi-Age-Defy-Youth-Elixir-Twinpack-Special-i.63823668.8538788920", "https://shopee.co.id/Safi-Age-Defy-Youth-Elixir-Twinpack-Special-i.63823668.8538788920")</f>
        <v>https://shopee.co.id/Safi-Age-Defy-Youth-Elixir-Twinpack-Special-i.63823668.8538788920</v>
      </c>
      <c r="C583" s="6" t="s">
        <v>278</v>
      </c>
      <c r="D583" s="6" t="s">
        <v>279</v>
      </c>
      <c r="E583" s="6" t="s">
        <v>12</v>
      </c>
      <c r="F583" s="6" t="s">
        <v>13</v>
      </c>
      <c r="G583" s="6" t="s">
        <v>61</v>
      </c>
      <c r="H583" s="8" t="s">
        <v>1277</v>
      </c>
      <c r="I583" s="9">
        <v>2.30828E7</v>
      </c>
      <c r="J583" s="5" t="str">
        <f t="shared" ref="J583:K583" si="583">SUBSTITUTE(H583, ",", "")</f>
        <v>82</v>
      </c>
      <c r="K583" s="5" t="str">
        <f t="shared" si="583"/>
        <v>Rp23082800</v>
      </c>
      <c r="L583" s="5" t="str">
        <f t="shared" si="3"/>
        <v>23082800</v>
      </c>
    </row>
    <row r="584">
      <c r="A584" s="6" t="s">
        <v>1279</v>
      </c>
      <c r="B584" s="7" t="str">
        <f>HYPERLINK("https://shopee.co.id/L-Oreal-Paris-Revitalift-Crystal-Micro-Essence-Serum-Mask-Skin-Care-Pack-of-3--i.62579622.4639506181", "https://shopee.co.id/L-Oreal-Paris-Revitalift-Crystal-Micro-Essence-Serum-Mask-Skin-Care-Pack-of-3--i.62579622.4639506181")</f>
        <v>https://shopee.co.id/L-Oreal-Paris-Revitalift-Crystal-Micro-Essence-Serum-Mask-Skin-Care-Pack-of-3--i.62579622.4639506181</v>
      </c>
      <c r="C584" s="6" t="s">
        <v>105</v>
      </c>
      <c r="D584" s="6" t="s">
        <v>106</v>
      </c>
      <c r="E584" s="6" t="s">
        <v>12</v>
      </c>
      <c r="F584" s="6" t="s">
        <v>13</v>
      </c>
      <c r="G584" s="6" t="s">
        <v>61</v>
      </c>
      <c r="H584" s="8" t="s">
        <v>1277</v>
      </c>
      <c r="I584" s="9">
        <v>5133245.0</v>
      </c>
      <c r="J584" s="5" t="str">
        <f t="shared" ref="J584:K584" si="584">SUBSTITUTE(H584, ",", "")</f>
        <v>82</v>
      </c>
      <c r="K584" s="5" t="str">
        <f t="shared" si="584"/>
        <v>Rp5133245</v>
      </c>
      <c r="L584" s="5" t="str">
        <f t="shared" si="3"/>
        <v>5133245</v>
      </c>
    </row>
    <row r="585">
      <c r="A585" s="6" t="s">
        <v>1280</v>
      </c>
      <c r="B585" s="7" t="str">
        <f>HYPERLINK("https://shopee.co.id/-The-Face-Shop-Pomegranate-And-Collagen-Lifting-Serum-80ml-Original-i.34671748.7133470001", "https://shopee.co.id/-The-Face-Shop-Pomegranate-And-Collagen-Lifting-Serum-80ml-Original-i.34671748.7133470001")</f>
        <v>https://shopee.co.id/-The-Face-Shop-Pomegranate-And-Collagen-Lifting-Serum-80ml-Original-i.34671748.7133470001</v>
      </c>
      <c r="C585" s="6" t="s">
        <v>1217</v>
      </c>
      <c r="D585" s="6" t="s">
        <v>1218</v>
      </c>
      <c r="E585" s="6" t="s">
        <v>12</v>
      </c>
      <c r="F585" s="6" t="s">
        <v>13</v>
      </c>
      <c r="G585" s="6" t="s">
        <v>61</v>
      </c>
      <c r="H585" s="8" t="s">
        <v>1277</v>
      </c>
      <c r="I585" s="9">
        <v>1.1525E7</v>
      </c>
      <c r="J585" s="5" t="str">
        <f t="shared" ref="J585:K585" si="585">SUBSTITUTE(H585, ",", "")</f>
        <v>82</v>
      </c>
      <c r="K585" s="5" t="str">
        <f t="shared" si="585"/>
        <v>Rp11525000</v>
      </c>
      <c r="L585" s="5" t="str">
        <f t="shared" si="3"/>
        <v>11525000</v>
      </c>
    </row>
    <row r="586">
      <c r="A586" s="6" t="s">
        <v>1281</v>
      </c>
      <c r="B586" s="7" t="str">
        <f>HYPERLINK("https://shopee.co.id/ERHA-X-AQUA-Re-Fresh-Hydrating-Serum-i.129153987.9912878730", "https://shopee.co.id/ERHA-X-AQUA-Re-Fresh-Hydrating-Serum-i.129153987.9912878730")</f>
        <v>https://shopee.co.id/ERHA-X-AQUA-Re-Fresh-Hydrating-Serum-i.129153987.9912878730</v>
      </c>
      <c r="C586" s="6" t="s">
        <v>181</v>
      </c>
      <c r="D586" s="6" t="s">
        <v>182</v>
      </c>
      <c r="E586" s="6" t="s">
        <v>12</v>
      </c>
      <c r="F586" s="6" t="s">
        <v>13</v>
      </c>
      <c r="G586" s="6" t="s">
        <v>61</v>
      </c>
      <c r="H586" s="8" t="s">
        <v>1277</v>
      </c>
      <c r="I586" s="9">
        <v>1.13189E7</v>
      </c>
      <c r="J586" s="5" t="str">
        <f t="shared" ref="J586:K586" si="586">SUBSTITUTE(H586, ",", "")</f>
        <v>82</v>
      </c>
      <c r="K586" s="5" t="str">
        <f t="shared" si="586"/>
        <v>Rp11318900</v>
      </c>
      <c r="L586" s="5" t="str">
        <f t="shared" si="3"/>
        <v>11318900</v>
      </c>
    </row>
    <row r="587">
      <c r="A587" s="6" t="s">
        <v>1282</v>
      </c>
      <c r="B587" s="7" t="str">
        <f>HYPERLINK("https://shopee.co.id/Bioessence-Bio-White-Full-Set-Regime-i.63822287.5532965919", "https://shopee.co.id/Bioessence-Bio-White-Full-Set-Regime-i.63822287.5532965919")</f>
        <v>https://shopee.co.id/Bioessence-Bio-White-Full-Set-Regime-i.63822287.5532965919</v>
      </c>
      <c r="C587" s="6" t="s">
        <v>1254</v>
      </c>
      <c r="D587" s="6" t="s">
        <v>835</v>
      </c>
      <c r="E587" s="6" t="s">
        <v>12</v>
      </c>
      <c r="F587" s="6" t="s">
        <v>13</v>
      </c>
      <c r="G587" s="6" t="s">
        <v>61</v>
      </c>
      <c r="H587" s="8" t="s">
        <v>1283</v>
      </c>
      <c r="I587" s="9">
        <v>4860000.0</v>
      </c>
      <c r="J587" s="5" t="str">
        <f t="shared" ref="J587:K587" si="587">SUBSTITUTE(H587, ",", "")</f>
        <v>81</v>
      </c>
      <c r="K587" s="5" t="str">
        <f t="shared" si="587"/>
        <v>Rp4860000</v>
      </c>
      <c r="L587" s="5" t="str">
        <f t="shared" si="3"/>
        <v>4860000</v>
      </c>
    </row>
    <row r="588">
      <c r="A588" s="6" t="s">
        <v>1284</v>
      </c>
      <c r="B588" s="7" t="str">
        <f>HYPERLINK("https://shopee.co.id/Lacoco-Dark-Spot-Essence-12ml-i.50948181.9532933396", "https://shopee.co.id/Lacoco-Dark-Spot-Essence-12ml-i.50948181.9532933396")</f>
        <v>https://shopee.co.id/Lacoco-Dark-Spot-Essence-12ml-i.50948181.9532933396</v>
      </c>
      <c r="C588" s="6" t="s">
        <v>501</v>
      </c>
      <c r="D588" s="6" t="s">
        <v>1129</v>
      </c>
      <c r="E588" s="6" t="s">
        <v>12</v>
      </c>
      <c r="F588" s="6" t="s">
        <v>13</v>
      </c>
      <c r="G588" s="6" t="s">
        <v>1130</v>
      </c>
      <c r="H588" s="8" t="s">
        <v>1283</v>
      </c>
      <c r="I588" s="9">
        <v>1304000.0</v>
      </c>
      <c r="J588" s="5" t="str">
        <f t="shared" ref="J588:K588" si="588">SUBSTITUTE(H588, ",", "")</f>
        <v>81</v>
      </c>
      <c r="K588" s="5" t="str">
        <f t="shared" si="588"/>
        <v>Rp1304000</v>
      </c>
      <c r="L588" s="5" t="str">
        <f t="shared" si="3"/>
        <v>1304000</v>
      </c>
    </row>
    <row r="589">
      <c r="A589" s="6" t="s">
        <v>1285</v>
      </c>
      <c r="B589" s="7" t="str">
        <f>HYPERLINK("https://shopee.co.id/Oh-My-Skin-Bright-Glow-SERUM-Ohmyskin--i.226760579.9716782190", "https://shopee.co.id/Oh-My-Skin-Bright-Glow-SERUM-Ohmyskin--i.226760579.9716782190")</f>
        <v>https://shopee.co.id/Oh-My-Skin-Bright-Glow-SERUM-Ohmyskin--i.226760579.9716782190</v>
      </c>
      <c r="C589" s="6" t="s">
        <v>1286</v>
      </c>
      <c r="D589" s="6" t="s">
        <v>673</v>
      </c>
      <c r="E589" s="6" t="s">
        <v>12</v>
      </c>
      <c r="F589" s="6" t="s">
        <v>13</v>
      </c>
      <c r="G589" s="6" t="s">
        <v>674</v>
      </c>
      <c r="H589" s="8" t="s">
        <v>1283</v>
      </c>
      <c r="I589" s="9">
        <v>1.215E7</v>
      </c>
      <c r="J589" s="5" t="str">
        <f t="shared" ref="J589:K589" si="589">SUBSTITUTE(H589, ",", "")</f>
        <v>81</v>
      </c>
      <c r="K589" s="5" t="str">
        <f t="shared" si="589"/>
        <v>Rp12150000</v>
      </c>
      <c r="L589" s="5" t="str">
        <f t="shared" si="3"/>
        <v>12150000</v>
      </c>
    </row>
    <row r="590">
      <c r="A590" s="6" t="s">
        <v>1287</v>
      </c>
      <c r="B590" s="7" t="str">
        <f>HYPERLINK("https://shopee.co.id/Laneige-Essential-Balancing-Emulsion-Light-120ml-OL21--i.52917348.1447290661", "https://shopee.co.id/Laneige-Essential-Balancing-Emulsion-Light-120ml-OL21--i.52917348.1447290661")</f>
        <v>https://shopee.co.id/Laneige-Essential-Balancing-Emulsion-Light-120ml-OL21--i.52917348.1447290661</v>
      </c>
      <c r="C590" s="6" t="s">
        <v>364</v>
      </c>
      <c r="D590" s="6" t="s">
        <v>365</v>
      </c>
      <c r="E590" s="6" t="s">
        <v>12</v>
      </c>
      <c r="F590" s="6" t="s">
        <v>13</v>
      </c>
      <c r="G590" s="6" t="s">
        <v>61</v>
      </c>
      <c r="H590" s="8" t="s">
        <v>1288</v>
      </c>
      <c r="I590" s="9">
        <v>7017650.0</v>
      </c>
      <c r="J590" s="5" t="str">
        <f t="shared" ref="J590:K590" si="590">SUBSTITUTE(H590, ",", "")</f>
        <v>80</v>
      </c>
      <c r="K590" s="5" t="str">
        <f t="shared" si="590"/>
        <v>Rp7017650</v>
      </c>
      <c r="L590" s="5" t="str">
        <f t="shared" si="3"/>
        <v>7017650</v>
      </c>
    </row>
    <row r="591">
      <c r="A591" s="6" t="s">
        <v>1289</v>
      </c>
      <c r="B591" s="7" t="str">
        <f>HYPERLINK("https://shopee.co.id/KF-Skin-Serum-Dermaplus-Vit-C-i.298365554.3652175731", "https://shopee.co.id/KF-Skin-Serum-Dermaplus-Vit-C-i.298365554.3652175731")</f>
        <v>https://shopee.co.id/KF-Skin-Serum-Dermaplus-Vit-C-i.298365554.3652175731</v>
      </c>
      <c r="C591" s="6" t="s">
        <v>1290</v>
      </c>
      <c r="D591" s="6" t="s">
        <v>1291</v>
      </c>
      <c r="E591" s="6" t="s">
        <v>12</v>
      </c>
      <c r="F591" s="6" t="s">
        <v>13</v>
      </c>
      <c r="G591" s="6" t="s">
        <v>1292</v>
      </c>
      <c r="H591" s="8" t="s">
        <v>1288</v>
      </c>
      <c r="I591" s="9">
        <v>3360000.0</v>
      </c>
      <c r="J591" s="5" t="str">
        <f t="shared" ref="J591:K591" si="591">SUBSTITUTE(H591, ",", "")</f>
        <v>80</v>
      </c>
      <c r="K591" s="5" t="str">
        <f t="shared" si="591"/>
        <v>Rp3360000</v>
      </c>
      <c r="L591" s="5" t="str">
        <f t="shared" si="3"/>
        <v>3360000</v>
      </c>
    </row>
    <row r="592">
      <c r="A592" s="6" t="s">
        <v>1293</v>
      </c>
      <c r="B592" s="7" t="str">
        <f>HYPERLINK("https://shopee.co.id/Mamonde-Vital-Vitamin-Essence-100ml-Buy-1-Get-1-i.160417197.11846625196", "https://shopee.co.id/Mamonde-Vital-Vitamin-Essence-100ml-Buy-1-Get-1-i.160417197.11846625196")</f>
        <v>https://shopee.co.id/Mamonde-Vital-Vitamin-Essence-100ml-Buy-1-Get-1-i.160417197.11846625196</v>
      </c>
      <c r="C592" s="6" t="s">
        <v>447</v>
      </c>
      <c r="D592" s="6" t="s">
        <v>448</v>
      </c>
      <c r="E592" s="6" t="s">
        <v>12</v>
      </c>
      <c r="F592" s="6" t="s">
        <v>13</v>
      </c>
      <c r="G592" s="6" t="s">
        <v>61</v>
      </c>
      <c r="H592" s="8" t="s">
        <v>1288</v>
      </c>
      <c r="I592" s="9">
        <v>7706160.0</v>
      </c>
      <c r="J592" s="5" t="str">
        <f t="shared" ref="J592:K592" si="592">SUBSTITUTE(H592, ",", "")</f>
        <v>80</v>
      </c>
      <c r="K592" s="5" t="str">
        <f t="shared" si="592"/>
        <v>Rp7706160</v>
      </c>
      <c r="L592" s="5" t="str">
        <f t="shared" si="3"/>
        <v>7706160</v>
      </c>
    </row>
    <row r="593">
      <c r="A593" s="6" t="s">
        <v>1294</v>
      </c>
      <c r="B593" s="7" t="str">
        <f>HYPERLINK("https://shopee.co.id/Langsre-Good-Times-AHA-ed-Serum-30ml-i.24099389.6560082680", "https://shopee.co.id/Langsre-Good-Times-AHA-ed-Serum-30ml-i.24099389.6560082680")</f>
        <v>https://shopee.co.id/Langsre-Good-Times-AHA-ed-Serum-30ml-i.24099389.6560082680</v>
      </c>
      <c r="C593" s="6" t="s">
        <v>1295</v>
      </c>
      <c r="D593" s="6" t="s">
        <v>1296</v>
      </c>
      <c r="E593" s="6" t="s">
        <v>12</v>
      </c>
      <c r="F593" s="6" t="s">
        <v>13</v>
      </c>
      <c r="G593" s="6" t="s">
        <v>532</v>
      </c>
      <c r="H593" s="8" t="s">
        <v>1297</v>
      </c>
      <c r="I593" s="9">
        <v>1.00067E7</v>
      </c>
      <c r="J593" s="5" t="str">
        <f t="shared" ref="J593:K593" si="593">SUBSTITUTE(H593, ",", "")</f>
        <v>79</v>
      </c>
      <c r="K593" s="5" t="str">
        <f t="shared" si="593"/>
        <v>Rp10006700</v>
      </c>
      <c r="L593" s="5" t="str">
        <f t="shared" si="3"/>
        <v>10006700</v>
      </c>
    </row>
    <row r="594">
      <c r="A594" s="6" t="s">
        <v>1298</v>
      </c>
      <c r="B594" s="7" t="str">
        <f>HYPERLINK("https://shopee.co.id/The-Aubree-Hyaluron-Hydrating-Serum-30ml-i.495290309.10142422275", "https://shopee.co.id/The-Aubree-Hyaluron-Hydrating-Serum-30ml-i.495290309.10142422275")</f>
        <v>https://shopee.co.id/The-Aubree-Hyaluron-Hydrating-Serum-30ml-i.495290309.10142422275</v>
      </c>
      <c r="C594" s="6" t="s">
        <v>772</v>
      </c>
      <c r="D594" s="6" t="s">
        <v>773</v>
      </c>
      <c r="E594" s="6" t="s">
        <v>12</v>
      </c>
      <c r="F594" s="6" t="s">
        <v>13</v>
      </c>
      <c r="G594" s="6" t="s">
        <v>241</v>
      </c>
      <c r="H594" s="8" t="s">
        <v>1297</v>
      </c>
      <c r="I594" s="9">
        <v>5135000.0</v>
      </c>
      <c r="J594" s="5" t="str">
        <f t="shared" ref="J594:K594" si="594">SUBSTITUTE(H594, ",", "")</f>
        <v>79</v>
      </c>
      <c r="K594" s="5" t="str">
        <f t="shared" si="594"/>
        <v>Rp5135000</v>
      </c>
      <c r="L594" s="5" t="str">
        <f t="shared" si="3"/>
        <v>5135000</v>
      </c>
    </row>
    <row r="595">
      <c r="A595" s="6" t="s">
        <v>1299</v>
      </c>
      <c r="B595" s="7" t="str">
        <f>HYPERLINK("https://shopee.co.id/Datglow-Skin-Honey-Boswellia-Skinpair-Serum-Acne-Serum--i.19578272.10408877908", "https://shopee.co.id/Datglow-Skin-Honey-Boswellia-Skinpair-Serum-Acne-Serum--i.19578272.10408877908")</f>
        <v>https://shopee.co.id/Datglow-Skin-Honey-Boswellia-Skinpair-Serum-Acne-Serum--i.19578272.10408877908</v>
      </c>
      <c r="C595" s="6" t="s">
        <v>1300</v>
      </c>
      <c r="D595" s="6" t="s">
        <v>1301</v>
      </c>
      <c r="E595" s="6" t="s">
        <v>12</v>
      </c>
      <c r="F595" s="6" t="s">
        <v>13</v>
      </c>
      <c r="G595" s="6" t="s">
        <v>98</v>
      </c>
      <c r="H595" s="8" t="s">
        <v>1297</v>
      </c>
      <c r="I595" s="9">
        <v>1.2245E7</v>
      </c>
      <c r="J595" s="5" t="str">
        <f t="shared" ref="J595:K595" si="595">SUBSTITUTE(H595, ",", "")</f>
        <v>79</v>
      </c>
      <c r="K595" s="5" t="str">
        <f t="shared" si="595"/>
        <v>Rp12245000</v>
      </c>
      <c r="L595" s="5" t="str">
        <f t="shared" si="3"/>
        <v>12245000</v>
      </c>
    </row>
    <row r="596">
      <c r="A596" s="6" t="s">
        <v>1302</v>
      </c>
      <c r="B596" s="7" t="str">
        <f>HYPERLINK("https://shopee.co.id/Laneige-Glowy-Makeup-Serum-30ml-OL21--i.52917348.2916611610", "https://shopee.co.id/Laneige-Glowy-Makeup-Serum-30ml-OL21--i.52917348.2916611610")</f>
        <v>https://shopee.co.id/Laneige-Glowy-Makeup-Serum-30ml-OL21--i.52917348.2916611610</v>
      </c>
      <c r="C596" s="6" t="s">
        <v>364</v>
      </c>
      <c r="D596" s="6" t="s">
        <v>365</v>
      </c>
      <c r="E596" s="6" t="s">
        <v>12</v>
      </c>
      <c r="F596" s="6" t="s">
        <v>13</v>
      </c>
      <c r="G596" s="6" t="s">
        <v>61</v>
      </c>
      <c r="H596" s="8" t="s">
        <v>1303</v>
      </c>
      <c r="I596" s="9">
        <v>1365000.0</v>
      </c>
      <c r="J596" s="5" t="str">
        <f t="shared" ref="J596:K596" si="596">SUBSTITUTE(H596, ",", "")</f>
        <v>78</v>
      </c>
      <c r="K596" s="5" t="str">
        <f t="shared" si="596"/>
        <v>Rp1365000</v>
      </c>
      <c r="L596" s="5" t="str">
        <f t="shared" si="3"/>
        <v>1365000</v>
      </c>
    </row>
    <row r="597">
      <c r="A597" s="6" t="s">
        <v>1304</v>
      </c>
      <c r="B597" s="7" t="str">
        <f>HYPERLINK("https://shopee.co.id/MSBB-Somethinc-5-Niacinamide-Moisture-Sabi-Beet-Serum-20Ml-i.288588702.5078176989", "https://shopee.co.id/MSBB-Somethinc-5-Niacinamide-Moisture-Sabi-Beet-Serum-20Ml-i.288588702.5078176989")</f>
        <v>https://shopee.co.id/MSBB-Somethinc-5-Niacinamide-Moisture-Sabi-Beet-Serum-20Ml-i.288588702.5078176989</v>
      </c>
      <c r="C597" s="6" t="s">
        <v>45</v>
      </c>
      <c r="D597" s="6" t="s">
        <v>79</v>
      </c>
      <c r="E597" s="6" t="s">
        <v>12</v>
      </c>
      <c r="F597" s="6" t="s">
        <v>13</v>
      </c>
      <c r="G597" s="6" t="s">
        <v>80</v>
      </c>
      <c r="H597" s="8" t="s">
        <v>1303</v>
      </c>
      <c r="I597" s="9">
        <v>1.48682E7</v>
      </c>
      <c r="J597" s="5" t="str">
        <f t="shared" ref="J597:K597" si="597">SUBSTITUTE(H597, ",", "")</f>
        <v>78</v>
      </c>
      <c r="K597" s="5" t="str">
        <f t="shared" si="597"/>
        <v>Rp14868200</v>
      </c>
      <c r="L597" s="5" t="str">
        <f t="shared" si="3"/>
        <v>14868200</v>
      </c>
    </row>
    <row r="598">
      <c r="A598" s="6" t="s">
        <v>1305</v>
      </c>
      <c r="B598" s="7" t="str">
        <f>HYPERLINK("https://shopee.co.id/Olay-White-Radiance-Niacinamide-Hyaluronic-Super-Serum-Brightening-Skincare-30ML-i.11487927.6779004486", "https://shopee.co.id/Olay-White-Radiance-Niacinamide-Hyaluronic-Super-Serum-Brightening-Skincare-30ML-i.11487927.6779004486")</f>
        <v>https://shopee.co.id/Olay-White-Radiance-Niacinamide-Hyaluronic-Super-Serum-Brightening-Skincare-30ML-i.11487927.6779004486</v>
      </c>
      <c r="C598" s="6" t="s">
        <v>317</v>
      </c>
      <c r="D598" s="6" t="s">
        <v>318</v>
      </c>
      <c r="E598" s="6" t="s">
        <v>12</v>
      </c>
      <c r="F598" s="6" t="s">
        <v>13</v>
      </c>
      <c r="G598" s="6" t="s">
        <v>296</v>
      </c>
      <c r="H598" s="8" t="s">
        <v>1306</v>
      </c>
      <c r="I598" s="9">
        <v>1.15325E7</v>
      </c>
      <c r="J598" s="5" t="str">
        <f t="shared" ref="J598:K598" si="598">SUBSTITUTE(H598, ",", "")</f>
        <v>77</v>
      </c>
      <c r="K598" s="5" t="str">
        <f t="shared" si="598"/>
        <v>Rp11532500</v>
      </c>
      <c r="L598" s="5" t="str">
        <f t="shared" si="3"/>
        <v>11532500</v>
      </c>
    </row>
    <row r="599">
      <c r="A599" s="6" t="s">
        <v>1307</v>
      </c>
      <c r="B599" s="7" t="str">
        <f>HYPERLINK("https://shopee.co.id/-Bundle-Olay-White-Radiance-Niacinamide-Vit-C-30-ml-Hyaluronic-30-ml-Super-Serum-i.11487927.8515829681", "https://shopee.co.id/-Bundle-Olay-White-Radiance-Niacinamide-Vit-C-30-ml-Hyaluronic-30-ml-Super-Serum-i.11487927.8515829681")</f>
        <v>https://shopee.co.id/-Bundle-Olay-White-Radiance-Niacinamide-Vit-C-30-ml-Hyaluronic-30-ml-Super-Serum-i.11487927.8515829681</v>
      </c>
      <c r="C599" s="6" t="s">
        <v>317</v>
      </c>
      <c r="D599" s="6" t="s">
        <v>318</v>
      </c>
      <c r="E599" s="6" t="s">
        <v>12</v>
      </c>
      <c r="F599" s="6" t="s">
        <v>13</v>
      </c>
      <c r="G599" s="6" t="s">
        <v>296</v>
      </c>
      <c r="H599" s="8" t="s">
        <v>1306</v>
      </c>
      <c r="I599" s="9">
        <v>5859000.0</v>
      </c>
      <c r="J599" s="5" t="str">
        <f t="shared" ref="J599:K599" si="599">SUBSTITUTE(H599, ",", "")</f>
        <v>77</v>
      </c>
      <c r="K599" s="5" t="str">
        <f t="shared" si="599"/>
        <v>Rp5859000</v>
      </c>
      <c r="L599" s="5" t="str">
        <f t="shared" si="3"/>
        <v>5859000</v>
      </c>
    </row>
    <row r="600">
      <c r="A600" s="6" t="s">
        <v>1308</v>
      </c>
      <c r="B600" s="7" t="str">
        <f>HYPERLINK("https://shopee.co.id/Nourish-Beauty-Care-Wrinkle-Remover-Serum-30-mL-i.207650136.4212991652", "https://shopee.co.id/Nourish-Beauty-Care-Wrinkle-Remover-Serum-30-mL-i.207650136.4212991652")</f>
        <v>https://shopee.co.id/Nourish-Beauty-Care-Wrinkle-Remover-Serum-30-mL-i.207650136.4212991652</v>
      </c>
      <c r="C600" s="6" t="s">
        <v>1309</v>
      </c>
      <c r="D600" s="6" t="s">
        <v>1117</v>
      </c>
      <c r="E600" s="6" t="s">
        <v>12</v>
      </c>
      <c r="F600" s="6" t="s">
        <v>13</v>
      </c>
      <c r="G600" s="6" t="s">
        <v>21</v>
      </c>
      <c r="H600" s="8" t="s">
        <v>1306</v>
      </c>
      <c r="I600" s="9">
        <v>5277800.0</v>
      </c>
      <c r="J600" s="5" t="str">
        <f t="shared" ref="J600:K600" si="600">SUBSTITUTE(H600, ",", "")</f>
        <v>77</v>
      </c>
      <c r="K600" s="5" t="str">
        <f t="shared" si="600"/>
        <v>Rp5277800</v>
      </c>
      <c r="L600" s="5" t="str">
        <f t="shared" si="3"/>
        <v>5277800</v>
      </c>
    </row>
    <row r="601">
      <c r="A601" s="6" t="s">
        <v>1310</v>
      </c>
      <c r="B601" s="7" t="str">
        <f>HYPERLINK("https://shopee.co.id/Olay-Powerful-Duo-Pencerah-Whip-Anti-Aging-Krim-Pelembab-Essence-Wajah-i.11487927.3653192684", "https://shopee.co.id/Olay-Powerful-Duo-Pencerah-Whip-Anti-Aging-Krim-Pelembab-Essence-Wajah-i.11487927.3653192684")</f>
        <v>https://shopee.co.id/Olay-Powerful-Duo-Pencerah-Whip-Anti-Aging-Krim-Pelembab-Essence-Wajah-i.11487927.3653192684</v>
      </c>
      <c r="C601" s="6" t="s">
        <v>317</v>
      </c>
      <c r="D601" s="6" t="s">
        <v>318</v>
      </c>
      <c r="E601" s="6" t="s">
        <v>12</v>
      </c>
      <c r="F601" s="6" t="s">
        <v>13</v>
      </c>
      <c r="G601" s="6" t="s">
        <v>296</v>
      </c>
      <c r="H601" s="8" t="s">
        <v>1306</v>
      </c>
      <c r="I601" s="9">
        <v>1854000.0</v>
      </c>
      <c r="J601" s="5" t="str">
        <f t="shared" ref="J601:K601" si="601">SUBSTITUTE(H601, ",", "")</f>
        <v>77</v>
      </c>
      <c r="K601" s="5" t="str">
        <f t="shared" si="601"/>
        <v>Rp1854000</v>
      </c>
      <c r="L601" s="5" t="str">
        <f t="shared" si="3"/>
        <v>1854000</v>
      </c>
    </row>
    <row r="602">
      <c r="A602" s="6" t="s">
        <v>1311</v>
      </c>
      <c r="B602" s="7" t="str">
        <f>HYPERLINK("https://shopee.co.id/THANA-Orchid-Radiant-Glow-Ampoule-i.313062064.5954487932", "https://shopee.co.id/THANA-Orchid-Radiant-Glow-Ampoule-i.313062064.5954487932")</f>
        <v>https://shopee.co.id/THANA-Orchid-Radiant-Glow-Ampoule-i.313062064.5954487932</v>
      </c>
      <c r="C602" s="6" t="s">
        <v>1312</v>
      </c>
      <c r="D602" s="6" t="s">
        <v>1313</v>
      </c>
      <c r="E602" s="6" t="s">
        <v>12</v>
      </c>
      <c r="F602" s="6" t="s">
        <v>13</v>
      </c>
      <c r="G602" s="6" t="s">
        <v>1314</v>
      </c>
      <c r="H602" s="8" t="s">
        <v>1306</v>
      </c>
      <c r="I602" s="9">
        <v>2.36159E7</v>
      </c>
      <c r="J602" s="5" t="str">
        <f t="shared" ref="J602:K602" si="602">SUBSTITUTE(H602, ",", "")</f>
        <v>77</v>
      </c>
      <c r="K602" s="5" t="str">
        <f t="shared" si="602"/>
        <v>Rp23615900</v>
      </c>
      <c r="L602" s="5" t="str">
        <f t="shared" si="3"/>
        <v>23615900</v>
      </c>
    </row>
    <row r="603">
      <c r="A603" s="6" t="s">
        <v>1315</v>
      </c>
      <c r="B603" s="7" t="str">
        <f>HYPERLINK("https://shopee.co.id/Somethinc-Niacinamide-Moisture-Sabi-Beet-Serum-i.10689.4378205724", "https://shopee.co.id/Somethinc-Niacinamide-Moisture-Sabi-Beet-Serum-i.10689.4378205724")</f>
        <v>https://shopee.co.id/Somethinc-Niacinamide-Moisture-Sabi-Beet-Serum-i.10689.4378205724</v>
      </c>
      <c r="C603" s="6" t="s">
        <v>45</v>
      </c>
      <c r="D603" s="6" t="s">
        <v>745</v>
      </c>
      <c r="E603" s="6" t="s">
        <v>12</v>
      </c>
      <c r="F603" s="6" t="s">
        <v>13</v>
      </c>
      <c r="G603" s="6" t="s">
        <v>61</v>
      </c>
      <c r="H603" s="8" t="s">
        <v>1306</v>
      </c>
      <c r="I603" s="9">
        <v>1017000.0</v>
      </c>
      <c r="J603" s="5" t="str">
        <f t="shared" ref="J603:K603" si="603">SUBSTITUTE(H603, ",", "")</f>
        <v>77</v>
      </c>
      <c r="K603" s="5" t="str">
        <f t="shared" si="603"/>
        <v>Rp1017000</v>
      </c>
      <c r="L603" s="5" t="str">
        <f t="shared" si="3"/>
        <v>1017000</v>
      </c>
    </row>
    <row r="604">
      <c r="A604" s="6" t="s">
        <v>1316</v>
      </c>
      <c r="B604" s="7" t="str">
        <f>HYPERLINK("https://shopee.co.id/PURIVERA-MYSTERY-BOX-Special-Package-for-Puriteams-in-SAVETEMBER-CERIA-i.43724442.10846536499", "https://shopee.co.id/PURIVERA-MYSTERY-BOX-Special-Package-for-Puriteams-in-SAVETEMBER-CERIA-i.43724442.10846536499")</f>
        <v>https://shopee.co.id/PURIVERA-MYSTERY-BOX-Special-Package-for-Puriteams-in-SAVETEMBER-CERIA-i.43724442.10846536499</v>
      </c>
      <c r="C604" s="6" t="s">
        <v>428</v>
      </c>
      <c r="D604" s="6" t="s">
        <v>429</v>
      </c>
      <c r="E604" s="6" t="s">
        <v>12</v>
      </c>
      <c r="F604" s="6" t="s">
        <v>13</v>
      </c>
      <c r="G604" s="6" t="s">
        <v>61</v>
      </c>
      <c r="H604" s="8" t="s">
        <v>1317</v>
      </c>
      <c r="I604" s="9">
        <v>4.241E7</v>
      </c>
      <c r="J604" s="5" t="str">
        <f t="shared" ref="J604:K604" si="604">SUBSTITUTE(H604, ",", "")</f>
        <v>76</v>
      </c>
      <c r="K604" s="5" t="str">
        <f t="shared" si="604"/>
        <v>Rp42410000</v>
      </c>
      <c r="L604" s="5" t="str">
        <f t="shared" si="3"/>
        <v>42410000</v>
      </c>
    </row>
    <row r="605">
      <c r="A605" s="6" t="s">
        <v>1318</v>
      </c>
      <c r="B605" s="7" t="str">
        <f>HYPERLINK("https://shopee.co.id/Airnderm-Aesthetic-Advance-Brightener-Serum-by-AIRIN-BEAUTY--i.112372548.1766337752", "https://shopee.co.id/Airnderm-Aesthetic-Advance-Brightener-Serum-by-AIRIN-BEAUTY--i.112372548.1766337752")</f>
        <v>https://shopee.co.id/Airnderm-Aesthetic-Advance-Brightener-Serum-by-AIRIN-BEAUTY--i.112372548.1766337752</v>
      </c>
      <c r="C605" s="6" t="s">
        <v>239</v>
      </c>
      <c r="D605" s="6" t="s">
        <v>240</v>
      </c>
      <c r="E605" s="6" t="s">
        <v>12</v>
      </c>
      <c r="F605" s="6" t="s">
        <v>13</v>
      </c>
      <c r="G605" s="6" t="s">
        <v>241</v>
      </c>
      <c r="H605" s="8" t="s">
        <v>1317</v>
      </c>
      <c r="I605" s="9">
        <v>1.10892E7</v>
      </c>
      <c r="J605" s="5" t="str">
        <f t="shared" ref="J605:K605" si="605">SUBSTITUTE(H605, ",", "")</f>
        <v>76</v>
      </c>
      <c r="K605" s="5" t="str">
        <f t="shared" si="605"/>
        <v>Rp11089200</v>
      </c>
      <c r="L605" s="5" t="str">
        <f t="shared" si="3"/>
        <v>11089200</v>
      </c>
    </row>
    <row r="606">
      <c r="A606" s="6" t="s">
        <v>1319</v>
      </c>
      <c r="B606" s="7" t="str">
        <f>HYPERLINK("https://shopee.co.id/Avoskin-Your-Skin-Bae-Serum-Series-30ml-i.50948181.8209822825", "https://shopee.co.id/Avoskin-Your-Skin-Bae-Serum-Series-30ml-i.50948181.8209822825")</f>
        <v>https://shopee.co.id/Avoskin-Your-Skin-Bae-Serum-Series-30ml-i.50948181.8209822825</v>
      </c>
      <c r="C606" s="6" t="s">
        <v>83</v>
      </c>
      <c r="D606" s="6" t="s">
        <v>1129</v>
      </c>
      <c r="E606" s="6" t="s">
        <v>12</v>
      </c>
      <c r="F606" s="6" t="s">
        <v>13</v>
      </c>
      <c r="G606" s="6" t="s">
        <v>1130</v>
      </c>
      <c r="H606" s="8" t="s">
        <v>1317</v>
      </c>
      <c r="I606" s="9">
        <v>3564300.0</v>
      </c>
      <c r="J606" s="5" t="str">
        <f t="shared" ref="J606:K606" si="606">SUBSTITUTE(H606, ",", "")</f>
        <v>76</v>
      </c>
      <c r="K606" s="5" t="str">
        <f t="shared" si="606"/>
        <v>Rp3564300</v>
      </c>
      <c r="L606" s="5" t="str">
        <f t="shared" si="3"/>
        <v>3564300</v>
      </c>
    </row>
    <row r="607">
      <c r="A607" s="6" t="s">
        <v>1320</v>
      </c>
      <c r="B607" s="7" t="str">
        <f>HYPERLINK("https://shopee.co.id/INNERTRUE-Essence-of-Life-Serum-15ml-i.161937534.2582503755", "https://shopee.co.id/INNERTRUE-Essence-of-Life-Serum-15ml-i.161937534.2582503755")</f>
        <v>https://shopee.co.id/INNERTRUE-Essence-of-Life-Serum-15ml-i.161937534.2582503755</v>
      </c>
      <c r="C607" s="6" t="s">
        <v>1321</v>
      </c>
      <c r="D607" s="6" t="s">
        <v>1322</v>
      </c>
      <c r="E607" s="6" t="s">
        <v>12</v>
      </c>
      <c r="F607" s="6" t="s">
        <v>13</v>
      </c>
      <c r="G607" s="6" t="s">
        <v>61</v>
      </c>
      <c r="H607" s="8" t="s">
        <v>1317</v>
      </c>
      <c r="I607" s="9">
        <v>8955400.0</v>
      </c>
      <c r="J607" s="5" t="str">
        <f t="shared" ref="J607:K607" si="607">SUBSTITUTE(H607, ",", "")</f>
        <v>76</v>
      </c>
      <c r="K607" s="5" t="str">
        <f t="shared" si="607"/>
        <v>Rp8955400</v>
      </c>
      <c r="L607" s="5" t="str">
        <f t="shared" si="3"/>
        <v>8955400</v>
      </c>
    </row>
    <row r="608">
      <c r="A608" s="6" t="s">
        <v>1323</v>
      </c>
      <c r="B608" s="7" t="str">
        <f>HYPERLINK("https://shopee.co.id/Jarkeen-Double-Glow-Serum-i.147936010.2361019862", "https://shopee.co.id/Jarkeen-Double-Glow-Serum-i.147936010.2361019862")</f>
        <v>https://shopee.co.id/Jarkeen-Double-Glow-Serum-i.147936010.2361019862</v>
      </c>
      <c r="C608" s="6" t="s">
        <v>738</v>
      </c>
      <c r="D608" s="6" t="s">
        <v>739</v>
      </c>
      <c r="E608" s="6" t="s">
        <v>12</v>
      </c>
      <c r="F608" s="6" t="s">
        <v>13</v>
      </c>
      <c r="G608" s="6" t="s">
        <v>241</v>
      </c>
      <c r="H608" s="8" t="s">
        <v>1317</v>
      </c>
      <c r="I608" s="9">
        <v>5758566.0</v>
      </c>
      <c r="J608" s="5" t="str">
        <f t="shared" ref="J608:K608" si="608">SUBSTITUTE(H608, ",", "")</f>
        <v>76</v>
      </c>
      <c r="K608" s="5" t="str">
        <f t="shared" si="608"/>
        <v>Rp5758566</v>
      </c>
      <c r="L608" s="5" t="str">
        <f t="shared" si="3"/>
        <v>5758566</v>
      </c>
    </row>
    <row r="609">
      <c r="A609" s="6" t="s">
        <v>1324</v>
      </c>
      <c r="B609" s="7" t="str">
        <f>HYPERLINK("https://shopee.co.id/Aizen-Whitifique-Face-Cream-Cream-Pemutih-Pencerah-Kulit-Wajah-i.89939211.4970566430", "https://shopee.co.id/Aizen-Whitifique-Face-Cream-Cream-Pemutih-Pencerah-Kulit-Wajah-i.89939211.4970566430")</f>
        <v>https://shopee.co.id/Aizen-Whitifique-Face-Cream-Cream-Pemutih-Pencerah-Kulit-Wajah-i.89939211.4970566430</v>
      </c>
      <c r="C609" s="6" t="s">
        <v>1325</v>
      </c>
      <c r="D609" s="6" t="s">
        <v>1326</v>
      </c>
      <c r="E609" s="6" t="s">
        <v>12</v>
      </c>
      <c r="F609" s="6" t="s">
        <v>13</v>
      </c>
      <c r="G609" s="6" t="s">
        <v>14</v>
      </c>
      <c r="H609" s="8" t="s">
        <v>1317</v>
      </c>
      <c r="I609" s="9">
        <v>9762600.0</v>
      </c>
      <c r="J609" s="5" t="str">
        <f t="shared" ref="J609:K609" si="609">SUBSTITUTE(H609, ",", "")</f>
        <v>76</v>
      </c>
      <c r="K609" s="5" t="str">
        <f t="shared" si="609"/>
        <v>Rp9762600</v>
      </c>
      <c r="L609" s="5" t="str">
        <f t="shared" si="3"/>
        <v>9762600</v>
      </c>
    </row>
    <row r="610">
      <c r="A610" s="6" t="s">
        <v>1327</v>
      </c>
      <c r="B610" s="7" t="str">
        <f>HYPERLINK("https://shopee.co.id/Natur-Miracle-Renew-Skin-Face-Serum-Ginseng-Probiotic-i.38631574.4933325521", "https://shopee.co.id/Natur-Miracle-Renew-Skin-Face-Serum-Ginseng-Probiotic-i.38631574.4933325521")</f>
        <v>https://shopee.co.id/Natur-Miracle-Renew-Skin-Face-Serum-Ginseng-Probiotic-i.38631574.4933325521</v>
      </c>
      <c r="C610" s="6" t="s">
        <v>1234</v>
      </c>
      <c r="D610" s="6" t="s">
        <v>1235</v>
      </c>
      <c r="E610" s="6" t="s">
        <v>12</v>
      </c>
      <c r="F610" s="6" t="s">
        <v>13</v>
      </c>
      <c r="G610" s="6" t="s">
        <v>469</v>
      </c>
      <c r="H610" s="8" t="s">
        <v>1328</v>
      </c>
      <c r="I610" s="9">
        <v>1.6465E7</v>
      </c>
      <c r="J610" s="5" t="str">
        <f t="shared" ref="J610:K610" si="610">SUBSTITUTE(H610, ",", "")</f>
        <v>75</v>
      </c>
      <c r="K610" s="5" t="str">
        <f t="shared" si="610"/>
        <v>Rp16465000</v>
      </c>
      <c r="L610" s="5" t="str">
        <f t="shared" si="3"/>
        <v>16465000</v>
      </c>
    </row>
    <row r="611">
      <c r="A611" s="6" t="s">
        <v>1329</v>
      </c>
      <c r="B611" s="7" t="str">
        <f>HYPERLINK("https://shopee.co.id/THE-BATH-BOX-Rose-Hydrating-Serum-in-Jar-Anti-Aging--i.52581685.5500390830", "https://shopee.co.id/THE-BATH-BOX-Rose-Hydrating-Serum-in-Jar-Anti-Aging--i.52581685.5500390830")</f>
        <v>https://shopee.co.id/THE-BATH-BOX-Rose-Hydrating-Serum-in-Jar-Anti-Aging--i.52581685.5500390830</v>
      </c>
      <c r="C611" s="6" t="s">
        <v>613</v>
      </c>
      <c r="D611" s="6" t="s">
        <v>614</v>
      </c>
      <c r="E611" s="6" t="s">
        <v>12</v>
      </c>
      <c r="F611" s="6" t="s">
        <v>13</v>
      </c>
      <c r="G611" s="6" t="s">
        <v>61</v>
      </c>
      <c r="H611" s="8" t="s">
        <v>1328</v>
      </c>
      <c r="I611" s="9">
        <v>1.3125E7</v>
      </c>
      <c r="J611" s="5" t="str">
        <f t="shared" ref="J611:K611" si="611">SUBSTITUTE(H611, ",", "")</f>
        <v>75</v>
      </c>
      <c r="K611" s="5" t="str">
        <f t="shared" si="611"/>
        <v>Rp13125000</v>
      </c>
      <c r="L611" s="5" t="str">
        <f t="shared" si="3"/>
        <v>13125000</v>
      </c>
    </row>
    <row r="612">
      <c r="A612" s="6" t="s">
        <v>1330</v>
      </c>
      <c r="B612" s="7" t="str">
        <f>HYPERLINK("https://shopee.co.id/AVOSKIN-YOUR-SKIN-BAE-SERIES-Vitamin-C-3-Niacinamide-2-Mandarin-Orange-Fruit-Exctract-Serum-i.68111.8474974352", "https://shopee.co.id/AVOSKIN-YOUR-SKIN-BAE-SERIES-Vitamin-C-3-Niacinamide-2-Mandarin-Orange-Fruit-Exctract-Serum-i.68111.8474974352")</f>
        <v>https://shopee.co.id/AVOSKIN-YOUR-SKIN-BAE-SERIES-Vitamin-C-3-Niacinamide-2-Mandarin-Orange-Fruit-Exctract-Serum-i.68111.8474974352</v>
      </c>
      <c r="C612" s="6" t="s">
        <v>83</v>
      </c>
      <c r="D612" s="6" t="s">
        <v>441</v>
      </c>
      <c r="E612" s="6" t="s">
        <v>12</v>
      </c>
      <c r="F612" s="6" t="s">
        <v>13</v>
      </c>
      <c r="G612" s="6" t="s">
        <v>130</v>
      </c>
      <c r="H612" s="8" t="s">
        <v>1328</v>
      </c>
      <c r="I612" s="9">
        <v>1.872E8</v>
      </c>
      <c r="J612" s="5" t="str">
        <f t="shared" ref="J612:K612" si="612">SUBSTITUTE(H612, ",", "")</f>
        <v>75</v>
      </c>
      <c r="K612" s="5" t="str">
        <f t="shared" si="612"/>
        <v>Rp187200000</v>
      </c>
      <c r="L612" s="5" t="str">
        <f t="shared" si="3"/>
        <v>187200000</v>
      </c>
    </row>
    <row r="613">
      <c r="A613" s="6" t="s">
        <v>1331</v>
      </c>
      <c r="B613" s="7" t="str">
        <f>HYPERLINK("https://shopee.co.id/Hanasui-Intense-Treatment-Serum-Rich-Nutrition-i.129681299.3103712843", "https://shopee.co.id/Hanasui-Intense-Treatment-Serum-Rich-Nutrition-i.129681299.3103712843")</f>
        <v>https://shopee.co.id/Hanasui-Intense-Treatment-Serum-Rich-Nutrition-i.129681299.3103712843</v>
      </c>
      <c r="C613" s="6" t="s">
        <v>784</v>
      </c>
      <c r="D613" s="6" t="s">
        <v>785</v>
      </c>
      <c r="E613" s="6" t="s">
        <v>12</v>
      </c>
      <c r="F613" s="6" t="s">
        <v>13</v>
      </c>
      <c r="G613" s="6" t="s">
        <v>36</v>
      </c>
      <c r="H613" s="8" t="s">
        <v>1328</v>
      </c>
      <c r="I613" s="9">
        <v>2.16E7</v>
      </c>
      <c r="J613" s="5" t="str">
        <f t="shared" ref="J613:K613" si="613">SUBSTITUTE(H613, ",", "")</f>
        <v>75</v>
      </c>
      <c r="K613" s="5" t="str">
        <f t="shared" si="613"/>
        <v>Rp21600000</v>
      </c>
      <c r="L613" s="5" t="str">
        <f t="shared" si="3"/>
        <v>21600000</v>
      </c>
    </row>
    <row r="614">
      <c r="A614" s="6" t="s">
        <v>1039</v>
      </c>
      <c r="B614" s="7" t="str">
        <f>HYPERLINK("https://shopee.co.id/Sulwhasoo-First-Care-Activating-Serum-30ml-i.274949344.5339211729", "https://shopee.co.id/Sulwhasoo-First-Care-Activating-Serum-30ml-i.274949344.5339211729")</f>
        <v>https://shopee.co.id/Sulwhasoo-First-Care-Activating-Serum-30ml-i.274949344.5339211729</v>
      </c>
      <c r="C614" s="6" t="s">
        <v>282</v>
      </c>
      <c r="D614" s="6" t="s">
        <v>283</v>
      </c>
      <c r="E614" s="6" t="s">
        <v>12</v>
      </c>
      <c r="F614" s="6" t="s">
        <v>13</v>
      </c>
      <c r="G614" s="6" t="s">
        <v>61</v>
      </c>
      <c r="H614" s="8" t="s">
        <v>1328</v>
      </c>
      <c r="I614" s="9">
        <v>2068480.0</v>
      </c>
      <c r="J614" s="5" t="str">
        <f t="shared" ref="J614:K614" si="614">SUBSTITUTE(H614, ",", "")</f>
        <v>75</v>
      </c>
      <c r="K614" s="5" t="str">
        <f t="shared" si="614"/>
        <v>Rp2068480</v>
      </c>
      <c r="L614" s="5" t="str">
        <f t="shared" si="3"/>
        <v>2068480</v>
      </c>
    </row>
    <row r="615">
      <c r="A615" s="6" t="s">
        <v>966</v>
      </c>
      <c r="B615" s="7" t="str">
        <f>HYPERLINK("https://shopee.co.id/Dear-Me-Beauty-5-Inoceramide-Ceramide-Pomegranate-Extract-Face-Serum-32ml-i.45495764.9148396869", "https://shopee.co.id/Dear-Me-Beauty-5-Inoceramide-Ceramide-Pomegranate-Extract-Face-Serum-32ml-i.45495764.9148396869")</f>
        <v>https://shopee.co.id/Dear-Me-Beauty-5-Inoceramide-Ceramide-Pomegranate-Extract-Face-Serum-32ml-i.45495764.9148396869</v>
      </c>
      <c r="C615" s="6" t="s">
        <v>83</v>
      </c>
      <c r="D615" s="6" t="s">
        <v>71</v>
      </c>
      <c r="E615" s="6" t="s">
        <v>12</v>
      </c>
      <c r="F615" s="6" t="s">
        <v>13</v>
      </c>
      <c r="G615" s="6" t="s">
        <v>61</v>
      </c>
      <c r="H615" s="8" t="s">
        <v>1328</v>
      </c>
      <c r="I615" s="9">
        <v>8662500.0</v>
      </c>
      <c r="J615" s="5" t="str">
        <f t="shared" ref="J615:K615" si="615">SUBSTITUTE(H615, ",", "")</f>
        <v>75</v>
      </c>
      <c r="K615" s="5" t="str">
        <f t="shared" si="615"/>
        <v>Rp8662500</v>
      </c>
      <c r="L615" s="5" t="str">
        <f t="shared" si="3"/>
        <v>8662500</v>
      </c>
    </row>
    <row r="616">
      <c r="A616" s="6" t="s">
        <v>1332</v>
      </c>
      <c r="B616" s="7" t="str">
        <f>HYPERLINK("https://shopee.co.id/MISSHA-Time-Revolution-The-First-Essence-5X-150ml-Free-2-Mascure-Mask-Guaiazulene-Madecasoid--i.37557990.2990487051", "https://shopee.co.id/MISSHA-Time-Revolution-The-First-Essence-5X-150ml-Free-2-Mascure-Mask-Guaiazulene-Madecasoid--i.37557990.2990487051")</f>
        <v>https://shopee.co.id/MISSHA-Time-Revolution-The-First-Essence-5X-150ml-Free-2-Mascure-Mask-Guaiazulene-Madecasoid--i.37557990.2990487051</v>
      </c>
      <c r="C616" s="6" t="s">
        <v>695</v>
      </c>
      <c r="D616" s="6" t="s">
        <v>696</v>
      </c>
      <c r="E616" s="6" t="s">
        <v>12</v>
      </c>
      <c r="F616" s="6" t="s">
        <v>13</v>
      </c>
      <c r="G616" s="6" t="s">
        <v>80</v>
      </c>
      <c r="H616" s="8" t="s">
        <v>1333</v>
      </c>
      <c r="I616" s="9">
        <v>1661650.0</v>
      </c>
      <c r="J616" s="5" t="str">
        <f t="shared" ref="J616:K616" si="616">SUBSTITUTE(H616, ",", "")</f>
        <v>74</v>
      </c>
      <c r="K616" s="5" t="str">
        <f t="shared" si="616"/>
        <v>Rp1661650</v>
      </c>
      <c r="L616" s="5" t="str">
        <f t="shared" si="3"/>
        <v>1661650</v>
      </c>
    </row>
    <row r="617">
      <c r="A617" s="6" t="s">
        <v>1334</v>
      </c>
      <c r="B617" s="7" t="str">
        <f>HYPERLINK("https://shopee.co.id/AVOSKIN-YOUR-SKIN-BAE-SERIES-Alpha-Arbutin-3-Grapeseed-30ml-i.68111.6686397325", "https://shopee.co.id/AVOSKIN-YOUR-SKIN-BAE-SERIES-Alpha-Arbutin-3-Grapeseed-30ml-i.68111.6686397325")</f>
        <v>https://shopee.co.id/AVOSKIN-YOUR-SKIN-BAE-SERIES-Alpha-Arbutin-3-Grapeseed-30ml-i.68111.6686397325</v>
      </c>
      <c r="C617" s="6" t="s">
        <v>83</v>
      </c>
      <c r="D617" s="6" t="s">
        <v>441</v>
      </c>
      <c r="E617" s="6" t="s">
        <v>12</v>
      </c>
      <c r="F617" s="6" t="s">
        <v>13</v>
      </c>
      <c r="G617" s="6" t="s">
        <v>130</v>
      </c>
      <c r="H617" s="8" t="s">
        <v>1333</v>
      </c>
      <c r="I617" s="9">
        <v>9520200.0</v>
      </c>
      <c r="J617" s="5" t="str">
        <f t="shared" ref="J617:K617" si="617">SUBSTITUTE(H617, ",", "")</f>
        <v>74</v>
      </c>
      <c r="K617" s="5" t="str">
        <f t="shared" si="617"/>
        <v>Rp9520200</v>
      </c>
      <c r="L617" s="5" t="str">
        <f t="shared" si="3"/>
        <v>9520200</v>
      </c>
    </row>
    <row r="618">
      <c r="A618" s="6" t="s">
        <v>1335</v>
      </c>
      <c r="B618" s="7" t="str">
        <f>HYPERLINK("https://shopee.co.id/Garnier-Bright-Complete-White-Speed-Day-Serum-Cream-Uva-Uvb-Skin-Care-20-ml-i.62583853.1022726854", "https://shopee.co.id/Garnier-Bright-Complete-White-Speed-Day-Serum-Cream-Uva-Uvb-Skin-Care-20-ml-i.62583853.1022726854")</f>
        <v>https://shopee.co.id/Garnier-Bright-Complete-White-Speed-Day-Serum-Cream-Uva-Uvb-Skin-Care-20-ml-i.62583853.1022726854</v>
      </c>
      <c r="C618" s="6" t="s">
        <v>74</v>
      </c>
      <c r="D618" s="6" t="s">
        <v>75</v>
      </c>
      <c r="E618" s="6" t="s">
        <v>12</v>
      </c>
      <c r="F618" s="6" t="s">
        <v>13</v>
      </c>
      <c r="G618" s="6" t="s">
        <v>61</v>
      </c>
      <c r="H618" s="8" t="s">
        <v>1333</v>
      </c>
      <c r="I618" s="9">
        <v>1.0286E7</v>
      </c>
      <c r="J618" s="5" t="str">
        <f t="shared" ref="J618:K618" si="618">SUBSTITUTE(H618, ",", "")</f>
        <v>74</v>
      </c>
      <c r="K618" s="5" t="str">
        <f t="shared" si="618"/>
        <v>Rp10286000</v>
      </c>
      <c r="L618" s="5" t="str">
        <f t="shared" si="3"/>
        <v>10286000</v>
      </c>
    </row>
    <row r="619">
      <c r="A619" s="6" t="s">
        <v>1336</v>
      </c>
      <c r="B619" s="7" t="str">
        <f>HYPERLINK("https://shopee.co.id/Avoskin-Perfect-Hydrating-Treatment-Essence-30-ml--i.110573301.6368674114", "https://shopee.co.id/Avoskin-Perfect-Hydrating-Treatment-Essence-30-ml--i.110573301.6368674114")</f>
        <v>https://shopee.co.id/Avoskin-Perfect-Hydrating-Treatment-Essence-30-ml--i.110573301.6368674114</v>
      </c>
      <c r="C619" s="6" t="s">
        <v>83</v>
      </c>
      <c r="D619" s="6" t="s">
        <v>227</v>
      </c>
      <c r="E619" s="6" t="s">
        <v>12</v>
      </c>
      <c r="F619" s="6" t="s">
        <v>13</v>
      </c>
      <c r="G619" s="6" t="s">
        <v>61</v>
      </c>
      <c r="H619" s="8" t="s">
        <v>1333</v>
      </c>
      <c r="I619" s="9">
        <v>1.01887E7</v>
      </c>
      <c r="J619" s="5" t="str">
        <f t="shared" ref="J619:K619" si="619">SUBSTITUTE(H619, ",", "")</f>
        <v>74</v>
      </c>
      <c r="K619" s="5" t="str">
        <f t="shared" si="619"/>
        <v>Rp10188700</v>
      </c>
      <c r="L619" s="5" t="str">
        <f t="shared" si="3"/>
        <v>10188700</v>
      </c>
    </row>
    <row r="620">
      <c r="A620" s="6" t="s">
        <v>1337</v>
      </c>
      <c r="B620" s="7" t="str">
        <f>HYPERLINK("https://shopee.co.id/Ceramide-Ginseng-Skinbar-Serum-for-skin-barrier--i.19578272.10225618689", "https://shopee.co.id/Ceramide-Ginseng-Skinbar-Serum-for-skin-barrier--i.19578272.10225618689")</f>
        <v>https://shopee.co.id/Ceramide-Ginseng-Skinbar-Serum-for-skin-barrier--i.19578272.10225618689</v>
      </c>
      <c r="C620" s="6" t="s">
        <v>1300</v>
      </c>
      <c r="D620" s="6" t="s">
        <v>1301</v>
      </c>
      <c r="E620" s="6" t="s">
        <v>12</v>
      </c>
      <c r="F620" s="6" t="s">
        <v>13</v>
      </c>
      <c r="G620" s="6" t="s">
        <v>98</v>
      </c>
      <c r="H620" s="8" t="s">
        <v>1333</v>
      </c>
      <c r="I620" s="9">
        <v>1.96981E7</v>
      </c>
      <c r="J620" s="5" t="str">
        <f t="shared" ref="J620:K620" si="620">SUBSTITUTE(H620, ",", "")</f>
        <v>74</v>
      </c>
      <c r="K620" s="5" t="str">
        <f t="shared" si="620"/>
        <v>Rp19698100</v>
      </c>
      <c r="L620" s="5" t="str">
        <f t="shared" si="3"/>
        <v>19698100</v>
      </c>
    </row>
    <row r="621">
      <c r="A621" s="6" t="s">
        <v>1338</v>
      </c>
      <c r="B621" s="7" t="str">
        <f>HYPERLINK("https://shopee.co.id/Bio-Essence-Bio-Gold-Full-Set-Package-i.63822287.3656037876", "https://shopee.co.id/Bio-Essence-Bio-Gold-Full-Set-Package-i.63822287.3656037876")</f>
        <v>https://shopee.co.id/Bio-Essence-Bio-Gold-Full-Set-Package-i.63822287.3656037876</v>
      </c>
      <c r="C621" s="6" t="s">
        <v>834</v>
      </c>
      <c r="D621" s="6" t="s">
        <v>835</v>
      </c>
      <c r="E621" s="6" t="s">
        <v>12</v>
      </c>
      <c r="F621" s="6" t="s">
        <v>13</v>
      </c>
      <c r="G621" s="6" t="s">
        <v>61</v>
      </c>
      <c r="H621" s="8" t="s">
        <v>1333</v>
      </c>
      <c r="I621" s="9">
        <v>4816000.0</v>
      </c>
      <c r="J621" s="5" t="str">
        <f t="shared" ref="J621:K621" si="621">SUBSTITUTE(H621, ",", "")</f>
        <v>74</v>
      </c>
      <c r="K621" s="5" t="str">
        <f t="shared" si="621"/>
        <v>Rp4816000</v>
      </c>
      <c r="L621" s="5" t="str">
        <f t="shared" si="3"/>
        <v>4816000</v>
      </c>
    </row>
    <row r="622">
      <c r="A622" s="6" t="s">
        <v>1339</v>
      </c>
      <c r="B622" s="7" t="str">
        <f>HYPERLINK("https://shopee.co.id/Secret-Key-Starting-Treatment-Essence-Size-155-ml-Edit-by-Sociolla-i.224957239.4250380574", "https://shopee.co.id/Secret-Key-Starting-Treatment-Essence-Size-155-ml-Edit-by-Sociolla-i.224957239.4250380574")</f>
        <v>https://shopee.co.id/Secret-Key-Starting-Treatment-Essence-Size-155-ml-Edit-by-Sociolla-i.224957239.4250380574</v>
      </c>
      <c r="C622" s="6" t="s">
        <v>1340</v>
      </c>
      <c r="D622" s="6" t="s">
        <v>492</v>
      </c>
      <c r="E622" s="6" t="s">
        <v>12</v>
      </c>
      <c r="F622" s="6" t="s">
        <v>13</v>
      </c>
      <c r="G622" s="6" t="s">
        <v>21</v>
      </c>
      <c r="H622" s="8" t="s">
        <v>1333</v>
      </c>
      <c r="I622" s="9">
        <v>9181580.0</v>
      </c>
      <c r="J622" s="5" t="str">
        <f t="shared" ref="J622:K622" si="622">SUBSTITUTE(H622, ",", "")</f>
        <v>74</v>
      </c>
      <c r="K622" s="5" t="str">
        <f t="shared" si="622"/>
        <v>Rp9181580</v>
      </c>
      <c r="L622" s="5" t="str">
        <f t="shared" si="3"/>
        <v>9181580</v>
      </c>
    </row>
    <row r="623">
      <c r="A623" s="6" t="s">
        <v>1341</v>
      </c>
      <c r="B623" s="7" t="str">
        <f>HYPERLINK("https://shopee.co.id/Garnier-Light-Complete-Booster-Serum-30-ml-Light-Complete-Serum-Mask-x-3-Pcs-i.62583853.4441461979", "https://shopee.co.id/Garnier-Light-Complete-Booster-Serum-30-ml-Light-Complete-Serum-Mask-x-3-Pcs-i.62583853.4441461979")</f>
        <v>https://shopee.co.id/Garnier-Light-Complete-Booster-Serum-30-ml-Light-Complete-Serum-Mask-x-3-Pcs-i.62583853.4441461979</v>
      </c>
      <c r="C623" s="6" t="s">
        <v>74</v>
      </c>
      <c r="D623" s="6" t="s">
        <v>75</v>
      </c>
      <c r="E623" s="6" t="s">
        <v>12</v>
      </c>
      <c r="F623" s="6" t="s">
        <v>13</v>
      </c>
      <c r="G623" s="6" t="s">
        <v>61</v>
      </c>
      <c r="H623" s="8" t="s">
        <v>1333</v>
      </c>
      <c r="I623" s="9">
        <v>6178500.0</v>
      </c>
      <c r="J623" s="5" t="str">
        <f t="shared" ref="J623:K623" si="623">SUBSTITUTE(H623, ",", "")</f>
        <v>74</v>
      </c>
      <c r="K623" s="5" t="str">
        <f t="shared" si="623"/>
        <v>Rp6178500</v>
      </c>
      <c r="L623" s="5" t="str">
        <f t="shared" si="3"/>
        <v>6178500</v>
      </c>
    </row>
    <row r="624">
      <c r="A624" s="6" t="s">
        <v>1342</v>
      </c>
      <c r="B624" s="7" t="str">
        <f>HYPERLINK("https://shopee.co.id/Jellys-Pure-Face-Serum-i.114257288.6717399724", "https://shopee.co.id/Jellys-Pure-Face-Serum-i.114257288.6717399724")</f>
        <v>https://shopee.co.id/Jellys-Pure-Face-Serum-i.114257288.6717399724</v>
      </c>
      <c r="C624" s="6" t="s">
        <v>1343</v>
      </c>
      <c r="D624" s="6" t="s">
        <v>1344</v>
      </c>
      <c r="E624" s="6" t="s">
        <v>12</v>
      </c>
      <c r="F624" s="6" t="s">
        <v>13</v>
      </c>
      <c r="G624" s="6" t="s">
        <v>61</v>
      </c>
      <c r="H624" s="8" t="s">
        <v>1333</v>
      </c>
      <c r="I624" s="9">
        <v>1.08325E7</v>
      </c>
      <c r="J624" s="5" t="str">
        <f t="shared" ref="J624:K624" si="624">SUBSTITUTE(H624, ",", "")</f>
        <v>74</v>
      </c>
      <c r="K624" s="5" t="str">
        <f t="shared" si="624"/>
        <v>Rp10832500</v>
      </c>
      <c r="L624" s="5" t="str">
        <f t="shared" si="3"/>
        <v>10832500</v>
      </c>
    </row>
    <row r="625">
      <c r="A625" s="6" t="s">
        <v>1345</v>
      </c>
      <c r="B625" s="7" t="str">
        <f>HYPERLINK("https://shopee.co.id/-BPOM-BREYLEE-Serum-Vitamin-C-Mencerahkan-Wajah-17ml--i.324706771.9411540730", "https://shopee.co.id/-BPOM-BREYLEE-Serum-Vitamin-C-Mencerahkan-Wajah-17ml--i.324706771.9411540730")</f>
        <v>https://shopee.co.id/-BPOM-BREYLEE-Serum-Vitamin-C-Mencerahkan-Wajah-17ml--i.324706771.9411540730</v>
      </c>
      <c r="C625" s="6" t="s">
        <v>852</v>
      </c>
      <c r="D625" s="6" t="s">
        <v>853</v>
      </c>
      <c r="E625" s="6" t="s">
        <v>12</v>
      </c>
      <c r="F625" s="6" t="s">
        <v>13</v>
      </c>
      <c r="G625" s="6" t="s">
        <v>532</v>
      </c>
      <c r="H625" s="8" t="s">
        <v>1333</v>
      </c>
      <c r="I625" s="9">
        <v>7881000.0</v>
      </c>
      <c r="J625" s="5" t="str">
        <f t="shared" ref="J625:K625" si="625">SUBSTITUTE(H625, ",", "")</f>
        <v>74</v>
      </c>
      <c r="K625" s="5" t="str">
        <f t="shared" si="625"/>
        <v>Rp7881000</v>
      </c>
      <c r="L625" s="5" t="str">
        <f t="shared" si="3"/>
        <v>7881000</v>
      </c>
    </row>
    <row r="626">
      <c r="A626" s="6" t="s">
        <v>1346</v>
      </c>
      <c r="B626" s="7" t="str">
        <f>HYPERLINK("https://shopee.co.id/BREYLEE-SETS-of-SERUM-F-Mencerahkan-Membersihkan-Jerawat-2pcs--i.324706771.8805057201", "https://shopee.co.id/BREYLEE-SETS-of-SERUM-F-Mencerahkan-Membersihkan-Jerawat-2pcs--i.324706771.8805057201")</f>
        <v>https://shopee.co.id/BREYLEE-SETS-of-SERUM-F-Mencerahkan-Membersihkan-Jerawat-2pcs--i.324706771.8805057201</v>
      </c>
      <c r="C626" s="6" t="s">
        <v>852</v>
      </c>
      <c r="D626" s="6" t="s">
        <v>853</v>
      </c>
      <c r="E626" s="6" t="s">
        <v>12</v>
      </c>
      <c r="F626" s="6" t="s">
        <v>13</v>
      </c>
      <c r="G626" s="6" t="s">
        <v>532</v>
      </c>
      <c r="H626" s="8" t="s">
        <v>1333</v>
      </c>
      <c r="I626" s="9">
        <v>7826200.0</v>
      </c>
      <c r="J626" s="5" t="str">
        <f t="shared" ref="J626:K626" si="626">SUBSTITUTE(H626, ",", "")</f>
        <v>74</v>
      </c>
      <c r="K626" s="5" t="str">
        <f t="shared" si="626"/>
        <v>Rp7826200</v>
      </c>
      <c r="L626" s="5" t="str">
        <f t="shared" si="3"/>
        <v>7826200</v>
      </c>
    </row>
    <row r="627">
      <c r="A627" s="6" t="s">
        <v>1347</v>
      </c>
      <c r="B627" s="7" t="str">
        <f>HYPERLINK("https://shopee.co.id/COSRX-Pure-Fit-Cica-Serum-Skin-Care-30-ML-Serum-Untuk-Kulit-Sensitif--i.404429429.9657153482", "https://shopee.co.id/COSRX-Pure-Fit-Cica-Serum-Skin-Care-30-ML-Serum-Untuk-Kulit-Sensitif--i.404429429.9657153482")</f>
        <v>https://shopee.co.id/COSRX-Pure-Fit-Cica-Serum-Skin-Care-30-ML-Serum-Untuk-Kulit-Sensitif--i.404429429.9657153482</v>
      </c>
      <c r="C627" s="6" t="s">
        <v>305</v>
      </c>
      <c r="D627" s="6" t="s">
        <v>306</v>
      </c>
      <c r="E627" s="6" t="s">
        <v>12</v>
      </c>
      <c r="F627" s="6" t="s">
        <v>13</v>
      </c>
      <c r="G627" s="6" t="s">
        <v>21</v>
      </c>
      <c r="H627" s="8" t="s">
        <v>1333</v>
      </c>
      <c r="I627" s="9">
        <v>7221000.0</v>
      </c>
      <c r="J627" s="5" t="str">
        <f t="shared" ref="J627:K627" si="627">SUBSTITUTE(H627, ",", "")</f>
        <v>74</v>
      </c>
      <c r="K627" s="5" t="str">
        <f t="shared" si="627"/>
        <v>Rp7221000</v>
      </c>
      <c r="L627" s="5" t="str">
        <f t="shared" si="3"/>
        <v>7221000</v>
      </c>
    </row>
    <row r="628">
      <c r="A628" s="6" t="s">
        <v>1348</v>
      </c>
      <c r="B628" s="7" t="str">
        <f>HYPERLINK("https://shopee.co.id/Hyaluronic-Plus-Serum-Erto-s-i.96907343.3739018473", "https://shopee.co.id/Hyaluronic-Plus-Serum-Erto-s-i.96907343.3739018473")</f>
        <v>https://shopee.co.id/Hyaluronic-Plus-Serum-Erto-s-i.96907343.3739018473</v>
      </c>
      <c r="C628" s="6" t="s">
        <v>467</v>
      </c>
      <c r="D628" s="6" t="s">
        <v>468</v>
      </c>
      <c r="E628" s="6" t="s">
        <v>12</v>
      </c>
      <c r="F628" s="6" t="s">
        <v>13</v>
      </c>
      <c r="G628" s="6" t="s">
        <v>469</v>
      </c>
      <c r="H628" s="8" t="s">
        <v>1333</v>
      </c>
      <c r="I628" s="9">
        <v>1.28746E7</v>
      </c>
      <c r="J628" s="5" t="str">
        <f t="shared" ref="J628:K628" si="628">SUBSTITUTE(H628, ",", "")</f>
        <v>74</v>
      </c>
      <c r="K628" s="5" t="str">
        <f t="shared" si="628"/>
        <v>Rp12874600</v>
      </c>
      <c r="L628" s="5" t="str">
        <f t="shared" si="3"/>
        <v>12874600</v>
      </c>
    </row>
    <row r="629">
      <c r="A629" s="6" t="s">
        <v>1349</v>
      </c>
      <c r="B629" s="7" t="str">
        <f>HYPERLINK("https://shopee.co.id/AVOSKIN-Perfect-Hydrating-Treatment-Essence-100ml-i.68111.1617191159", "https://shopee.co.id/AVOSKIN-Perfect-Hydrating-Treatment-Essence-100ml-i.68111.1617191159")</f>
        <v>https://shopee.co.id/AVOSKIN-Perfect-Hydrating-Treatment-Essence-100ml-i.68111.1617191159</v>
      </c>
      <c r="C629" s="6" t="s">
        <v>83</v>
      </c>
      <c r="D629" s="6" t="s">
        <v>441</v>
      </c>
      <c r="E629" s="6" t="s">
        <v>12</v>
      </c>
      <c r="F629" s="6" t="s">
        <v>13</v>
      </c>
      <c r="G629" s="6" t="s">
        <v>130</v>
      </c>
      <c r="H629" s="8" t="s">
        <v>1333</v>
      </c>
      <c r="I629" s="9">
        <v>9210600.0</v>
      </c>
      <c r="J629" s="5" t="str">
        <f t="shared" ref="J629:K629" si="629">SUBSTITUTE(H629, ",", "")</f>
        <v>74</v>
      </c>
      <c r="K629" s="5" t="str">
        <f t="shared" si="629"/>
        <v>Rp9210600</v>
      </c>
      <c r="L629" s="5" t="str">
        <f t="shared" si="3"/>
        <v>9210600</v>
      </c>
    </row>
    <row r="630">
      <c r="A630" s="6" t="s">
        <v>1350</v>
      </c>
      <c r="B630" s="7" t="str">
        <f>HYPERLINK("https://shopee.co.id/Ponds-Age-Miracle-Double-Action-Face-Serum-Wajah-Youthful-Glow-30-ml-Twin-Pack-i.14318452.3558218105", "https://shopee.co.id/Ponds-Age-Miracle-Double-Action-Face-Serum-Wajah-Youthful-Glow-30-ml-Twin-Pack-i.14318452.3558218105")</f>
        <v>https://shopee.co.id/Ponds-Age-Miracle-Double-Action-Face-Serum-Wajah-Youthful-Glow-30-ml-Twin-Pack-i.14318452.3558218105</v>
      </c>
      <c r="C630" s="6" t="s">
        <v>325</v>
      </c>
      <c r="D630" s="6" t="s">
        <v>326</v>
      </c>
      <c r="E630" s="6" t="s">
        <v>12</v>
      </c>
      <c r="F630" s="6" t="s">
        <v>13</v>
      </c>
      <c r="G630" s="6" t="s">
        <v>296</v>
      </c>
      <c r="H630" s="8" t="s">
        <v>1351</v>
      </c>
      <c r="I630" s="9">
        <v>1.00959E7</v>
      </c>
      <c r="J630" s="5" t="str">
        <f t="shared" ref="J630:K630" si="630">SUBSTITUTE(H630, ",", "")</f>
        <v>73</v>
      </c>
      <c r="K630" s="5" t="str">
        <f t="shared" si="630"/>
        <v>Rp10095900</v>
      </c>
      <c r="L630" s="5" t="str">
        <f t="shared" si="3"/>
        <v>10095900</v>
      </c>
    </row>
    <row r="631">
      <c r="A631" s="6" t="s">
        <v>1352</v>
      </c>
      <c r="B631" s="7" t="str">
        <f>HYPERLINK("https://shopee.co.id/MD-Glowing-Glass-Skin-Treatment-Serum-Glowing-Arbutin-Whitening-Vit-C-Pemutih--i.98061713.7708466271", "https://shopee.co.id/MD-Glowing-Glass-Skin-Treatment-Serum-Glowing-Arbutin-Whitening-Vit-C-Pemutih--i.98061713.7708466271")</f>
        <v>https://shopee.co.id/MD-Glowing-Glass-Skin-Treatment-Serum-Glowing-Arbutin-Whitening-Vit-C-Pemutih--i.98061713.7708466271</v>
      </c>
      <c r="C631" s="6" t="s">
        <v>1353</v>
      </c>
      <c r="D631" s="6" t="s">
        <v>1354</v>
      </c>
      <c r="E631" s="6" t="s">
        <v>12</v>
      </c>
      <c r="F631" s="6" t="s">
        <v>13</v>
      </c>
      <c r="G631" s="6" t="s">
        <v>370</v>
      </c>
      <c r="H631" s="8" t="s">
        <v>1351</v>
      </c>
      <c r="I631" s="9">
        <v>1.01331E7</v>
      </c>
      <c r="J631" s="5" t="str">
        <f t="shared" ref="J631:K631" si="631">SUBSTITUTE(H631, ",", "")</f>
        <v>73</v>
      </c>
      <c r="K631" s="5" t="str">
        <f t="shared" si="631"/>
        <v>Rp10133100</v>
      </c>
      <c r="L631" s="5" t="str">
        <f t="shared" si="3"/>
        <v>10133100</v>
      </c>
    </row>
    <row r="632">
      <c r="A632" s="6" t="s">
        <v>1355</v>
      </c>
      <c r="B632" s="7" t="str">
        <f>HYPERLINK("https://shopee.co.id/ERTOS-PORE-MINIMIZER-20ML-SERUM-PENGECIL-PORI-PORI-ERTO-S-i.23831802.2039843694", "https://shopee.co.id/ERTOS-PORE-MINIMIZER-20ML-SERUM-PENGECIL-PORI-PORI-ERTO-S-i.23831802.2039843694")</f>
        <v>https://shopee.co.id/ERTOS-PORE-MINIMIZER-20ML-SERUM-PENGECIL-PORI-PORI-ERTO-S-i.23831802.2039843694</v>
      </c>
      <c r="C632" s="6" t="s">
        <v>467</v>
      </c>
      <c r="D632" s="6" t="s">
        <v>1084</v>
      </c>
      <c r="E632" s="6" t="s">
        <v>12</v>
      </c>
      <c r="F632" s="6" t="s">
        <v>13</v>
      </c>
      <c r="G632" s="6" t="s">
        <v>1085</v>
      </c>
      <c r="H632" s="8" t="s">
        <v>1351</v>
      </c>
      <c r="I632" s="9">
        <v>3543700.0</v>
      </c>
      <c r="J632" s="5" t="str">
        <f t="shared" ref="J632:K632" si="632">SUBSTITUTE(H632, ",", "")</f>
        <v>73</v>
      </c>
      <c r="K632" s="5" t="str">
        <f t="shared" si="632"/>
        <v>Rp3543700</v>
      </c>
      <c r="L632" s="5" t="str">
        <f t="shared" si="3"/>
        <v>3543700</v>
      </c>
    </row>
    <row r="633">
      <c r="A633" s="6" t="s">
        <v>1356</v>
      </c>
      <c r="B633" s="7" t="str">
        <f>HYPERLINK("https://shopee.co.id/YOU-Biomecera-Advanced-Booster-Serum-20-ml-i.72375863.10348355112", "https://shopee.co.id/YOU-Biomecera-Advanced-Booster-Serum-20-ml-i.72375863.10348355112")</f>
        <v>https://shopee.co.id/YOU-Biomecera-Advanced-Booster-Serum-20-ml-i.72375863.10348355112</v>
      </c>
      <c r="C633" s="6" t="s">
        <v>128</v>
      </c>
      <c r="D633" s="6" t="s">
        <v>129</v>
      </c>
      <c r="E633" s="6" t="s">
        <v>12</v>
      </c>
      <c r="F633" s="6" t="s">
        <v>13</v>
      </c>
      <c r="G633" s="6" t="s">
        <v>130</v>
      </c>
      <c r="H633" s="8" t="s">
        <v>1357</v>
      </c>
      <c r="I633" s="9">
        <v>1.3356E7</v>
      </c>
      <c r="J633" s="5" t="str">
        <f t="shared" ref="J633:K633" si="633">SUBSTITUTE(H633, ",", "")</f>
        <v>72</v>
      </c>
      <c r="K633" s="5" t="str">
        <f t="shared" si="633"/>
        <v>Rp13356000</v>
      </c>
      <c r="L633" s="5" t="str">
        <f t="shared" si="3"/>
        <v>13356000</v>
      </c>
    </row>
    <row r="634">
      <c r="A634" s="6" t="s">
        <v>1358</v>
      </c>
      <c r="B634" s="7" t="str">
        <f>HYPERLINK("https://shopee.co.id/C-Brightening-Booster-10-Vitamin-C-3-Alpha-Arbutin--i.37421755.13005739882", "https://shopee.co.id/C-Brightening-Booster-10-Vitamin-C-3-Alpha-Arbutin--i.37421755.13005739882")</f>
        <v>https://shopee.co.id/C-Brightening-Booster-10-Vitamin-C-3-Alpha-Arbutin--i.37421755.13005739882</v>
      </c>
      <c r="C634" s="6" t="s">
        <v>1359</v>
      </c>
      <c r="D634" s="6" t="s">
        <v>754</v>
      </c>
      <c r="E634" s="6" t="s">
        <v>12</v>
      </c>
      <c r="F634" s="6" t="s">
        <v>13</v>
      </c>
      <c r="G634" s="6" t="s">
        <v>469</v>
      </c>
      <c r="H634" s="8" t="s">
        <v>1357</v>
      </c>
      <c r="I634" s="9">
        <v>1.4328E7</v>
      </c>
      <c r="J634" s="5" t="str">
        <f t="shared" ref="J634:K634" si="634">SUBSTITUTE(H634, ",", "")</f>
        <v>72</v>
      </c>
      <c r="K634" s="5" t="str">
        <f t="shared" si="634"/>
        <v>Rp14328000</v>
      </c>
      <c r="L634" s="5" t="str">
        <f t="shared" si="3"/>
        <v>14328000</v>
      </c>
    </row>
    <row r="635">
      <c r="A635" s="6" t="s">
        <v>1360</v>
      </c>
      <c r="B635" s="7" t="str">
        <f>HYPERLINK("https://shopee.co.id/ERHAIR-Restore-Shield-Serum-100ml-i.129153987.6178797993", "https://shopee.co.id/ERHAIR-Restore-Shield-Serum-100ml-i.129153987.6178797993")</f>
        <v>https://shopee.co.id/ERHAIR-Restore-Shield-Serum-100ml-i.129153987.6178797993</v>
      </c>
      <c r="C635" s="6" t="s">
        <v>1361</v>
      </c>
      <c r="D635" s="6" t="s">
        <v>182</v>
      </c>
      <c r="E635" s="6" t="s">
        <v>12</v>
      </c>
      <c r="F635" s="6" t="s">
        <v>13</v>
      </c>
      <c r="G635" s="6" t="s">
        <v>61</v>
      </c>
      <c r="H635" s="8" t="s">
        <v>1357</v>
      </c>
      <c r="I635" s="9">
        <v>1.044E7</v>
      </c>
      <c r="J635" s="5" t="str">
        <f t="shared" ref="J635:K635" si="635">SUBSTITUTE(H635, ",", "")</f>
        <v>72</v>
      </c>
      <c r="K635" s="5" t="str">
        <f t="shared" si="635"/>
        <v>Rp10440000</v>
      </c>
      <c r="L635" s="5" t="str">
        <f t="shared" si="3"/>
        <v>10440000</v>
      </c>
    </row>
    <row r="636">
      <c r="A636" s="6" t="s">
        <v>1362</v>
      </c>
      <c r="B636" s="7" t="str">
        <f>HYPERLINK("https://shopee.co.id/Laneige-Water-Bank-Moisture-Essence-70ml-i.52917348.9734181917", "https://shopee.co.id/Laneige-Water-Bank-Moisture-Essence-70ml-i.52917348.9734181917")</f>
        <v>https://shopee.co.id/Laneige-Water-Bank-Moisture-Essence-70ml-i.52917348.9734181917</v>
      </c>
      <c r="C636" s="6" t="s">
        <v>364</v>
      </c>
      <c r="D636" s="6" t="s">
        <v>365</v>
      </c>
      <c r="E636" s="6" t="s">
        <v>12</v>
      </c>
      <c r="F636" s="6" t="s">
        <v>13</v>
      </c>
      <c r="G636" s="6" t="s">
        <v>61</v>
      </c>
      <c r="H636" s="8" t="s">
        <v>1363</v>
      </c>
      <c r="I636" s="9">
        <v>3.5424E7</v>
      </c>
      <c r="J636" s="5" t="str">
        <f t="shared" ref="J636:K636" si="636">SUBSTITUTE(H636, ",", "")</f>
        <v>71</v>
      </c>
      <c r="K636" s="5" t="str">
        <f t="shared" si="636"/>
        <v>Rp35424000</v>
      </c>
      <c r="L636" s="5" t="str">
        <f t="shared" si="3"/>
        <v>35424000</v>
      </c>
    </row>
    <row r="637">
      <c r="A637" s="6" t="s">
        <v>1364</v>
      </c>
      <c r="B637" s="7" t="str">
        <f>HYPERLINK("https://shopee.co.id/Hanasui-Whitening-Gold-Serum-New-Look-New-Formula--i.129681299.2334973160", "https://shopee.co.id/Hanasui-Whitening-Gold-Serum-New-Look-New-Formula--i.129681299.2334973160")</f>
        <v>https://shopee.co.id/Hanasui-Whitening-Gold-Serum-New-Look-New-Formula--i.129681299.2334973160</v>
      </c>
      <c r="C637" s="6" t="s">
        <v>784</v>
      </c>
      <c r="D637" s="6" t="s">
        <v>785</v>
      </c>
      <c r="E637" s="6" t="s">
        <v>12</v>
      </c>
      <c r="F637" s="6" t="s">
        <v>13</v>
      </c>
      <c r="G637" s="6" t="s">
        <v>36</v>
      </c>
      <c r="H637" s="8" t="s">
        <v>1363</v>
      </c>
      <c r="I637" s="9">
        <v>1.976189E7</v>
      </c>
      <c r="J637" s="5" t="str">
        <f t="shared" ref="J637:K637" si="637">SUBSTITUTE(H637, ",", "")</f>
        <v>71</v>
      </c>
      <c r="K637" s="5" t="str">
        <f t="shared" si="637"/>
        <v>Rp19761890</v>
      </c>
      <c r="L637" s="5" t="str">
        <f t="shared" si="3"/>
        <v>19761890</v>
      </c>
    </row>
    <row r="638">
      <c r="A638" s="6" t="s">
        <v>1365</v>
      </c>
      <c r="B638" s="7" t="str">
        <f>HYPERLINK("https://shopee.co.id/SOMETHINC-Bakuchiol-Skinpair-Oil-Serum-20ml-i.68111.6473135276", "https://shopee.co.id/SOMETHINC-Bakuchiol-Skinpair-Oil-Serum-20ml-i.68111.6473135276")</f>
        <v>https://shopee.co.id/SOMETHINC-Bakuchiol-Skinpair-Oil-Serum-20ml-i.68111.6473135276</v>
      </c>
      <c r="C638" s="6" t="s">
        <v>45</v>
      </c>
      <c r="D638" s="6" t="s">
        <v>441</v>
      </c>
      <c r="E638" s="6" t="s">
        <v>12</v>
      </c>
      <c r="F638" s="6" t="s">
        <v>13</v>
      </c>
      <c r="G638" s="6" t="s">
        <v>130</v>
      </c>
      <c r="H638" s="8" t="s">
        <v>1363</v>
      </c>
      <c r="I638" s="9">
        <v>1.49072E7</v>
      </c>
      <c r="J638" s="5" t="str">
        <f t="shared" ref="J638:K638" si="638">SUBSTITUTE(H638, ",", "")</f>
        <v>71</v>
      </c>
      <c r="K638" s="5" t="str">
        <f t="shared" si="638"/>
        <v>Rp14907200</v>
      </c>
      <c r="L638" s="5" t="str">
        <f t="shared" si="3"/>
        <v>14907200</v>
      </c>
    </row>
    <row r="639">
      <c r="A639" s="6" t="s">
        <v>1366</v>
      </c>
      <c r="B639" s="7" t="str">
        <f>HYPERLINK("https://shopee.co.id/The-Aubree-Centella-Herb-Serum-UNSCENTED-30-ml-i.495290309.11420466520", "https://shopee.co.id/The-Aubree-Centella-Herb-Serum-UNSCENTED-30-ml-i.495290309.11420466520")</f>
        <v>https://shopee.co.id/The-Aubree-Centella-Herb-Serum-UNSCENTED-30-ml-i.495290309.11420466520</v>
      </c>
      <c r="C639" s="6" t="s">
        <v>772</v>
      </c>
      <c r="D639" s="6" t="s">
        <v>773</v>
      </c>
      <c r="E639" s="6" t="s">
        <v>12</v>
      </c>
      <c r="F639" s="6" t="s">
        <v>13</v>
      </c>
      <c r="G639" s="6" t="s">
        <v>241</v>
      </c>
      <c r="H639" s="8" t="s">
        <v>1363</v>
      </c>
      <c r="I639" s="9">
        <v>6339600.0</v>
      </c>
      <c r="J639" s="5" t="str">
        <f t="shared" ref="J639:K639" si="639">SUBSTITUTE(H639, ",", "")</f>
        <v>71</v>
      </c>
      <c r="K639" s="5" t="str">
        <f t="shared" si="639"/>
        <v>Rp6339600</v>
      </c>
      <c r="L639" s="5" t="str">
        <f t="shared" si="3"/>
        <v>6339600</v>
      </c>
    </row>
    <row r="640">
      <c r="A640" s="6" t="s">
        <v>1367</v>
      </c>
      <c r="B640" s="7" t="str">
        <f>HYPERLINK("https://shopee.co.id/Dear-Me-Beauty-5-Inoceramide-Ceramide-Pomegranate-Extract-Face-Serum-12ml-i.45495764.9548394639", "https://shopee.co.id/Dear-Me-Beauty-5-Inoceramide-Ceramide-Pomegranate-Extract-Face-Serum-12ml-i.45495764.9548394639")</f>
        <v>https://shopee.co.id/Dear-Me-Beauty-5-Inoceramide-Ceramide-Pomegranate-Extract-Face-Serum-12ml-i.45495764.9548394639</v>
      </c>
      <c r="C640" s="6" t="s">
        <v>70</v>
      </c>
      <c r="D640" s="6" t="s">
        <v>71</v>
      </c>
      <c r="E640" s="6" t="s">
        <v>12</v>
      </c>
      <c r="F640" s="6" t="s">
        <v>13</v>
      </c>
      <c r="G640" s="6" t="s">
        <v>61</v>
      </c>
      <c r="H640" s="8" t="s">
        <v>1368</v>
      </c>
      <c r="I640" s="9">
        <v>1.33E7</v>
      </c>
      <c r="J640" s="5" t="str">
        <f t="shared" ref="J640:K640" si="640">SUBSTITUTE(H640, ",", "")</f>
        <v>70</v>
      </c>
      <c r="K640" s="5" t="str">
        <f t="shared" si="640"/>
        <v>Rp13300000</v>
      </c>
      <c r="L640" s="5" t="str">
        <f t="shared" si="3"/>
        <v>13300000</v>
      </c>
    </row>
    <row r="641">
      <c r="A641" s="6" t="s">
        <v>1369</v>
      </c>
      <c r="B641" s="7" t="str">
        <f>HYPERLINK("https://shopee.co.id/Airnderm-Aesthetic-Brightening-Serum-by-AIRIN-BEAUTY--i.112372548.3836177418", "https://shopee.co.id/Airnderm-Aesthetic-Brightening-Serum-by-AIRIN-BEAUTY--i.112372548.3836177418")</f>
        <v>https://shopee.co.id/Airnderm-Aesthetic-Brightening-Serum-by-AIRIN-BEAUTY--i.112372548.3836177418</v>
      </c>
      <c r="C641" s="6" t="s">
        <v>239</v>
      </c>
      <c r="D641" s="6" t="s">
        <v>240</v>
      </c>
      <c r="E641" s="6" t="s">
        <v>12</v>
      </c>
      <c r="F641" s="6" t="s">
        <v>13</v>
      </c>
      <c r="G641" s="6" t="s">
        <v>241</v>
      </c>
      <c r="H641" s="8" t="s">
        <v>1368</v>
      </c>
      <c r="I641" s="9">
        <v>6736800.0</v>
      </c>
      <c r="J641" s="5" t="str">
        <f t="shared" ref="J641:K641" si="641">SUBSTITUTE(H641, ",", "")</f>
        <v>70</v>
      </c>
      <c r="K641" s="5" t="str">
        <f t="shared" si="641"/>
        <v>Rp6736800</v>
      </c>
      <c r="L641" s="5" t="str">
        <f t="shared" si="3"/>
        <v>6736800</v>
      </c>
    </row>
    <row r="642">
      <c r="A642" s="6" t="s">
        <v>1370</v>
      </c>
      <c r="B642" s="7" t="str">
        <f>HYPERLINK("https://shopee.co.id/Avoskin-Perfect-Hydrating-Treatment-Essence-100-Ml-Menjaga-Kesegaran-Dan-Kelembapan-Kulit-i.50972887.7357760474", "https://shopee.co.id/Avoskin-Perfect-Hydrating-Treatment-Essence-100-Ml-Menjaga-Kesegaran-Dan-Kelembapan-Kulit-i.50972887.7357760474")</f>
        <v>https://shopee.co.id/Avoskin-Perfect-Hydrating-Treatment-Essence-100-Ml-Menjaga-Kesegaran-Dan-Kelembapan-Kulit-i.50972887.7357760474</v>
      </c>
      <c r="C642" s="6" t="s">
        <v>83</v>
      </c>
      <c r="D642" s="6" t="s">
        <v>552</v>
      </c>
      <c r="E642" s="6" t="s">
        <v>12</v>
      </c>
      <c r="F642" s="6" t="s">
        <v>13</v>
      </c>
      <c r="G642" s="6" t="s">
        <v>61</v>
      </c>
      <c r="H642" s="8" t="s">
        <v>1368</v>
      </c>
      <c r="I642" s="9">
        <v>4629700.0</v>
      </c>
      <c r="J642" s="5" t="str">
        <f t="shared" ref="J642:K642" si="642">SUBSTITUTE(H642, ",", "")</f>
        <v>70</v>
      </c>
      <c r="K642" s="5" t="str">
        <f t="shared" si="642"/>
        <v>Rp4629700</v>
      </c>
      <c r="L642" s="5" t="str">
        <f t="shared" si="3"/>
        <v>4629700</v>
      </c>
    </row>
    <row r="643">
      <c r="A643" s="6" t="s">
        <v>1371</v>
      </c>
      <c r="B643" s="7" t="str">
        <f>HYPERLINK("https://shopee.co.id/Sk-Ii-Genoptics-Aura-Essence-i.339725786.10101196118", "https://shopee.co.id/Sk-Ii-Genoptics-Aura-Essence-i.339725786.10101196118")</f>
        <v>https://shopee.co.id/Sk-Ii-Genoptics-Aura-Essence-i.339725786.10101196118</v>
      </c>
      <c r="C643" s="6" t="s">
        <v>1372</v>
      </c>
      <c r="D643" s="6" t="s">
        <v>1373</v>
      </c>
      <c r="E643" s="6" t="s">
        <v>12</v>
      </c>
      <c r="F643" s="6" t="s">
        <v>13</v>
      </c>
      <c r="G643" s="6" t="s">
        <v>98</v>
      </c>
      <c r="H643" s="8" t="s">
        <v>1368</v>
      </c>
      <c r="I643" s="9">
        <v>1.73565E7</v>
      </c>
      <c r="J643" s="5" t="str">
        <f t="shared" ref="J643:K643" si="643">SUBSTITUTE(H643, ",", "")</f>
        <v>70</v>
      </c>
      <c r="K643" s="5" t="str">
        <f t="shared" si="643"/>
        <v>Rp17356500</v>
      </c>
      <c r="L643" s="5" t="str">
        <f t="shared" si="3"/>
        <v>17356500</v>
      </c>
    </row>
    <row r="644">
      <c r="A644" s="6" t="s">
        <v>1374</v>
      </c>
      <c r="B644" s="7" t="str">
        <f>HYPERLINK("https://shopee.co.id/SOMETHINC-5-Niacinamide-Moisture-Sabi-Beet-Serum-20ml-i.30736001.9635381836", "https://shopee.co.id/SOMETHINC-5-Niacinamide-Moisture-Sabi-Beet-Serum-20ml-i.30736001.9635381836")</f>
        <v>https://shopee.co.id/SOMETHINC-5-Niacinamide-Moisture-Sabi-Beet-Serum-20ml-i.30736001.9635381836</v>
      </c>
      <c r="C644" s="6" t="s">
        <v>45</v>
      </c>
      <c r="D644" s="6" t="s">
        <v>335</v>
      </c>
      <c r="E644" s="6" t="s">
        <v>12</v>
      </c>
      <c r="F644" s="6" t="s">
        <v>13</v>
      </c>
      <c r="G644" s="6" t="s">
        <v>36</v>
      </c>
      <c r="H644" s="8" t="s">
        <v>1375</v>
      </c>
      <c r="I644" s="9">
        <v>1.01469E7</v>
      </c>
      <c r="J644" s="5" t="str">
        <f t="shared" ref="J644:K644" si="644">SUBSTITUTE(H644, ",", "")</f>
        <v>69</v>
      </c>
      <c r="K644" s="5" t="str">
        <f t="shared" si="644"/>
        <v>Rp10146900</v>
      </c>
      <c r="L644" s="5" t="str">
        <f t="shared" si="3"/>
        <v>10146900</v>
      </c>
    </row>
    <row r="645">
      <c r="A645" s="6" t="s">
        <v>1376</v>
      </c>
      <c r="B645" s="7" t="str">
        <f>HYPERLINK("https://shopee.co.id/L-Occitane-Reine-Blanche-Bright-Serum-30mL-New-Formula-30-mL--i.88079439.1480571611", "https://shopee.co.id/L-Occitane-Reine-Blanche-Bright-Serum-30mL-New-Formula-30-mL--i.88079439.1480571611")</f>
        <v>https://shopee.co.id/L-Occitane-Reine-Blanche-Bright-Serum-30mL-New-Formula-30-mL--i.88079439.1480571611</v>
      </c>
      <c r="C645" s="6" t="s">
        <v>579</v>
      </c>
      <c r="D645" s="6" t="s">
        <v>580</v>
      </c>
      <c r="E645" s="6" t="s">
        <v>12</v>
      </c>
      <c r="F645" s="6" t="s">
        <v>13</v>
      </c>
      <c r="G645" s="6" t="s">
        <v>532</v>
      </c>
      <c r="H645" s="8" t="s">
        <v>1375</v>
      </c>
      <c r="I645" s="9">
        <v>2.4081E7</v>
      </c>
      <c r="J645" s="5" t="str">
        <f t="shared" ref="J645:K645" si="645">SUBSTITUTE(H645, ",", "")</f>
        <v>69</v>
      </c>
      <c r="K645" s="5" t="str">
        <f t="shared" si="645"/>
        <v>Rp24081000</v>
      </c>
      <c r="L645" s="5" t="str">
        <f t="shared" si="3"/>
        <v>24081000</v>
      </c>
    </row>
    <row r="646">
      <c r="A646" s="6" t="s">
        <v>1377</v>
      </c>
      <c r="B646" s="7" t="str">
        <f>HYPERLINK("https://shopee.co.id/ERTOS-Retinol-Serum-Wajah-BPOM-ORIGINAL-Atasi-Kerutan-Noda-Hitam-Mencerahkan-Wajah-i.23831802.3642035008", "https://shopee.co.id/ERTOS-Retinol-Serum-Wajah-BPOM-ORIGINAL-Atasi-Kerutan-Noda-Hitam-Mencerahkan-Wajah-i.23831802.3642035008")</f>
        <v>https://shopee.co.id/ERTOS-Retinol-Serum-Wajah-BPOM-ORIGINAL-Atasi-Kerutan-Noda-Hitam-Mencerahkan-Wajah-i.23831802.3642035008</v>
      </c>
      <c r="C646" s="6" t="s">
        <v>467</v>
      </c>
      <c r="D646" s="6" t="s">
        <v>1084</v>
      </c>
      <c r="E646" s="6" t="s">
        <v>12</v>
      </c>
      <c r="F646" s="6" t="s">
        <v>13</v>
      </c>
      <c r="G646" s="6" t="s">
        <v>1085</v>
      </c>
      <c r="H646" s="8" t="s">
        <v>1375</v>
      </c>
      <c r="I646" s="9">
        <v>7969500.0</v>
      </c>
      <c r="J646" s="5" t="str">
        <f t="shared" ref="J646:K646" si="646">SUBSTITUTE(H646, ",", "")</f>
        <v>69</v>
      </c>
      <c r="K646" s="5" t="str">
        <f t="shared" si="646"/>
        <v>Rp7969500</v>
      </c>
      <c r="L646" s="5" t="str">
        <f t="shared" si="3"/>
        <v>7969500</v>
      </c>
    </row>
    <row r="647">
      <c r="A647" s="6" t="s">
        <v>1378</v>
      </c>
      <c r="B647" s="7" t="str">
        <f>HYPERLINK("https://shopee.co.id/-Limited-Edition-Olay-Serum-Wajah-White-Radiance-Light-Perfecting-Essence-Pencerah-Skincare-30ml-i.11487927.9646202813", "https://shopee.co.id/-Limited-Edition-Olay-Serum-Wajah-White-Radiance-Light-Perfecting-Essence-Pencerah-Skincare-30ml-i.11487927.9646202813")</f>
        <v>https://shopee.co.id/-Limited-Edition-Olay-Serum-Wajah-White-Radiance-Light-Perfecting-Essence-Pencerah-Skincare-30ml-i.11487927.9646202813</v>
      </c>
      <c r="C647" s="6" t="s">
        <v>317</v>
      </c>
      <c r="D647" s="6" t="s">
        <v>318</v>
      </c>
      <c r="E647" s="6" t="s">
        <v>12</v>
      </c>
      <c r="F647" s="6" t="s">
        <v>13</v>
      </c>
      <c r="G647" s="6" t="s">
        <v>296</v>
      </c>
      <c r="H647" s="8" t="s">
        <v>1379</v>
      </c>
      <c r="I647" s="9">
        <v>2.82226E7</v>
      </c>
      <c r="J647" s="5" t="str">
        <f t="shared" ref="J647:K647" si="647">SUBSTITUTE(H647, ",", "")</f>
        <v>68</v>
      </c>
      <c r="K647" s="5" t="str">
        <f t="shared" si="647"/>
        <v>Rp28222600</v>
      </c>
      <c r="L647" s="5" t="str">
        <f t="shared" si="3"/>
        <v>28222600</v>
      </c>
    </row>
    <row r="648">
      <c r="A648" s="6" t="s">
        <v>1380</v>
      </c>
      <c r="B648" s="7" t="str">
        <f>HYPERLINK("https://shopee.co.id/Somethinc-HYAluronic9-Advanced-B5-Serum-40-ml-i.110573301.5579522402", "https://shopee.co.id/Somethinc-HYAluronic9-Advanced-B5-Serum-40-ml-i.110573301.5579522402")</f>
        <v>https://shopee.co.id/Somethinc-HYAluronic9-Advanced-B5-Serum-40-ml-i.110573301.5579522402</v>
      </c>
      <c r="C648" s="6" t="s">
        <v>45</v>
      </c>
      <c r="D648" s="6" t="s">
        <v>227</v>
      </c>
      <c r="E648" s="6" t="s">
        <v>12</v>
      </c>
      <c r="F648" s="6" t="s">
        <v>13</v>
      </c>
      <c r="G648" s="6" t="s">
        <v>61</v>
      </c>
      <c r="H648" s="8" t="s">
        <v>1379</v>
      </c>
      <c r="I648" s="9">
        <v>9720718.0</v>
      </c>
      <c r="J648" s="5" t="str">
        <f t="shared" ref="J648:K648" si="648">SUBSTITUTE(H648, ",", "")</f>
        <v>68</v>
      </c>
      <c r="K648" s="5" t="str">
        <f t="shared" si="648"/>
        <v>Rp9720718</v>
      </c>
      <c r="L648" s="5" t="str">
        <f t="shared" si="3"/>
        <v>9720718</v>
      </c>
    </row>
    <row r="649">
      <c r="A649" s="6" t="s">
        <v>1381</v>
      </c>
      <c r="B649" s="7" t="str">
        <f>HYPERLINK("https://shopee.co.id/Mineral-Botanica-Age-Defying-Serum-i.124549994.1922724921", "https://shopee.co.id/Mineral-Botanica-Age-Defying-Serum-i.124549994.1922724921")</f>
        <v>https://shopee.co.id/Mineral-Botanica-Age-Defying-Serum-i.124549994.1922724921</v>
      </c>
      <c r="C649" s="6" t="s">
        <v>807</v>
      </c>
      <c r="D649" s="6" t="s">
        <v>808</v>
      </c>
      <c r="E649" s="6" t="s">
        <v>12</v>
      </c>
      <c r="F649" s="6" t="s">
        <v>13</v>
      </c>
      <c r="G649" s="6" t="s">
        <v>61</v>
      </c>
      <c r="H649" s="8" t="s">
        <v>1382</v>
      </c>
      <c r="I649" s="9">
        <v>3.578E7</v>
      </c>
      <c r="J649" s="5" t="str">
        <f t="shared" ref="J649:K649" si="649">SUBSTITUTE(H649, ",", "")</f>
        <v>67</v>
      </c>
      <c r="K649" s="5" t="str">
        <f t="shared" si="649"/>
        <v>Rp35780000</v>
      </c>
      <c r="L649" s="5" t="str">
        <f t="shared" si="3"/>
        <v>35780000</v>
      </c>
    </row>
    <row r="650">
      <c r="A650" s="6" t="s">
        <v>1383</v>
      </c>
      <c r="B650" s="7" t="str">
        <f>HYPERLINK("https://shopee.co.id/-BPOM-BREYLEE-Pomegranate-Serum-Facial-Mask-Melembabkan-Menutrisi-30-ml--i.324706771.8163749518", "https://shopee.co.id/-BPOM-BREYLEE-Pomegranate-Serum-Facial-Mask-Melembabkan-Menutrisi-30-ml--i.324706771.8163749518")</f>
        <v>https://shopee.co.id/-BPOM-BREYLEE-Pomegranate-Serum-Facial-Mask-Melembabkan-Menutrisi-30-ml--i.324706771.8163749518</v>
      </c>
      <c r="C650" s="6" t="s">
        <v>852</v>
      </c>
      <c r="D650" s="6" t="s">
        <v>853</v>
      </c>
      <c r="E650" s="6" t="s">
        <v>12</v>
      </c>
      <c r="F650" s="6" t="s">
        <v>13</v>
      </c>
      <c r="G650" s="6" t="s">
        <v>532</v>
      </c>
      <c r="H650" s="8" t="s">
        <v>1382</v>
      </c>
      <c r="I650" s="9">
        <v>8551900.0</v>
      </c>
      <c r="J650" s="5" t="str">
        <f t="shared" ref="J650:K650" si="650">SUBSTITUTE(H650, ",", "")</f>
        <v>67</v>
      </c>
      <c r="K650" s="5" t="str">
        <f t="shared" si="650"/>
        <v>Rp8551900</v>
      </c>
      <c r="L650" s="5" t="str">
        <f t="shared" si="3"/>
        <v>8551900</v>
      </c>
    </row>
    <row r="651">
      <c r="A651" s="6" t="s">
        <v>1384</v>
      </c>
      <c r="B651" s="7" t="str">
        <f>HYPERLINK("https://shopee.co.id/YOU-Golden-Age-Refining-Serum-5ml-TRAVEL-SIZE-i.72375863.7894736238", "https://shopee.co.id/YOU-Golden-Age-Refining-Serum-5ml-TRAVEL-SIZE-i.72375863.7894736238")</f>
        <v>https://shopee.co.id/YOU-Golden-Age-Refining-Serum-5ml-TRAVEL-SIZE-i.72375863.7894736238</v>
      </c>
      <c r="C651" s="6" t="s">
        <v>128</v>
      </c>
      <c r="D651" s="6" t="s">
        <v>129</v>
      </c>
      <c r="E651" s="6" t="s">
        <v>12</v>
      </c>
      <c r="F651" s="6" t="s">
        <v>13</v>
      </c>
      <c r="G651" s="6" t="s">
        <v>130</v>
      </c>
      <c r="H651" s="8" t="s">
        <v>1382</v>
      </c>
      <c r="I651" s="9">
        <v>8643000.0</v>
      </c>
      <c r="J651" s="5" t="str">
        <f t="shared" ref="J651:K651" si="651">SUBSTITUTE(H651, ",", "")</f>
        <v>67</v>
      </c>
      <c r="K651" s="5" t="str">
        <f t="shared" si="651"/>
        <v>Rp8643000</v>
      </c>
      <c r="L651" s="5" t="str">
        <f t="shared" si="3"/>
        <v>8643000</v>
      </c>
    </row>
    <row r="652">
      <c r="A652" s="6" t="s">
        <v>1385</v>
      </c>
      <c r="B652" s="7" t="str">
        <f>HYPERLINK("https://shopee.co.id/Secret-Key-Starting-Treatment-Essence-155ml-i.30736001.5488100052", "https://shopee.co.id/Secret-Key-Starting-Treatment-Essence-155ml-i.30736001.5488100052")</f>
        <v>https://shopee.co.id/Secret-Key-Starting-Treatment-Essence-155ml-i.30736001.5488100052</v>
      </c>
      <c r="C652" s="6" t="s">
        <v>1340</v>
      </c>
      <c r="D652" s="6" t="s">
        <v>335</v>
      </c>
      <c r="E652" s="6" t="s">
        <v>12</v>
      </c>
      <c r="F652" s="6" t="s">
        <v>13</v>
      </c>
      <c r="G652" s="6" t="s">
        <v>36</v>
      </c>
      <c r="H652" s="8" t="s">
        <v>1382</v>
      </c>
      <c r="I652" s="9">
        <v>8643000.0</v>
      </c>
      <c r="J652" s="5" t="str">
        <f t="shared" ref="J652:K652" si="652">SUBSTITUTE(H652, ",", "")</f>
        <v>67</v>
      </c>
      <c r="K652" s="5" t="str">
        <f t="shared" si="652"/>
        <v>Rp8643000</v>
      </c>
      <c r="L652" s="5" t="str">
        <f t="shared" si="3"/>
        <v>8643000</v>
      </c>
    </row>
    <row r="653">
      <c r="A653" s="6" t="s">
        <v>1386</v>
      </c>
      <c r="B653" s="7" t="str">
        <f>HYPERLINK("https://shopee.co.id/Bioderma-Hydrabio-Serum-40ml-Hydrating-Skin-Barrier-Bundle-i.134089202.2959849881", "https://shopee.co.id/Bioderma-Hydrabio-Serum-40ml-Hydrating-Skin-Barrier-Bundle-i.134089202.2959849881")</f>
        <v>https://shopee.co.id/Bioderma-Hydrabio-Serum-40ml-Hydrating-Skin-Barrier-Bundle-i.134089202.2959849881</v>
      </c>
      <c r="C653" s="6" t="s">
        <v>1387</v>
      </c>
      <c r="D653" s="6" t="s">
        <v>1388</v>
      </c>
      <c r="E653" s="6" t="s">
        <v>12</v>
      </c>
      <c r="F653" s="6" t="s">
        <v>13</v>
      </c>
      <c r="G653" s="6" t="s">
        <v>130</v>
      </c>
      <c r="H653" s="8" t="s">
        <v>1382</v>
      </c>
      <c r="I653" s="9">
        <v>3706640.0</v>
      </c>
      <c r="J653" s="5" t="str">
        <f t="shared" ref="J653:K653" si="653">SUBSTITUTE(H653, ",", "")</f>
        <v>67</v>
      </c>
      <c r="K653" s="5" t="str">
        <f t="shared" si="653"/>
        <v>Rp3706640</v>
      </c>
      <c r="L653" s="5" t="str">
        <f t="shared" si="3"/>
        <v>3706640</v>
      </c>
    </row>
    <row r="654">
      <c r="A654" s="6" t="s">
        <v>1389</v>
      </c>
      <c r="B654" s="7" t="str">
        <f>HYPERLINK("https://shopee.co.id/SECA-BAKUCHIOL-1-Serum-i.373749700.9972910134", "https://shopee.co.id/SECA-BAKUCHIOL-1-Serum-i.373749700.9972910134")</f>
        <v>https://shopee.co.id/SECA-BAKUCHIOL-1-Serum-i.373749700.9972910134</v>
      </c>
      <c r="C654" s="6" t="s">
        <v>985</v>
      </c>
      <c r="D654" s="6" t="s">
        <v>986</v>
      </c>
      <c r="E654" s="6" t="s">
        <v>12</v>
      </c>
      <c r="F654" s="6" t="s">
        <v>13</v>
      </c>
      <c r="G654" s="6" t="s">
        <v>36</v>
      </c>
      <c r="H654" s="8" t="s">
        <v>1390</v>
      </c>
      <c r="I654" s="9">
        <v>8712000.0</v>
      </c>
      <c r="J654" s="5" t="str">
        <f t="shared" ref="J654:K654" si="654">SUBSTITUTE(H654, ",", "")</f>
        <v>66</v>
      </c>
      <c r="K654" s="5" t="str">
        <f t="shared" si="654"/>
        <v>Rp8712000</v>
      </c>
      <c r="L654" s="5" t="str">
        <f t="shared" si="3"/>
        <v>8712000</v>
      </c>
    </row>
    <row r="655">
      <c r="A655" s="6" t="s">
        <v>1391</v>
      </c>
      <c r="B655" s="7" t="str">
        <f>HYPERLINK("https://shopee.co.id/GEUT-BY-DR-T-REVITALIZE-Vitamin-C-Serum-10ml-i.430986274.2969728305", "https://shopee.co.id/GEUT-BY-DR-T-REVITALIZE-Vitamin-C-Serum-10ml-i.430986274.2969728305")</f>
        <v>https://shopee.co.id/GEUT-BY-DR-T-REVITALIZE-Vitamin-C-Serum-10ml-i.430986274.2969728305</v>
      </c>
      <c r="C655" s="6" t="s">
        <v>1167</v>
      </c>
      <c r="D655" s="6" t="s">
        <v>1168</v>
      </c>
      <c r="E655" s="6" t="s">
        <v>12</v>
      </c>
      <c r="F655" s="6" t="s">
        <v>13</v>
      </c>
      <c r="G655" s="6" t="s">
        <v>21</v>
      </c>
      <c r="H655" s="8" t="s">
        <v>1390</v>
      </c>
      <c r="I655" s="9">
        <v>5718400.0</v>
      </c>
      <c r="J655" s="5" t="str">
        <f t="shared" ref="J655:K655" si="655">SUBSTITUTE(H655, ",", "")</f>
        <v>66</v>
      </c>
      <c r="K655" s="5" t="str">
        <f t="shared" si="655"/>
        <v>Rp5718400</v>
      </c>
      <c r="L655" s="5" t="str">
        <f t="shared" si="3"/>
        <v>5718400</v>
      </c>
    </row>
    <row r="656">
      <c r="A656" s="6" t="s">
        <v>1392</v>
      </c>
      <c r="B656" s="7" t="str">
        <f>HYPERLINK("https://shopee.co.id/HALE-Brightening-Potion-i.205814683.9450502867", "https://shopee.co.id/HALE-Brightening-Potion-i.205814683.9450502867")</f>
        <v>https://shopee.co.id/HALE-Brightening-Potion-i.205814683.9450502867</v>
      </c>
      <c r="C656" s="6" t="s">
        <v>1393</v>
      </c>
      <c r="D656" s="6" t="s">
        <v>1394</v>
      </c>
      <c r="E656" s="6" t="s">
        <v>12</v>
      </c>
      <c r="F656" s="6" t="s">
        <v>13</v>
      </c>
      <c r="G656" s="6" t="s">
        <v>98</v>
      </c>
      <c r="H656" s="8" t="s">
        <v>1390</v>
      </c>
      <c r="I656" s="9">
        <v>1140000.0</v>
      </c>
      <c r="J656" s="5" t="str">
        <f t="shared" ref="J656:K656" si="656">SUBSTITUTE(H656, ",", "")</f>
        <v>66</v>
      </c>
      <c r="K656" s="5" t="str">
        <f t="shared" si="656"/>
        <v>Rp1140000</v>
      </c>
      <c r="L656" s="5" t="str">
        <f t="shared" si="3"/>
        <v>1140000</v>
      </c>
    </row>
    <row r="657">
      <c r="A657" s="6" t="s">
        <v>1395</v>
      </c>
      <c r="B657" s="7" t="str">
        <f>HYPERLINK("https://shopee.co.id/Promo-2pcs-Cleora-Beauty-Jelly-Booster-Free-Pouch-i.215119251.2938193313", "https://shopee.co.id/Promo-2pcs-Cleora-Beauty-Jelly-Booster-Free-Pouch-i.215119251.2938193313")</f>
        <v>https://shopee.co.id/Promo-2pcs-Cleora-Beauty-Jelly-Booster-Free-Pouch-i.215119251.2938193313</v>
      </c>
      <c r="C657" s="6" t="s">
        <v>573</v>
      </c>
      <c r="D657" s="6" t="s">
        <v>574</v>
      </c>
      <c r="E657" s="6" t="s">
        <v>12</v>
      </c>
      <c r="F657" s="6" t="s">
        <v>13</v>
      </c>
      <c r="G657" s="6" t="s">
        <v>370</v>
      </c>
      <c r="H657" s="8" t="s">
        <v>1390</v>
      </c>
      <c r="I657" s="9">
        <v>9900000.0</v>
      </c>
      <c r="J657" s="5" t="str">
        <f t="shared" ref="J657:K657" si="657">SUBSTITUTE(H657, ",", "")</f>
        <v>66</v>
      </c>
      <c r="K657" s="5" t="str">
        <f t="shared" si="657"/>
        <v>Rp9900000</v>
      </c>
      <c r="L657" s="5" t="str">
        <f t="shared" si="3"/>
        <v>9900000</v>
      </c>
    </row>
    <row r="658">
      <c r="A658" s="6" t="s">
        <v>1396</v>
      </c>
      <c r="B658" s="7" t="str">
        <f>HYPERLINK("https://shopee.co.id/L-Oreal-Paris-Revitalift-Crystal-Micro-Essence-Serum-Mask-Skin-Care-Buy-3-Get-3-i.62579622.6970580158", "https://shopee.co.id/L-Oreal-Paris-Revitalift-Crystal-Micro-Essence-Serum-Mask-Skin-Care-Buy-3-Get-3-i.62579622.6970580158")</f>
        <v>https://shopee.co.id/L-Oreal-Paris-Revitalift-Crystal-Micro-Essence-Serum-Mask-Skin-Care-Buy-3-Get-3-i.62579622.6970580158</v>
      </c>
      <c r="C658" s="6" t="s">
        <v>105</v>
      </c>
      <c r="D658" s="6" t="s">
        <v>106</v>
      </c>
      <c r="E658" s="6" t="s">
        <v>12</v>
      </c>
      <c r="F658" s="6" t="s">
        <v>13</v>
      </c>
      <c r="G658" s="6" t="s">
        <v>61</v>
      </c>
      <c r="H658" s="8" t="s">
        <v>1390</v>
      </c>
      <c r="I658" s="9">
        <v>1.188E7</v>
      </c>
      <c r="J658" s="5" t="str">
        <f t="shared" ref="J658:K658" si="658">SUBSTITUTE(H658, ",", "")</f>
        <v>66</v>
      </c>
      <c r="K658" s="5" t="str">
        <f t="shared" si="658"/>
        <v>Rp11880000</v>
      </c>
      <c r="L658" s="5" t="str">
        <f t="shared" si="3"/>
        <v>11880000</v>
      </c>
    </row>
    <row r="659">
      <c r="A659" s="6" t="s">
        <v>1397</v>
      </c>
      <c r="B659" s="7" t="str">
        <f>HYPERLINK("https://shopee.co.id/PIXY-White-Aqua-Concentrated-Brightening-Serum-i.168693892.2900798584", "https://shopee.co.id/PIXY-White-Aqua-Concentrated-Brightening-Serum-i.168693892.2900798584")</f>
        <v>https://shopee.co.id/PIXY-White-Aqua-Concentrated-Brightening-Serum-i.168693892.2900798584</v>
      </c>
      <c r="C659" s="6" t="s">
        <v>1398</v>
      </c>
      <c r="D659" s="6" t="s">
        <v>1399</v>
      </c>
      <c r="E659" s="6" t="s">
        <v>12</v>
      </c>
      <c r="F659" s="6" t="s">
        <v>13</v>
      </c>
      <c r="G659" s="6" t="s">
        <v>61</v>
      </c>
      <c r="H659" s="8" t="s">
        <v>1400</v>
      </c>
      <c r="I659" s="9">
        <v>4860000.0</v>
      </c>
      <c r="J659" s="5" t="str">
        <f t="shared" ref="J659:K659" si="659">SUBSTITUTE(H659, ",", "")</f>
        <v>65</v>
      </c>
      <c r="K659" s="5" t="str">
        <f t="shared" si="659"/>
        <v>Rp4860000</v>
      </c>
      <c r="L659" s="5" t="str">
        <f t="shared" si="3"/>
        <v>4860000</v>
      </c>
    </row>
    <row r="660">
      <c r="A660" s="6" t="s">
        <v>1401</v>
      </c>
      <c r="B660" s="7" t="str">
        <f>HYPERLINK("https://shopee.co.id/Westcare-Bounce-and-Glow-Serum-i.240494994.3633673674", "https://shopee.co.id/Westcare-Bounce-and-Glow-Serum-i.240494994.3633673674")</f>
        <v>https://shopee.co.id/Westcare-Bounce-and-Glow-Serum-i.240494994.3633673674</v>
      </c>
      <c r="C660" s="6" t="s">
        <v>1402</v>
      </c>
      <c r="D660" s="6" t="s">
        <v>1403</v>
      </c>
      <c r="E660" s="6" t="s">
        <v>12</v>
      </c>
      <c r="F660" s="6" t="s">
        <v>13</v>
      </c>
      <c r="G660" s="6" t="s">
        <v>36</v>
      </c>
      <c r="H660" s="8" t="s">
        <v>1400</v>
      </c>
      <c r="I660" s="9">
        <v>2.27105E7</v>
      </c>
      <c r="J660" s="5" t="str">
        <f t="shared" ref="J660:K660" si="660">SUBSTITUTE(H660, ",", "")</f>
        <v>65</v>
      </c>
      <c r="K660" s="5" t="str">
        <f t="shared" si="660"/>
        <v>Rp22710500</v>
      </c>
      <c r="L660" s="5" t="str">
        <f t="shared" si="3"/>
        <v>22710500</v>
      </c>
    </row>
    <row r="661">
      <c r="A661" s="6" t="s">
        <v>1404</v>
      </c>
      <c r="B661" s="7" t="str">
        <f>HYPERLINK("https://shopee.co.id/GEUT-BY-DR-T-REVITALIZE-Vitamin-C-Serum-30ml-i.430986274.6890168571", "https://shopee.co.id/GEUT-BY-DR-T-REVITALIZE-Vitamin-C-Serum-30ml-i.430986274.6890168571")</f>
        <v>https://shopee.co.id/GEUT-BY-DR-T-REVITALIZE-Vitamin-C-Serum-30ml-i.430986274.6890168571</v>
      </c>
      <c r="C661" s="6" t="s">
        <v>1167</v>
      </c>
      <c r="D661" s="6" t="s">
        <v>1168</v>
      </c>
      <c r="E661" s="6" t="s">
        <v>12</v>
      </c>
      <c r="F661" s="6" t="s">
        <v>13</v>
      </c>
      <c r="G661" s="6" t="s">
        <v>21</v>
      </c>
      <c r="H661" s="8" t="s">
        <v>1400</v>
      </c>
      <c r="I661" s="9">
        <v>4875000.0</v>
      </c>
      <c r="J661" s="5" t="str">
        <f t="shared" ref="J661:K661" si="661">SUBSTITUTE(H661, ",", "")</f>
        <v>65</v>
      </c>
      <c r="K661" s="5" t="str">
        <f t="shared" si="661"/>
        <v>Rp4875000</v>
      </c>
      <c r="L661" s="5" t="str">
        <f t="shared" si="3"/>
        <v>4875000</v>
      </c>
    </row>
    <row r="662">
      <c r="A662" s="6" t="s">
        <v>1405</v>
      </c>
      <c r="B662" s="7" t="str">
        <f>HYPERLINK("https://shopee.co.id/ElsheSkin-Radiant-Skin-Serum-Moisturizer-for-Acne-Skin-i.9035345.10808701869", "https://shopee.co.id/ElsheSkin-Radiant-Skin-Serum-Moisturizer-for-Acne-Skin-i.9035345.10808701869")</f>
        <v>https://shopee.co.id/ElsheSkin-Radiant-Skin-Serum-Moisturizer-for-Acne-Skin-i.9035345.10808701869</v>
      </c>
      <c r="C662" s="6" t="s">
        <v>135</v>
      </c>
      <c r="D662" s="6" t="s">
        <v>136</v>
      </c>
      <c r="E662" s="6" t="s">
        <v>12</v>
      </c>
      <c r="F662" s="6" t="s">
        <v>13</v>
      </c>
      <c r="G662" s="6" t="s">
        <v>80</v>
      </c>
      <c r="H662" s="8" t="s">
        <v>1406</v>
      </c>
      <c r="I662" s="9">
        <v>4003879.0</v>
      </c>
      <c r="J662" s="5" t="str">
        <f t="shared" ref="J662:K662" si="662">SUBSTITUTE(H662, ",", "")</f>
        <v>64</v>
      </c>
      <c r="K662" s="5" t="str">
        <f t="shared" si="662"/>
        <v>Rp4003879</v>
      </c>
      <c r="L662" s="5" t="str">
        <f t="shared" si="3"/>
        <v>4003879</v>
      </c>
    </row>
    <row r="663">
      <c r="A663" s="6" t="s">
        <v>1407</v>
      </c>
      <c r="B663" s="7" t="str">
        <f>HYPERLINK("https://shopee.co.id/Bio-Essence-Bio-Gold-Double-Serum-36ml-Perawatan-Wajah-Anti-Aging-i.63822287.1671468795", "https://shopee.co.id/Bio-Essence-Bio-Gold-Double-Serum-36ml-Perawatan-Wajah-Anti-Aging-i.63822287.1671468795")</f>
        <v>https://shopee.co.id/Bio-Essence-Bio-Gold-Double-Serum-36ml-Perawatan-Wajah-Anti-Aging-i.63822287.1671468795</v>
      </c>
      <c r="C663" s="6" t="s">
        <v>834</v>
      </c>
      <c r="D663" s="6" t="s">
        <v>835</v>
      </c>
      <c r="E663" s="6" t="s">
        <v>12</v>
      </c>
      <c r="F663" s="6" t="s">
        <v>13</v>
      </c>
      <c r="G663" s="6" t="s">
        <v>61</v>
      </c>
      <c r="H663" s="8" t="s">
        <v>1406</v>
      </c>
      <c r="I663" s="9">
        <v>1824000.0</v>
      </c>
      <c r="J663" s="5" t="str">
        <f t="shared" ref="J663:K663" si="663">SUBSTITUTE(H663, ",", "")</f>
        <v>64</v>
      </c>
      <c r="K663" s="5" t="str">
        <f t="shared" si="663"/>
        <v>Rp1824000</v>
      </c>
      <c r="L663" s="5" t="str">
        <f t="shared" si="3"/>
        <v>1824000</v>
      </c>
    </row>
    <row r="664">
      <c r="A664" s="6" t="s">
        <v>1408</v>
      </c>
      <c r="B664" s="7" t="str">
        <f>HYPERLINK("https://shopee.co.id/Bio-Essence-Bio-Gold-Radiance-Cleanser-100-gr-Twinpack-Special-i.63822287.9138783184", "https://shopee.co.id/Bio-Essence-Bio-Gold-Radiance-Cleanser-100-gr-Twinpack-Special-i.63822287.9138783184")</f>
        <v>https://shopee.co.id/Bio-Essence-Bio-Gold-Radiance-Cleanser-100-gr-Twinpack-Special-i.63822287.9138783184</v>
      </c>
      <c r="C664" s="6" t="s">
        <v>834</v>
      </c>
      <c r="D664" s="6" t="s">
        <v>835</v>
      </c>
      <c r="E664" s="6" t="s">
        <v>12</v>
      </c>
      <c r="F664" s="6" t="s">
        <v>13</v>
      </c>
      <c r="G664" s="6" t="s">
        <v>61</v>
      </c>
      <c r="H664" s="8" t="s">
        <v>1406</v>
      </c>
      <c r="I664" s="9">
        <v>1.033725E7</v>
      </c>
      <c r="J664" s="5" t="str">
        <f t="shared" ref="J664:K664" si="664">SUBSTITUTE(H664, ",", "")</f>
        <v>64</v>
      </c>
      <c r="K664" s="5" t="str">
        <f t="shared" si="664"/>
        <v>Rp10337250</v>
      </c>
      <c r="L664" s="5" t="str">
        <f t="shared" si="3"/>
        <v>10337250</v>
      </c>
    </row>
    <row r="665">
      <c r="A665" s="6" t="s">
        <v>1409</v>
      </c>
      <c r="B665" s="7" t="str">
        <f>HYPERLINK("https://shopee.co.id/Azarine-AHA-BHA-Miraclear-Herbal-Peeling-Serum-20ml-i.110573301.9942619390", "https://shopee.co.id/Azarine-AHA-BHA-Miraclear-Herbal-Peeling-Serum-20ml-i.110573301.9942619390")</f>
        <v>https://shopee.co.id/Azarine-AHA-BHA-Miraclear-Herbal-Peeling-Serum-20ml-i.110573301.9942619390</v>
      </c>
      <c r="C665" s="6" t="s">
        <v>233</v>
      </c>
      <c r="D665" s="6" t="s">
        <v>227</v>
      </c>
      <c r="E665" s="6" t="s">
        <v>12</v>
      </c>
      <c r="F665" s="6" t="s">
        <v>13</v>
      </c>
      <c r="G665" s="6" t="s">
        <v>61</v>
      </c>
      <c r="H665" s="8" t="s">
        <v>1406</v>
      </c>
      <c r="I665" s="9">
        <v>2.67427E7</v>
      </c>
      <c r="J665" s="5" t="str">
        <f t="shared" ref="J665:K665" si="665">SUBSTITUTE(H665, ",", "")</f>
        <v>64</v>
      </c>
      <c r="K665" s="5" t="str">
        <f t="shared" si="665"/>
        <v>Rp26742700</v>
      </c>
      <c r="L665" s="5" t="str">
        <f t="shared" si="3"/>
        <v>26742700</v>
      </c>
    </row>
    <row r="666">
      <c r="A666" s="6" t="s">
        <v>1410</v>
      </c>
      <c r="B666" s="7" t="str">
        <f>HYPERLINK("https://shopee.co.id/AVOSKIN-Your-Skin-Bae-Ultimate-Hyaluron-Hyacross-3-Greentea-SERUM-30ml-i.270965687.6478588059", "https://shopee.co.id/AVOSKIN-Your-Skin-Bae-Ultimate-Hyaluron-Hyacross-3-Greentea-SERUM-30ml-i.270965687.6478588059")</f>
        <v>https://shopee.co.id/AVOSKIN-Your-Skin-Bae-Ultimate-Hyaluron-Hyacross-3-Greentea-SERUM-30ml-i.270965687.6478588059</v>
      </c>
      <c r="C666" s="6" t="s">
        <v>83</v>
      </c>
      <c r="D666" s="6" t="s">
        <v>379</v>
      </c>
      <c r="E666" s="6" t="s">
        <v>12</v>
      </c>
      <c r="F666" s="6" t="s">
        <v>13</v>
      </c>
      <c r="G666" s="6" t="s">
        <v>380</v>
      </c>
      <c r="H666" s="8" t="s">
        <v>1406</v>
      </c>
      <c r="I666" s="9">
        <v>8160000.0</v>
      </c>
      <c r="J666" s="5" t="str">
        <f t="shared" ref="J666:K666" si="666">SUBSTITUTE(H666, ",", "")</f>
        <v>64</v>
      </c>
      <c r="K666" s="5" t="str">
        <f t="shared" si="666"/>
        <v>Rp8160000</v>
      </c>
      <c r="L666" s="5" t="str">
        <f t="shared" si="3"/>
        <v>8160000</v>
      </c>
    </row>
    <row r="667">
      <c r="A667" s="6" t="s">
        <v>1411</v>
      </c>
      <c r="B667" s="7" t="str">
        <f>HYPERLINK("https://shopee.co.id/-Buy-1-Get-1-Bio-Essence-Bio-Vlift-Face-Lifting-Cream-45gr-i.63822287.3266809862", "https://shopee.co.id/-Buy-1-Get-1-Bio-Essence-Bio-Vlift-Face-Lifting-Cream-45gr-i.63822287.3266809862")</f>
        <v>https://shopee.co.id/-Buy-1-Get-1-Bio-Essence-Bio-Vlift-Face-Lifting-Cream-45gr-i.63822287.3266809862</v>
      </c>
      <c r="C667" s="6" t="s">
        <v>1254</v>
      </c>
      <c r="D667" s="6" t="s">
        <v>835</v>
      </c>
      <c r="E667" s="6" t="s">
        <v>12</v>
      </c>
      <c r="F667" s="6" t="s">
        <v>13</v>
      </c>
      <c r="G667" s="6" t="s">
        <v>61</v>
      </c>
      <c r="H667" s="8" t="s">
        <v>1412</v>
      </c>
      <c r="I667" s="9">
        <v>1.10257E7</v>
      </c>
      <c r="J667" s="5" t="str">
        <f t="shared" ref="J667:K667" si="667">SUBSTITUTE(H667, ",", "")</f>
        <v>63</v>
      </c>
      <c r="K667" s="5" t="str">
        <f t="shared" si="667"/>
        <v>Rp11025700</v>
      </c>
      <c r="L667" s="5" t="str">
        <f t="shared" si="3"/>
        <v>11025700</v>
      </c>
    </row>
    <row r="668">
      <c r="A668" s="6" t="s">
        <v>1413</v>
      </c>
      <c r="B668" s="7" t="str">
        <f>HYPERLINK("https://shopee.co.id/SOMETHINC-10-Niacinamide-BARRIER-Serum-20ml-i.270965687.5991515957", "https://shopee.co.id/SOMETHINC-10-Niacinamide-BARRIER-Serum-20ml-i.270965687.5991515957")</f>
        <v>https://shopee.co.id/SOMETHINC-10-Niacinamide-BARRIER-Serum-20ml-i.270965687.5991515957</v>
      </c>
      <c r="C668" s="6" t="s">
        <v>45</v>
      </c>
      <c r="D668" s="6" t="s">
        <v>379</v>
      </c>
      <c r="E668" s="6" t="s">
        <v>12</v>
      </c>
      <c r="F668" s="6" t="s">
        <v>13</v>
      </c>
      <c r="G668" s="6" t="s">
        <v>380</v>
      </c>
      <c r="H668" s="8" t="s">
        <v>1412</v>
      </c>
      <c r="I668" s="9">
        <v>1.03785E7</v>
      </c>
      <c r="J668" s="5" t="str">
        <f t="shared" ref="J668:K668" si="668">SUBSTITUTE(H668, ",", "")</f>
        <v>63</v>
      </c>
      <c r="K668" s="5" t="str">
        <f t="shared" si="668"/>
        <v>Rp10378500</v>
      </c>
      <c r="L668" s="5" t="str">
        <f t="shared" si="3"/>
        <v>10378500</v>
      </c>
    </row>
    <row r="669">
      <c r="A669" s="6" t="s">
        <v>1414</v>
      </c>
      <c r="B669" s="7" t="str">
        <f>HYPERLINK("https://shopee.co.id/HAPLE-Sunshine-Glow-Booster-i.26944218.12004476064", "https://shopee.co.id/HAPLE-Sunshine-Glow-Booster-i.26944218.12004476064")</f>
        <v>https://shopee.co.id/HAPLE-Sunshine-Glow-Booster-i.26944218.12004476064</v>
      </c>
      <c r="C669" s="6" t="s">
        <v>1415</v>
      </c>
      <c r="D669" s="6" t="s">
        <v>1416</v>
      </c>
      <c r="E669" s="6" t="s">
        <v>12</v>
      </c>
      <c r="F669" s="6" t="s">
        <v>13</v>
      </c>
      <c r="G669" s="6" t="s">
        <v>21</v>
      </c>
      <c r="H669" s="8" t="s">
        <v>1412</v>
      </c>
      <c r="I669" s="9">
        <v>1.4587E7</v>
      </c>
      <c r="J669" s="5" t="str">
        <f t="shared" ref="J669:K669" si="669">SUBSTITUTE(H669, ",", "")</f>
        <v>63</v>
      </c>
      <c r="K669" s="5" t="str">
        <f t="shared" si="669"/>
        <v>Rp14587000</v>
      </c>
      <c r="L669" s="5" t="str">
        <f t="shared" si="3"/>
        <v>14587000</v>
      </c>
    </row>
    <row r="670">
      <c r="A670" s="6" t="s">
        <v>1417</v>
      </c>
      <c r="B670" s="7" t="str">
        <f>HYPERLINK("https://shopee.co.id/MSBB-Avoskin-Your-Skin-Bae-Lactic-Acid-10-Kiwi-Fruit-5-Niacinamide-2-5-High-Dose-Serum-i.288588702.8928920334", "https://shopee.co.id/MSBB-Avoskin-Your-Skin-Bae-Lactic-Acid-10-Kiwi-Fruit-5-Niacinamide-2-5-High-Dose-Serum-i.288588702.8928920334")</f>
        <v>https://shopee.co.id/MSBB-Avoskin-Your-Skin-Bae-Lactic-Acid-10-Kiwi-Fruit-5-Niacinamide-2-5-High-Dose-Serum-i.288588702.8928920334</v>
      </c>
      <c r="C670" s="6" t="s">
        <v>83</v>
      </c>
      <c r="D670" s="6" t="s">
        <v>79</v>
      </c>
      <c r="E670" s="6" t="s">
        <v>12</v>
      </c>
      <c r="F670" s="6" t="s">
        <v>13</v>
      </c>
      <c r="G670" s="6" t="s">
        <v>80</v>
      </c>
      <c r="H670" s="8" t="s">
        <v>1412</v>
      </c>
      <c r="I670" s="9">
        <v>6696800.0</v>
      </c>
      <c r="J670" s="5" t="str">
        <f t="shared" ref="J670:K670" si="670">SUBSTITUTE(H670, ",", "")</f>
        <v>63</v>
      </c>
      <c r="K670" s="5" t="str">
        <f t="shared" si="670"/>
        <v>Rp6696800</v>
      </c>
      <c r="L670" s="5" t="str">
        <f t="shared" si="3"/>
        <v>6696800</v>
      </c>
    </row>
    <row r="671">
      <c r="A671" s="6" t="s">
        <v>1418</v>
      </c>
      <c r="B671" s="7" t="str">
        <f>HYPERLINK("https://shopee.co.id/Garnier-Light-Complete-White-Speed-Day-Serum-Cream-Uva-Uvb-Skin-Care-40-ml-i.62583853.1022726825", "https://shopee.co.id/Garnier-Light-Complete-White-Speed-Day-Serum-Cream-Uva-Uvb-Skin-Care-40-ml-i.62583853.1022726825")</f>
        <v>https://shopee.co.id/Garnier-Light-Complete-White-Speed-Day-Serum-Cream-Uva-Uvb-Skin-Care-40-ml-i.62583853.1022726825</v>
      </c>
      <c r="C671" s="6" t="s">
        <v>74</v>
      </c>
      <c r="D671" s="6" t="s">
        <v>75</v>
      </c>
      <c r="E671" s="6" t="s">
        <v>12</v>
      </c>
      <c r="F671" s="6" t="s">
        <v>13</v>
      </c>
      <c r="G671" s="6" t="s">
        <v>61</v>
      </c>
      <c r="H671" s="8" t="s">
        <v>1412</v>
      </c>
      <c r="I671" s="9">
        <v>7500000.0</v>
      </c>
      <c r="J671" s="5" t="str">
        <f t="shared" ref="J671:K671" si="671">SUBSTITUTE(H671, ",", "")</f>
        <v>63</v>
      </c>
      <c r="K671" s="5" t="str">
        <f t="shared" si="671"/>
        <v>Rp7500000</v>
      </c>
      <c r="L671" s="5" t="str">
        <f t="shared" si="3"/>
        <v>7500000</v>
      </c>
    </row>
    <row r="672">
      <c r="A672" s="6" t="s">
        <v>1419</v>
      </c>
      <c r="B672" s="7" t="str">
        <f>HYPERLINK("https://shopee.co.id/THE-AUBREE-Niacinamide-Skin-Booster-30ml-i.270965687.6476032162", "https://shopee.co.id/THE-AUBREE-Niacinamide-Skin-Booster-30ml-i.270965687.6476032162")</f>
        <v>https://shopee.co.id/THE-AUBREE-Niacinamide-Skin-Booster-30ml-i.270965687.6476032162</v>
      </c>
      <c r="C672" s="6" t="s">
        <v>772</v>
      </c>
      <c r="D672" s="6" t="s">
        <v>379</v>
      </c>
      <c r="E672" s="6" t="s">
        <v>12</v>
      </c>
      <c r="F672" s="6" t="s">
        <v>13</v>
      </c>
      <c r="G672" s="6" t="s">
        <v>380</v>
      </c>
      <c r="H672" s="8" t="s">
        <v>1412</v>
      </c>
      <c r="I672" s="9">
        <v>1.4831875E7</v>
      </c>
      <c r="J672" s="5" t="str">
        <f t="shared" ref="J672:K672" si="672">SUBSTITUTE(H672, ",", "")</f>
        <v>63</v>
      </c>
      <c r="K672" s="5" t="str">
        <f t="shared" si="672"/>
        <v>Rp14831875</v>
      </c>
      <c r="L672" s="5" t="str">
        <f t="shared" si="3"/>
        <v>14831875</v>
      </c>
    </row>
    <row r="673">
      <c r="A673" s="6" t="s">
        <v>1420</v>
      </c>
      <c r="B673" s="7" t="str">
        <f>HYPERLINK("https://shopee.co.id/Moriganic-Grapeseed-Oil-Serum-Grape-seed-30ml-BPOM-i.160415531.2622153639", "https://shopee.co.id/Moriganic-Grapeseed-Oil-Serum-Grape-seed-30ml-BPOM-i.160415531.2622153639")</f>
        <v>https://shopee.co.id/Moriganic-Grapeseed-Oil-Serum-Grape-seed-30ml-BPOM-i.160415531.2622153639</v>
      </c>
      <c r="C673" s="6" t="s">
        <v>1421</v>
      </c>
      <c r="D673" s="6" t="s">
        <v>1422</v>
      </c>
      <c r="E673" s="6" t="s">
        <v>12</v>
      </c>
      <c r="F673" s="6" t="s">
        <v>13</v>
      </c>
      <c r="G673" s="6" t="s">
        <v>21</v>
      </c>
      <c r="H673" s="8" t="s">
        <v>1412</v>
      </c>
      <c r="I673" s="9">
        <v>2835000.0</v>
      </c>
      <c r="J673" s="5" t="str">
        <f t="shared" ref="J673:K673" si="673">SUBSTITUTE(H673, ",", "")</f>
        <v>63</v>
      </c>
      <c r="K673" s="5" t="str">
        <f t="shared" si="673"/>
        <v>Rp2835000</v>
      </c>
      <c r="L673" s="5" t="str">
        <f t="shared" si="3"/>
        <v>2835000</v>
      </c>
    </row>
    <row r="674">
      <c r="A674" s="6" t="s">
        <v>1423</v>
      </c>
      <c r="B674" s="7" t="str">
        <f>HYPERLINK("https://shopee.co.id/Aesthetic-Bluepin-Excellen-C-Face-Serum-i.54874680.7615083448", "https://shopee.co.id/Aesthetic-Bluepin-Excellen-C-Face-Serum-i.54874680.7615083448")</f>
        <v>https://shopee.co.id/Aesthetic-Bluepin-Excellen-C-Face-Serum-i.54874680.7615083448</v>
      </c>
      <c r="C674" s="6" t="s">
        <v>1424</v>
      </c>
      <c r="D674" s="6" t="s">
        <v>1425</v>
      </c>
      <c r="E674" s="6" t="s">
        <v>12</v>
      </c>
      <c r="F674" s="6" t="s">
        <v>13</v>
      </c>
      <c r="G674" s="6" t="s">
        <v>80</v>
      </c>
      <c r="H674" s="8" t="s">
        <v>1412</v>
      </c>
      <c r="I674" s="9">
        <v>7.71431E7</v>
      </c>
      <c r="J674" s="5" t="str">
        <f t="shared" ref="J674:K674" si="674">SUBSTITUTE(H674, ",", "")</f>
        <v>63</v>
      </c>
      <c r="K674" s="5" t="str">
        <f t="shared" si="674"/>
        <v>Rp77143100</v>
      </c>
      <c r="L674" s="5" t="str">
        <f t="shared" si="3"/>
        <v>77143100</v>
      </c>
    </row>
    <row r="675">
      <c r="A675" s="6" t="s">
        <v>1426</v>
      </c>
      <c r="B675" s="7" t="str">
        <f>HYPERLINK("https://shopee.co.id/-BPOM-LANBENA-Vitamin-C-Serum-Mencerahkan-Wajah-30ml--i.397732085.8231114283", "https://shopee.co.id/-BPOM-LANBENA-Vitamin-C-Serum-Mencerahkan-Wajah-30ml--i.397732085.8231114283")</f>
        <v>https://shopee.co.id/-BPOM-LANBENA-Vitamin-C-Serum-Mencerahkan-Wajah-30ml--i.397732085.8231114283</v>
      </c>
      <c r="C675" s="6" t="s">
        <v>1427</v>
      </c>
      <c r="D675" s="6" t="s">
        <v>1428</v>
      </c>
      <c r="E675" s="6" t="s">
        <v>12</v>
      </c>
      <c r="F675" s="6" t="s">
        <v>13</v>
      </c>
      <c r="G675" s="6" t="s">
        <v>532</v>
      </c>
      <c r="H675" s="8" t="s">
        <v>1412</v>
      </c>
      <c r="I675" s="9">
        <v>621700.0</v>
      </c>
      <c r="J675" s="5" t="str">
        <f t="shared" ref="J675:K675" si="675">SUBSTITUTE(H675, ",", "")</f>
        <v>63</v>
      </c>
      <c r="K675" s="5" t="str">
        <f t="shared" si="675"/>
        <v>Rp621700</v>
      </c>
      <c r="L675" s="5" t="str">
        <f t="shared" si="3"/>
        <v>621700</v>
      </c>
    </row>
    <row r="676">
      <c r="A676" s="6" t="s">
        <v>1429</v>
      </c>
      <c r="B676" s="7" t="str">
        <f>HYPERLINK("https://shopee.co.id/SOME-BY-MI-Yuja-Niacin-Blemish-Care-Serum-i.125116082.8767178495", "https://shopee.co.id/SOME-BY-MI-Yuja-Niacin-Blemish-Care-Serum-i.125116082.8767178495")</f>
        <v>https://shopee.co.id/SOME-BY-MI-Yuja-Niacin-Blemish-Care-Serum-i.125116082.8767178495</v>
      </c>
      <c r="C676" s="6" t="s">
        <v>213</v>
      </c>
      <c r="D676" s="6" t="s">
        <v>713</v>
      </c>
      <c r="E676" s="6" t="s">
        <v>12</v>
      </c>
      <c r="F676" s="6" t="s">
        <v>13</v>
      </c>
      <c r="G676" s="6" t="s">
        <v>61</v>
      </c>
      <c r="H676" s="8" t="s">
        <v>1412</v>
      </c>
      <c r="I676" s="9">
        <v>3704400.0</v>
      </c>
      <c r="J676" s="5" t="str">
        <f t="shared" ref="J676:K676" si="676">SUBSTITUTE(H676, ",", "")</f>
        <v>63</v>
      </c>
      <c r="K676" s="5" t="str">
        <f t="shared" si="676"/>
        <v>Rp3704400</v>
      </c>
      <c r="L676" s="5" t="str">
        <f t="shared" si="3"/>
        <v>3704400</v>
      </c>
    </row>
    <row r="677">
      <c r="A677" s="6" t="s">
        <v>1430</v>
      </c>
      <c r="B677" s="7" t="str">
        <f>HYPERLINK("https://shopee.co.id/Tuesbelle-LACOCO-Dark-Spot-Essence-12ml-i.36872574.7265301318", "https://shopee.co.id/Tuesbelle-LACOCO-Dark-Spot-Essence-12ml-i.36872574.7265301318")</f>
        <v>https://shopee.co.id/Tuesbelle-LACOCO-Dark-Spot-Essence-12ml-i.36872574.7265301318</v>
      </c>
      <c r="C677" s="6" t="s">
        <v>501</v>
      </c>
      <c r="D677" s="6" t="s">
        <v>969</v>
      </c>
      <c r="E677" s="6" t="s">
        <v>12</v>
      </c>
      <c r="F677" s="6" t="s">
        <v>13</v>
      </c>
      <c r="G677" s="6" t="s">
        <v>115</v>
      </c>
      <c r="H677" s="8" t="s">
        <v>1431</v>
      </c>
      <c r="I677" s="9">
        <v>4271000.0</v>
      </c>
      <c r="J677" s="5" t="str">
        <f t="shared" ref="J677:K677" si="677">SUBSTITUTE(H677, ",", "")</f>
        <v>62</v>
      </c>
      <c r="K677" s="5" t="str">
        <f t="shared" si="677"/>
        <v>Rp4271000</v>
      </c>
      <c r="L677" s="5" t="str">
        <f t="shared" si="3"/>
        <v>4271000</v>
      </c>
    </row>
    <row r="678">
      <c r="A678" s="6" t="s">
        <v>1432</v>
      </c>
      <c r="B678" s="7" t="str">
        <f>HYPERLINK("https://shopee.co.id/Babor-Dr-Babor-Brightening-Skin-Corrector-Ampoule-Treatment-28x2-ML-i.131188140.7256711908", "https://shopee.co.id/Babor-Dr-Babor-Brightening-Skin-Corrector-Ampoule-Treatment-28x2-ML-i.131188140.7256711908")</f>
        <v>https://shopee.co.id/Babor-Dr-Babor-Brightening-Skin-Corrector-Ampoule-Treatment-28x2-ML-i.131188140.7256711908</v>
      </c>
      <c r="C678" s="6" t="s">
        <v>1433</v>
      </c>
      <c r="D678" s="6" t="s">
        <v>1434</v>
      </c>
      <c r="E678" s="6" t="s">
        <v>12</v>
      </c>
      <c r="F678" s="6" t="s">
        <v>13</v>
      </c>
      <c r="G678" s="6" t="s">
        <v>61</v>
      </c>
      <c r="H678" s="8" t="s">
        <v>1431</v>
      </c>
      <c r="I678" s="9">
        <v>7149450.0</v>
      </c>
      <c r="J678" s="5" t="str">
        <f t="shared" ref="J678:K678" si="678">SUBSTITUTE(H678, ",", "")</f>
        <v>62</v>
      </c>
      <c r="K678" s="5" t="str">
        <f t="shared" si="678"/>
        <v>Rp7149450</v>
      </c>
      <c r="L678" s="5" t="str">
        <f t="shared" si="3"/>
        <v>7149450</v>
      </c>
    </row>
    <row r="679">
      <c r="A679" s="6" t="s">
        <v>1435</v>
      </c>
      <c r="B679" s="7" t="str">
        <f>HYPERLINK("https://shopee.co.id/Bio-Essence-Bio-White-Day-and-Night-Cream-i.63822287.7655936237", "https://shopee.co.id/Bio-Essence-Bio-White-Day-and-Night-Cream-i.63822287.7655936237")</f>
        <v>https://shopee.co.id/Bio-Essence-Bio-White-Day-and-Night-Cream-i.63822287.7655936237</v>
      </c>
      <c r="C679" s="6" t="s">
        <v>1254</v>
      </c>
      <c r="D679" s="6" t="s">
        <v>835</v>
      </c>
      <c r="E679" s="6" t="s">
        <v>12</v>
      </c>
      <c r="F679" s="6" t="s">
        <v>13</v>
      </c>
      <c r="G679" s="6" t="s">
        <v>61</v>
      </c>
      <c r="H679" s="8" t="s">
        <v>1431</v>
      </c>
      <c r="I679" s="9">
        <v>1706644.0</v>
      </c>
      <c r="J679" s="5" t="str">
        <f t="shared" ref="J679:K679" si="679">SUBSTITUTE(H679, ",", "")</f>
        <v>62</v>
      </c>
      <c r="K679" s="5" t="str">
        <f t="shared" si="679"/>
        <v>Rp1706644</v>
      </c>
      <c r="L679" s="5" t="str">
        <f t="shared" si="3"/>
        <v>1706644</v>
      </c>
    </row>
    <row r="680">
      <c r="A680" s="6" t="s">
        <v>1436</v>
      </c>
      <c r="B680" s="7" t="str">
        <f>HYPERLINK("https://shopee.co.id/Somethinc-Niacinamide-Serum-20ml-i.50948181.2704472517", "https://shopee.co.id/Somethinc-Niacinamide-Serum-20ml-i.50948181.2704472517")</f>
        <v>https://shopee.co.id/Somethinc-Niacinamide-Serum-20ml-i.50948181.2704472517</v>
      </c>
      <c r="C680" s="6" t="s">
        <v>45</v>
      </c>
      <c r="D680" s="6" t="s">
        <v>1129</v>
      </c>
      <c r="E680" s="6" t="s">
        <v>12</v>
      </c>
      <c r="F680" s="6" t="s">
        <v>13</v>
      </c>
      <c r="G680" s="6" t="s">
        <v>1130</v>
      </c>
      <c r="H680" s="8" t="s">
        <v>1431</v>
      </c>
      <c r="I680" s="9">
        <v>1023000.0</v>
      </c>
      <c r="J680" s="5" t="str">
        <f t="shared" ref="J680:K680" si="680">SUBSTITUTE(H680, ",", "")</f>
        <v>62</v>
      </c>
      <c r="K680" s="5" t="str">
        <f t="shared" si="680"/>
        <v>Rp1023000</v>
      </c>
      <c r="L680" s="5" t="str">
        <f t="shared" si="3"/>
        <v>1023000</v>
      </c>
    </row>
    <row r="681">
      <c r="A681" s="6" t="s">
        <v>1437</v>
      </c>
      <c r="B681" s="7" t="str">
        <f>HYPERLINK("https://shopee.co.id/ElsheSkin-Active-Rejuvenating-night-Serum-X-ElsheSkin-Vitamin-C-Serum-i.9035345.5749171999", "https://shopee.co.id/ElsheSkin-Active-Rejuvenating-night-Serum-X-ElsheSkin-Vitamin-C-Serum-i.9035345.5749171999")</f>
        <v>https://shopee.co.id/ElsheSkin-Active-Rejuvenating-night-Serum-X-ElsheSkin-Vitamin-C-Serum-i.9035345.5749171999</v>
      </c>
      <c r="C681" s="6" t="s">
        <v>135</v>
      </c>
      <c r="D681" s="6" t="s">
        <v>136</v>
      </c>
      <c r="E681" s="6" t="s">
        <v>12</v>
      </c>
      <c r="F681" s="6" t="s">
        <v>13</v>
      </c>
      <c r="G681" s="6" t="s">
        <v>80</v>
      </c>
      <c r="H681" s="8" t="s">
        <v>1438</v>
      </c>
      <c r="I681" s="9">
        <v>7025850.0</v>
      </c>
      <c r="J681" s="5" t="str">
        <f t="shared" ref="J681:K681" si="681">SUBSTITUTE(H681, ",", "")</f>
        <v>61</v>
      </c>
      <c r="K681" s="5" t="str">
        <f t="shared" si="681"/>
        <v>Rp7025850</v>
      </c>
      <c r="L681" s="5" t="str">
        <f t="shared" si="3"/>
        <v>7025850</v>
      </c>
    </row>
    <row r="682">
      <c r="A682" s="6" t="s">
        <v>1439</v>
      </c>
      <c r="B682" s="7" t="str">
        <f>HYPERLINK("https://shopee.co.id/L-Occitane-Reine-Blanche-Bright-Cream-New-Formula-50-mL--i.88079439.1480571615", "https://shopee.co.id/L-Occitane-Reine-Blanche-Bright-Cream-New-Formula-50-mL--i.88079439.1480571615")</f>
        <v>https://shopee.co.id/L-Occitane-Reine-Blanche-Bright-Cream-New-Formula-50-mL--i.88079439.1480571615</v>
      </c>
      <c r="C682" s="6" t="s">
        <v>579</v>
      </c>
      <c r="D682" s="6" t="s">
        <v>580</v>
      </c>
      <c r="E682" s="6" t="s">
        <v>12</v>
      </c>
      <c r="F682" s="6" t="s">
        <v>13</v>
      </c>
      <c r="G682" s="6" t="s">
        <v>532</v>
      </c>
      <c r="H682" s="8" t="s">
        <v>1438</v>
      </c>
      <c r="I682" s="9">
        <v>968200.0</v>
      </c>
      <c r="J682" s="5" t="str">
        <f t="shared" ref="J682:K682" si="682">SUBSTITUTE(H682, ",", "")</f>
        <v>61</v>
      </c>
      <c r="K682" s="5" t="str">
        <f t="shared" si="682"/>
        <v>Rp968200</v>
      </c>
      <c r="L682" s="5" t="str">
        <f t="shared" si="3"/>
        <v>968200</v>
      </c>
    </row>
    <row r="683">
      <c r="A683" s="6" t="s">
        <v>1440</v>
      </c>
      <c r="B683" s="7" t="str">
        <f>HYPERLINK("https://shopee.co.id/Tull-Jye-Moisturizing-Essence-i.161178916.3592839397", "https://shopee.co.id/Tull-Jye-Moisturizing-Essence-i.161178916.3592839397")</f>
        <v>https://shopee.co.id/Tull-Jye-Moisturizing-Essence-i.161178916.3592839397</v>
      </c>
      <c r="C683" s="6" t="s">
        <v>1247</v>
      </c>
      <c r="D683" s="6" t="s">
        <v>1248</v>
      </c>
      <c r="E683" s="6" t="s">
        <v>12</v>
      </c>
      <c r="F683" s="6" t="s">
        <v>13</v>
      </c>
      <c r="G683" s="6" t="s">
        <v>61</v>
      </c>
      <c r="H683" s="8" t="s">
        <v>1438</v>
      </c>
      <c r="I683" s="9">
        <v>1.28478E7</v>
      </c>
      <c r="J683" s="5" t="str">
        <f t="shared" ref="J683:K683" si="683">SUBSTITUTE(H683, ",", "")</f>
        <v>61</v>
      </c>
      <c r="K683" s="5" t="str">
        <f t="shared" si="683"/>
        <v>Rp12847800</v>
      </c>
      <c r="L683" s="5" t="str">
        <f t="shared" si="3"/>
        <v>12847800</v>
      </c>
    </row>
    <row r="684">
      <c r="A684" s="6" t="s">
        <v>1441</v>
      </c>
      <c r="B684" s="7" t="str">
        <f>HYPERLINK("https://shopee.co.id/Olay-Serum-Wajah-RETINOL-24-Anti-Aging-Skincare-30ml-Paket-isi-2-i.11487927.5161209290", "https://shopee.co.id/Olay-Serum-Wajah-RETINOL-24-Anti-Aging-Skincare-30ml-Paket-isi-2-i.11487927.5161209290")</f>
        <v>https://shopee.co.id/Olay-Serum-Wajah-RETINOL-24-Anti-Aging-Skincare-30ml-Paket-isi-2-i.11487927.5161209290</v>
      </c>
      <c r="C684" s="6" t="s">
        <v>317</v>
      </c>
      <c r="D684" s="6" t="s">
        <v>318</v>
      </c>
      <c r="E684" s="6" t="s">
        <v>12</v>
      </c>
      <c r="F684" s="6" t="s">
        <v>13</v>
      </c>
      <c r="G684" s="6" t="s">
        <v>296</v>
      </c>
      <c r="H684" s="8" t="s">
        <v>1438</v>
      </c>
      <c r="I684" s="9">
        <v>1.090575E7</v>
      </c>
      <c r="J684" s="5" t="str">
        <f t="shared" ref="J684:K684" si="684">SUBSTITUTE(H684, ",", "")</f>
        <v>61</v>
      </c>
      <c r="K684" s="5" t="str">
        <f t="shared" si="684"/>
        <v>Rp10905750</v>
      </c>
      <c r="L684" s="5" t="str">
        <f t="shared" si="3"/>
        <v>10905750</v>
      </c>
    </row>
    <row r="685">
      <c r="A685" s="6" t="s">
        <v>1442</v>
      </c>
      <c r="B685" s="7" t="str">
        <f>HYPERLINK("https://shopee.co.id/Lacoco-Darkspot-Essence-12ml-i.10689.6684985865", "https://shopee.co.id/Lacoco-Darkspot-Essence-12ml-i.10689.6684985865")</f>
        <v>https://shopee.co.id/Lacoco-Darkspot-Essence-12ml-i.10689.6684985865</v>
      </c>
      <c r="C685" s="6" t="s">
        <v>501</v>
      </c>
      <c r="D685" s="6" t="s">
        <v>745</v>
      </c>
      <c r="E685" s="6" t="s">
        <v>12</v>
      </c>
      <c r="F685" s="6" t="s">
        <v>13</v>
      </c>
      <c r="G685" s="6" t="s">
        <v>61</v>
      </c>
      <c r="H685" s="8" t="s">
        <v>1438</v>
      </c>
      <c r="I685" s="9">
        <v>7045500.0</v>
      </c>
      <c r="J685" s="5" t="str">
        <f t="shared" ref="J685:K685" si="685">SUBSTITUTE(H685, ",", "")</f>
        <v>61</v>
      </c>
      <c r="K685" s="5" t="str">
        <f t="shared" si="685"/>
        <v>Rp7045500</v>
      </c>
      <c r="L685" s="5" t="str">
        <f t="shared" si="3"/>
        <v>7045500</v>
      </c>
    </row>
    <row r="686">
      <c r="A686" s="6" t="s">
        <v>1443</v>
      </c>
      <c r="B686" s="7" t="str">
        <f>HYPERLINK("https://shopee.co.id/Glowlabs-Gentle-Bright-Serum-Powerful-Brightening-Skincare--i.336869851.9070576463", "https://shopee.co.id/Glowlabs-Gentle-Bright-Serum-Powerful-Brightening-Skincare--i.336869851.9070576463")</f>
        <v>https://shopee.co.id/Glowlabs-Gentle-Bright-Serum-Powerful-Brightening-Skincare--i.336869851.9070576463</v>
      </c>
      <c r="C686" s="6" t="s">
        <v>407</v>
      </c>
      <c r="D686" s="6" t="s">
        <v>408</v>
      </c>
      <c r="E686" s="6" t="s">
        <v>12</v>
      </c>
      <c r="F686" s="6" t="s">
        <v>13</v>
      </c>
      <c r="G686" s="6" t="s">
        <v>409</v>
      </c>
      <c r="H686" s="8" t="s">
        <v>1438</v>
      </c>
      <c r="I686" s="9">
        <v>2.42749E7</v>
      </c>
      <c r="J686" s="5" t="str">
        <f t="shared" ref="J686:K686" si="686">SUBSTITUTE(H686, ",", "")</f>
        <v>61</v>
      </c>
      <c r="K686" s="5" t="str">
        <f t="shared" si="686"/>
        <v>Rp24274900</v>
      </c>
      <c r="L686" s="5" t="str">
        <f t="shared" si="3"/>
        <v>24274900</v>
      </c>
    </row>
    <row r="687">
      <c r="A687" s="6" t="s">
        <v>1444</v>
      </c>
      <c r="B687" s="7" t="str">
        <f>HYPERLINK("https://shopee.co.id/Glowlabs-Glo-C-Serum-Peptide-Moist-Brightening-Vitamin-C-Acne-Prone-Friendly-Skincare--i.336869851.3370881375", "https://shopee.co.id/Glowlabs-Glo-C-Serum-Peptide-Moist-Brightening-Vitamin-C-Acne-Prone-Friendly-Skincare--i.336869851.3370881375")</f>
        <v>https://shopee.co.id/Glowlabs-Glo-C-Serum-Peptide-Moist-Brightening-Vitamin-C-Acne-Prone-Friendly-Skincare--i.336869851.3370881375</v>
      </c>
      <c r="C687" s="6" t="s">
        <v>407</v>
      </c>
      <c r="D687" s="6" t="s">
        <v>408</v>
      </c>
      <c r="E687" s="6" t="s">
        <v>12</v>
      </c>
      <c r="F687" s="6" t="s">
        <v>13</v>
      </c>
      <c r="G687" s="6" t="s">
        <v>409</v>
      </c>
      <c r="H687" s="8" t="s">
        <v>1438</v>
      </c>
      <c r="I687" s="9">
        <v>4032400.0</v>
      </c>
      <c r="J687" s="5" t="str">
        <f t="shared" ref="J687:K687" si="687">SUBSTITUTE(H687, ",", "")</f>
        <v>61</v>
      </c>
      <c r="K687" s="5" t="str">
        <f t="shared" si="687"/>
        <v>Rp4032400</v>
      </c>
      <c r="L687" s="5" t="str">
        <f t="shared" si="3"/>
        <v>4032400</v>
      </c>
    </row>
    <row r="688">
      <c r="A688" s="6" t="s">
        <v>1445</v>
      </c>
      <c r="B688" s="7" t="str">
        <f>HYPERLINK("https://shopee.co.id/Bio-Essence-Bio-White-Whitening-Day-Cream-50gr-Perawatan-Wajah-i.63822287.1671471366", "https://shopee.co.id/Bio-Essence-Bio-White-Whitening-Day-Cream-50gr-Perawatan-Wajah-i.63822287.1671471366")</f>
        <v>https://shopee.co.id/Bio-Essence-Bio-White-Whitening-Day-Cream-50gr-Perawatan-Wajah-i.63822287.1671471366</v>
      </c>
      <c r="C688" s="6" t="s">
        <v>1254</v>
      </c>
      <c r="D688" s="6" t="s">
        <v>835</v>
      </c>
      <c r="E688" s="6" t="s">
        <v>12</v>
      </c>
      <c r="F688" s="6" t="s">
        <v>13</v>
      </c>
      <c r="G688" s="6" t="s">
        <v>61</v>
      </c>
      <c r="H688" s="8" t="s">
        <v>1446</v>
      </c>
      <c r="I688" s="9">
        <v>5939410.0</v>
      </c>
      <c r="J688" s="5" t="str">
        <f t="shared" ref="J688:K688" si="688">SUBSTITUTE(H688, ",", "")</f>
        <v>60</v>
      </c>
      <c r="K688" s="5" t="str">
        <f t="shared" si="688"/>
        <v>Rp5939410</v>
      </c>
      <c r="L688" s="5" t="str">
        <f t="shared" si="3"/>
        <v>5939410</v>
      </c>
    </row>
    <row r="689">
      <c r="A689" s="6" t="s">
        <v>1447</v>
      </c>
      <c r="B689" s="7" t="str">
        <f>HYPERLINK("https://shopee.co.id/Hanasui-Glow-10-Power-Essence-i.129681299.4185134248", "https://shopee.co.id/Hanasui-Glow-10-Power-Essence-i.129681299.4185134248")</f>
        <v>https://shopee.co.id/Hanasui-Glow-10-Power-Essence-i.129681299.4185134248</v>
      </c>
      <c r="C689" s="6" t="s">
        <v>784</v>
      </c>
      <c r="D689" s="6" t="s">
        <v>785</v>
      </c>
      <c r="E689" s="6" t="s">
        <v>12</v>
      </c>
      <c r="F689" s="6" t="s">
        <v>13</v>
      </c>
      <c r="G689" s="6" t="s">
        <v>36</v>
      </c>
      <c r="H689" s="8" t="s">
        <v>1446</v>
      </c>
      <c r="I689" s="9">
        <v>8320000.0</v>
      </c>
      <c r="J689" s="5" t="str">
        <f t="shared" ref="J689:K689" si="689">SUBSTITUTE(H689, ",", "")</f>
        <v>60</v>
      </c>
      <c r="K689" s="5" t="str">
        <f t="shared" si="689"/>
        <v>Rp8320000</v>
      </c>
      <c r="L689" s="5" t="str">
        <f t="shared" si="3"/>
        <v>8320000</v>
      </c>
    </row>
    <row r="690">
      <c r="A690" s="6" t="s">
        <v>1448</v>
      </c>
      <c r="B690" s="7" t="str">
        <f>HYPERLINK("https://shopee.co.id/SOMETHINC-Age-Don-t-Care-Exclusive-Bundle-i.68111.11705505025", "https://shopee.co.id/SOMETHINC-Age-Don-t-Care-Exclusive-Bundle-i.68111.11705505025")</f>
        <v>https://shopee.co.id/SOMETHINC-Age-Don-t-Care-Exclusive-Bundle-i.68111.11705505025</v>
      </c>
      <c r="C690" s="6" t="s">
        <v>45</v>
      </c>
      <c r="D690" s="6" t="s">
        <v>441</v>
      </c>
      <c r="E690" s="6" t="s">
        <v>12</v>
      </c>
      <c r="F690" s="6" t="s">
        <v>13</v>
      </c>
      <c r="G690" s="6" t="s">
        <v>130</v>
      </c>
      <c r="H690" s="8" t="s">
        <v>1446</v>
      </c>
      <c r="I690" s="9">
        <v>3528720.0</v>
      </c>
      <c r="J690" s="5" t="str">
        <f t="shared" ref="J690:K690" si="690">SUBSTITUTE(H690, ",", "")</f>
        <v>60</v>
      </c>
      <c r="K690" s="5" t="str">
        <f t="shared" si="690"/>
        <v>Rp3528720</v>
      </c>
      <c r="L690" s="5" t="str">
        <f t="shared" si="3"/>
        <v>3528720</v>
      </c>
    </row>
    <row r="691">
      <c r="A691" s="6" t="s">
        <v>1449</v>
      </c>
      <c r="B691" s="7" t="str">
        <f>HYPERLINK("https://shopee.co.id/Nacific-Fresh-Herb-Origin-Serum-50ml-i.270965687.3237880289", "https://shopee.co.id/Nacific-Fresh-Herb-Origin-Serum-50ml-i.270965687.3237880289")</f>
        <v>https://shopee.co.id/Nacific-Fresh-Herb-Origin-Serum-50ml-i.270965687.3237880289</v>
      </c>
      <c r="C691" s="6" t="s">
        <v>344</v>
      </c>
      <c r="D691" s="6" t="s">
        <v>379</v>
      </c>
      <c r="E691" s="6" t="s">
        <v>12</v>
      </c>
      <c r="F691" s="6" t="s">
        <v>13</v>
      </c>
      <c r="G691" s="6" t="s">
        <v>380</v>
      </c>
      <c r="H691" s="8" t="s">
        <v>1446</v>
      </c>
      <c r="I691" s="9">
        <v>4685000.0</v>
      </c>
      <c r="J691" s="5" t="str">
        <f t="shared" ref="J691:K691" si="691">SUBSTITUTE(H691, ",", "")</f>
        <v>60</v>
      </c>
      <c r="K691" s="5" t="str">
        <f t="shared" si="691"/>
        <v>Rp4685000</v>
      </c>
      <c r="L691" s="5" t="str">
        <f t="shared" si="3"/>
        <v>4685000</v>
      </c>
    </row>
    <row r="692">
      <c r="A692" s="6" t="s">
        <v>1450</v>
      </c>
      <c r="B692" s="7" t="str">
        <f>HYPERLINK("https://shopee.co.id/Lovila-Glow-Activation-Booster-Serum-2-Pcs--i.227193745.5551797030", "https://shopee.co.id/Lovila-Glow-Activation-Booster-Serum-2-Pcs--i.227193745.5551797030")</f>
        <v>https://shopee.co.id/Lovila-Glow-Activation-Booster-Serum-2-Pcs--i.227193745.5551797030</v>
      </c>
      <c r="C692" s="6" t="s">
        <v>619</v>
      </c>
      <c r="D692" s="6" t="s">
        <v>620</v>
      </c>
      <c r="E692" s="6" t="s">
        <v>12</v>
      </c>
      <c r="F692" s="6" t="s">
        <v>13</v>
      </c>
      <c r="G692" s="6" t="s">
        <v>469</v>
      </c>
      <c r="H692" s="8" t="s">
        <v>1446</v>
      </c>
      <c r="I692" s="9">
        <v>7391700.0</v>
      </c>
      <c r="J692" s="5" t="str">
        <f t="shared" ref="J692:K692" si="692">SUBSTITUTE(H692, ",", "")</f>
        <v>60</v>
      </c>
      <c r="K692" s="5" t="str">
        <f t="shared" si="692"/>
        <v>Rp7391700</v>
      </c>
      <c r="L692" s="5" t="str">
        <f t="shared" si="3"/>
        <v>7391700</v>
      </c>
    </row>
    <row r="693">
      <c r="A693" s="6" t="s">
        <v>1451</v>
      </c>
      <c r="B693" s="7" t="str">
        <f>HYPERLINK("https://shopee.co.id/-GIFT-NOT-FOR-SALE-Crystallure-NFS-Booster-Essence-6-ml-i.59763733.8502958950", "https://shopee.co.id/-GIFT-NOT-FOR-SALE-Crystallure-NFS-Booster-Essence-6-ml-i.59763733.8502958950")</f>
        <v>https://shopee.co.id/-GIFT-NOT-FOR-SALE-Crystallure-NFS-Booster-Essence-6-ml-i.59763733.8502958950</v>
      </c>
      <c r="C693" s="6" t="s">
        <v>169</v>
      </c>
      <c r="D693" s="6" t="s">
        <v>170</v>
      </c>
      <c r="E693" s="6" t="s">
        <v>12</v>
      </c>
      <c r="F693" s="6" t="s">
        <v>13</v>
      </c>
      <c r="G693" s="6" t="s">
        <v>98</v>
      </c>
      <c r="H693" s="8" t="s">
        <v>1446</v>
      </c>
      <c r="I693" s="9">
        <v>8531000.0</v>
      </c>
      <c r="J693" s="5" t="str">
        <f t="shared" ref="J693:K693" si="693">SUBSTITUTE(H693, ",", "")</f>
        <v>60</v>
      </c>
      <c r="K693" s="5" t="str">
        <f t="shared" si="693"/>
        <v>Rp8531000</v>
      </c>
      <c r="L693" s="5" t="str">
        <f t="shared" si="3"/>
        <v>8531000</v>
      </c>
    </row>
    <row r="694">
      <c r="A694" s="6" t="s">
        <v>1452</v>
      </c>
      <c r="B694" s="7" t="str">
        <f>HYPERLINK("https://shopee.co.id/La-Luna-Anti-Aging-Serum-30ml-i.26944218.7356183714", "https://shopee.co.id/La-Luna-Anti-Aging-Serum-30ml-i.26944218.7356183714")</f>
        <v>https://shopee.co.id/La-Luna-Anti-Aging-Serum-30ml-i.26944218.7356183714</v>
      </c>
      <c r="C694" s="6" t="s">
        <v>1415</v>
      </c>
      <c r="D694" s="6" t="s">
        <v>1416</v>
      </c>
      <c r="E694" s="6" t="s">
        <v>12</v>
      </c>
      <c r="F694" s="6" t="s">
        <v>13</v>
      </c>
      <c r="G694" s="6" t="s">
        <v>21</v>
      </c>
      <c r="H694" s="8" t="s">
        <v>1446</v>
      </c>
      <c r="I694" s="9">
        <v>5049000.0</v>
      </c>
      <c r="J694" s="5" t="str">
        <f t="shared" ref="J694:K694" si="694">SUBSTITUTE(H694, ",", "")</f>
        <v>60</v>
      </c>
      <c r="K694" s="5" t="str">
        <f t="shared" si="694"/>
        <v>Rp5049000</v>
      </c>
      <c r="L694" s="5" t="str">
        <f t="shared" si="3"/>
        <v>5049000</v>
      </c>
    </row>
    <row r="695">
      <c r="A695" s="6" t="s">
        <v>1453</v>
      </c>
      <c r="B695" s="7" t="str">
        <f>HYPERLINK("https://shopee.co.id/SOMETHINC-10-Niacinamide-Moisture-Sabi-Beet-Max-Brightening-Serum-20ml-i.30736001.4484171596", "https://shopee.co.id/SOMETHINC-10-Niacinamide-Moisture-Sabi-Beet-Max-Brightening-Serum-20ml-i.30736001.4484171596")</f>
        <v>https://shopee.co.id/SOMETHINC-10-Niacinamide-Moisture-Sabi-Beet-Max-Brightening-Serum-20ml-i.30736001.4484171596</v>
      </c>
      <c r="C695" s="6" t="s">
        <v>45</v>
      </c>
      <c r="D695" s="6" t="s">
        <v>335</v>
      </c>
      <c r="E695" s="6" t="s">
        <v>12</v>
      </c>
      <c r="F695" s="6" t="s">
        <v>13</v>
      </c>
      <c r="G695" s="6" t="s">
        <v>36</v>
      </c>
      <c r="H695" s="8" t="s">
        <v>1454</v>
      </c>
      <c r="I695" s="9">
        <v>5206500.0</v>
      </c>
      <c r="J695" s="5" t="str">
        <f t="shared" ref="J695:K695" si="695">SUBSTITUTE(H695, ",", "")</f>
        <v>59</v>
      </c>
      <c r="K695" s="5" t="str">
        <f t="shared" si="695"/>
        <v>Rp5206500</v>
      </c>
      <c r="L695" s="5" t="str">
        <f t="shared" si="3"/>
        <v>5206500</v>
      </c>
    </row>
    <row r="696">
      <c r="A696" s="6" t="s">
        <v>1455</v>
      </c>
      <c r="B696" s="7" t="str">
        <f>HYPERLINK("https://shopee.co.id/CLINELLE-Caviar-Gold-Firming-Serum-Face-Serum-Wajah-i.173963911.2814299533", "https://shopee.co.id/CLINELLE-Caviar-Gold-Firming-Serum-Face-Serum-Wajah-i.173963911.2814299533")</f>
        <v>https://shopee.co.id/CLINELLE-Caviar-Gold-Firming-Serum-Face-Serum-Wajah-i.173963911.2814299533</v>
      </c>
      <c r="C696" s="6" t="s">
        <v>1456</v>
      </c>
      <c r="D696" s="6" t="s">
        <v>1457</v>
      </c>
      <c r="E696" s="6" t="s">
        <v>12</v>
      </c>
      <c r="F696" s="6" t="s">
        <v>13</v>
      </c>
      <c r="G696" s="6" t="s">
        <v>21</v>
      </c>
      <c r="H696" s="8" t="s">
        <v>1454</v>
      </c>
      <c r="I696" s="9">
        <v>6338350.0</v>
      </c>
      <c r="J696" s="5" t="str">
        <f t="shared" ref="J696:K696" si="696">SUBSTITUTE(H696, ",", "")</f>
        <v>59</v>
      </c>
      <c r="K696" s="5" t="str">
        <f t="shared" si="696"/>
        <v>Rp6338350</v>
      </c>
      <c r="L696" s="5" t="str">
        <f t="shared" si="3"/>
        <v>6338350</v>
      </c>
    </row>
    <row r="697">
      <c r="A697" s="6" t="s">
        <v>1458</v>
      </c>
      <c r="B697" s="7" t="str">
        <f>HYPERLINK("https://shopee.co.id/Botanity-Flavon-Serum-Wajah-50ml-i.203141970.4708602340", "https://shopee.co.id/Botanity-Flavon-Serum-Wajah-50ml-i.203141970.4708602340")</f>
        <v>https://shopee.co.id/Botanity-Flavon-Serum-Wajah-50ml-i.203141970.4708602340</v>
      </c>
      <c r="C697" s="6" t="s">
        <v>1459</v>
      </c>
      <c r="D697" s="6" t="s">
        <v>1460</v>
      </c>
      <c r="E697" s="6" t="s">
        <v>12</v>
      </c>
      <c r="F697" s="6" t="s">
        <v>13</v>
      </c>
      <c r="G697" s="6" t="s">
        <v>21</v>
      </c>
      <c r="H697" s="8" t="s">
        <v>1454</v>
      </c>
      <c r="I697" s="9">
        <v>1.1682E7</v>
      </c>
      <c r="J697" s="5" t="str">
        <f t="shared" ref="J697:K697" si="697">SUBSTITUTE(H697, ",", "")</f>
        <v>59</v>
      </c>
      <c r="K697" s="5" t="str">
        <f t="shared" si="697"/>
        <v>Rp11682000</v>
      </c>
      <c r="L697" s="5" t="str">
        <f t="shared" si="3"/>
        <v>11682000</v>
      </c>
    </row>
    <row r="698">
      <c r="A698" s="6" t="s">
        <v>1461</v>
      </c>
      <c r="B698" s="7" t="str">
        <f>HYPERLINK("https://shopee.co.id/-The-Face-Shop-Yehwadam-HGG-Rejuvenating-Serum-45ml-Original-i.34671748.9314517821", "https://shopee.co.id/-The-Face-Shop-Yehwadam-HGG-Rejuvenating-Serum-45ml-Original-i.34671748.9314517821")</f>
        <v>https://shopee.co.id/-The-Face-Shop-Yehwadam-HGG-Rejuvenating-Serum-45ml-Original-i.34671748.9314517821</v>
      </c>
      <c r="C698" s="6" t="s">
        <v>1217</v>
      </c>
      <c r="D698" s="6" t="s">
        <v>1218</v>
      </c>
      <c r="E698" s="6" t="s">
        <v>12</v>
      </c>
      <c r="F698" s="6" t="s">
        <v>13</v>
      </c>
      <c r="G698" s="6" t="s">
        <v>61</v>
      </c>
      <c r="H698" s="8" t="s">
        <v>1454</v>
      </c>
      <c r="I698" s="9">
        <v>6165900.0</v>
      </c>
      <c r="J698" s="5" t="str">
        <f t="shared" ref="J698:K698" si="698">SUBSTITUTE(H698, ",", "")</f>
        <v>59</v>
      </c>
      <c r="K698" s="5" t="str">
        <f t="shared" si="698"/>
        <v>Rp6165900</v>
      </c>
      <c r="L698" s="5" t="str">
        <f t="shared" si="3"/>
        <v>6165900</v>
      </c>
    </row>
    <row r="699">
      <c r="A699" s="6" t="s">
        <v>1462</v>
      </c>
      <c r="B699" s="7" t="str">
        <f>HYPERLINK("https://shopee.co.id/Azalea-Amazing-Brightening-Face-Serum-i.38631574.6043378647", "https://shopee.co.id/Azalea-Amazing-Brightening-Face-Serum-i.38631574.6043378647")</f>
        <v>https://shopee.co.id/Azalea-Amazing-Brightening-Face-Serum-i.38631574.6043378647</v>
      </c>
      <c r="C699" s="6" t="s">
        <v>1463</v>
      </c>
      <c r="D699" s="6" t="s">
        <v>1235</v>
      </c>
      <c r="E699" s="6" t="s">
        <v>12</v>
      </c>
      <c r="F699" s="6" t="s">
        <v>13</v>
      </c>
      <c r="G699" s="6" t="s">
        <v>469</v>
      </c>
      <c r="H699" s="8" t="s">
        <v>1454</v>
      </c>
      <c r="I699" s="9">
        <v>1.408E7</v>
      </c>
      <c r="J699" s="5" t="str">
        <f t="shared" ref="J699:K699" si="699">SUBSTITUTE(H699, ",", "")</f>
        <v>59</v>
      </c>
      <c r="K699" s="5" t="str">
        <f t="shared" si="699"/>
        <v>Rp14080000</v>
      </c>
      <c r="L699" s="5" t="str">
        <f t="shared" si="3"/>
        <v>14080000</v>
      </c>
    </row>
    <row r="700">
      <c r="A700" s="6" t="s">
        <v>1464</v>
      </c>
      <c r="B700" s="7" t="str">
        <f>HYPERLINK("https://shopee.co.id/Inez-900-Anti-Aging-Serum-i.38581860.618362303", "https://shopee.co.id/Inez-900-Anti-Aging-Serum-i.38581860.618362303")</f>
        <v>https://shopee.co.id/Inez-900-Anti-Aging-Serum-i.38581860.618362303</v>
      </c>
      <c r="C700" s="6" t="s">
        <v>1465</v>
      </c>
      <c r="D700" s="6" t="s">
        <v>1466</v>
      </c>
      <c r="E700" s="6" t="s">
        <v>12</v>
      </c>
      <c r="F700" s="6" t="s">
        <v>13</v>
      </c>
      <c r="G700" s="6" t="s">
        <v>98</v>
      </c>
      <c r="H700" s="8" t="s">
        <v>1454</v>
      </c>
      <c r="I700" s="9">
        <v>5251000.0</v>
      </c>
      <c r="J700" s="5" t="str">
        <f t="shared" ref="J700:K700" si="700">SUBSTITUTE(H700, ",", "")</f>
        <v>59</v>
      </c>
      <c r="K700" s="5" t="str">
        <f t="shared" si="700"/>
        <v>Rp5251000</v>
      </c>
      <c r="L700" s="5" t="str">
        <f t="shared" si="3"/>
        <v>5251000</v>
      </c>
    </row>
    <row r="701">
      <c r="A701" s="6" t="s">
        <v>1467</v>
      </c>
      <c r="B701" s="7" t="str">
        <f>HYPERLINK("https://shopee.co.id/Hanada-Brighten-Up-Body-Serum-20-ml-i.166666344.4342337875", "https://shopee.co.id/Hanada-Brighten-Up-Body-Serum-20-ml-i.166666344.4342337875")</f>
        <v>https://shopee.co.id/Hanada-Brighten-Up-Body-Serum-20-ml-i.166666344.4342337875</v>
      </c>
      <c r="C701" s="6" t="s">
        <v>864</v>
      </c>
      <c r="D701" s="6" t="s">
        <v>865</v>
      </c>
      <c r="E701" s="6" t="s">
        <v>12</v>
      </c>
      <c r="F701" s="6" t="s">
        <v>13</v>
      </c>
      <c r="G701" s="6" t="s">
        <v>21</v>
      </c>
      <c r="H701" s="8" t="s">
        <v>1454</v>
      </c>
      <c r="I701" s="9">
        <v>4642100.0</v>
      </c>
      <c r="J701" s="5" t="str">
        <f t="shared" ref="J701:K701" si="701">SUBSTITUTE(H701, ",", "")</f>
        <v>59</v>
      </c>
      <c r="K701" s="5" t="str">
        <f t="shared" si="701"/>
        <v>Rp4642100</v>
      </c>
      <c r="L701" s="5" t="str">
        <f t="shared" si="3"/>
        <v>4642100</v>
      </c>
    </row>
    <row r="702">
      <c r="A702" s="6" t="s">
        <v>1468</v>
      </c>
      <c r="B702" s="7" t="str">
        <f>HYPERLINK("https://shopee.co.id/Wajah-Bersih-Maksimal-i.63822287.9449357348", "https://shopee.co.id/Wajah-Bersih-Maksimal-i.63822287.9449357348")</f>
        <v>https://shopee.co.id/Wajah-Bersih-Maksimal-i.63822287.9449357348</v>
      </c>
      <c r="C702" s="6" t="s">
        <v>1254</v>
      </c>
      <c r="D702" s="6" t="s">
        <v>835</v>
      </c>
      <c r="E702" s="6" t="s">
        <v>12</v>
      </c>
      <c r="F702" s="6" t="s">
        <v>13</v>
      </c>
      <c r="G702" s="6" t="s">
        <v>61</v>
      </c>
      <c r="H702" s="8" t="s">
        <v>1469</v>
      </c>
      <c r="I702" s="9">
        <v>1762400.0</v>
      </c>
      <c r="J702" s="5" t="str">
        <f t="shared" ref="J702:K702" si="702">SUBSTITUTE(H702, ",", "")</f>
        <v>58</v>
      </c>
      <c r="K702" s="5" t="str">
        <f t="shared" si="702"/>
        <v>Rp1762400</v>
      </c>
      <c r="L702" s="5" t="str">
        <f t="shared" si="3"/>
        <v>1762400</v>
      </c>
    </row>
    <row r="703">
      <c r="A703" s="6" t="s">
        <v>1470</v>
      </c>
      <c r="B703" s="7" t="str">
        <f>HYPERLINK("https://shopee.co.id/MSBB-Somethinc-10-Niacinamide-Moisture-Sabi-Beet-Max-Brightening-Serum-20ml-i.288588702.6378174465", "https://shopee.co.id/MSBB-Somethinc-10-Niacinamide-Moisture-Sabi-Beet-Max-Brightening-Serum-20ml-i.288588702.6378174465")</f>
        <v>https://shopee.co.id/MSBB-Somethinc-10-Niacinamide-Moisture-Sabi-Beet-Max-Brightening-Serum-20ml-i.288588702.6378174465</v>
      </c>
      <c r="C703" s="6" t="s">
        <v>45</v>
      </c>
      <c r="D703" s="6" t="s">
        <v>79</v>
      </c>
      <c r="E703" s="6" t="s">
        <v>12</v>
      </c>
      <c r="F703" s="6" t="s">
        <v>13</v>
      </c>
      <c r="G703" s="6" t="s">
        <v>80</v>
      </c>
      <c r="H703" s="8" t="s">
        <v>1469</v>
      </c>
      <c r="I703" s="9">
        <v>1.56377E7</v>
      </c>
      <c r="J703" s="5" t="str">
        <f t="shared" ref="J703:K703" si="703">SUBSTITUTE(H703, ",", "")</f>
        <v>58</v>
      </c>
      <c r="K703" s="5" t="str">
        <f t="shared" si="703"/>
        <v>Rp15637700</v>
      </c>
      <c r="L703" s="5" t="str">
        <f t="shared" si="3"/>
        <v>15637700</v>
      </c>
    </row>
    <row r="704">
      <c r="A704" s="6" t="s">
        <v>1471</v>
      </c>
      <c r="B704" s="7" t="str">
        <f>HYPERLINK("https://shopee.co.id/Bioderma-Hydrabio-Serum-40ml-Moisturizing-Concentrate-untuk-Kulit-Dehidrasi-i.134089202.2076495994", "https://shopee.co.id/Bioderma-Hydrabio-Serum-40ml-Moisturizing-Concentrate-untuk-Kulit-Dehidrasi-i.134089202.2076495994")</f>
        <v>https://shopee.co.id/Bioderma-Hydrabio-Serum-40ml-Moisturizing-Concentrate-untuk-Kulit-Dehidrasi-i.134089202.2076495994</v>
      </c>
      <c r="C704" s="6" t="s">
        <v>1387</v>
      </c>
      <c r="D704" s="6" t="s">
        <v>1388</v>
      </c>
      <c r="E704" s="6" t="s">
        <v>12</v>
      </c>
      <c r="F704" s="6" t="s">
        <v>13</v>
      </c>
      <c r="G704" s="6" t="s">
        <v>130</v>
      </c>
      <c r="H704" s="8" t="s">
        <v>1469</v>
      </c>
      <c r="I704" s="9">
        <v>1273600.0</v>
      </c>
      <c r="J704" s="5" t="str">
        <f t="shared" ref="J704:K704" si="704">SUBSTITUTE(H704, ",", "")</f>
        <v>58</v>
      </c>
      <c r="K704" s="5" t="str">
        <f t="shared" si="704"/>
        <v>Rp1273600</v>
      </c>
      <c r="L704" s="5" t="str">
        <f t="shared" si="3"/>
        <v>1273600</v>
      </c>
    </row>
    <row r="705">
      <c r="A705" s="6" t="s">
        <v>1472</v>
      </c>
      <c r="B705" s="7" t="str">
        <f>HYPERLINK("https://shopee.co.id/KANEBO-Lift-Serum-Kit-i.169111593.5229146798", "https://shopee.co.id/KANEBO-Lift-Serum-Kit-i.169111593.5229146798")</f>
        <v>https://shopee.co.id/KANEBO-Lift-Serum-Kit-i.169111593.5229146798</v>
      </c>
      <c r="C705" s="6" t="s">
        <v>1473</v>
      </c>
      <c r="D705" s="6" t="s">
        <v>1474</v>
      </c>
      <c r="E705" s="6" t="s">
        <v>12</v>
      </c>
      <c r="F705" s="6" t="s">
        <v>13</v>
      </c>
      <c r="G705" s="6" t="s">
        <v>532</v>
      </c>
      <c r="H705" s="8" t="s">
        <v>1469</v>
      </c>
      <c r="I705" s="9">
        <v>3774000.0</v>
      </c>
      <c r="J705" s="5" t="str">
        <f t="shared" ref="J705:K705" si="705">SUBSTITUTE(H705, ",", "")</f>
        <v>58</v>
      </c>
      <c r="K705" s="5" t="str">
        <f t="shared" si="705"/>
        <v>Rp3774000</v>
      </c>
      <c r="L705" s="5" t="str">
        <f t="shared" si="3"/>
        <v>3774000</v>
      </c>
    </row>
    <row r="706">
      <c r="A706" s="6" t="s">
        <v>1475</v>
      </c>
      <c r="B706" s="7" t="str">
        <f>HYPERLINK("https://shopee.co.id/Erto-s-For-Men-Toner-Essence-Serum-i.96907343.6943431285", "https://shopee.co.id/Erto-s-For-Men-Toner-Essence-Serum-i.96907343.6943431285")</f>
        <v>https://shopee.co.id/Erto-s-For-Men-Toner-Essence-Serum-i.96907343.6943431285</v>
      </c>
      <c r="C706" s="6" t="s">
        <v>467</v>
      </c>
      <c r="D706" s="6" t="s">
        <v>468</v>
      </c>
      <c r="E706" s="6" t="s">
        <v>12</v>
      </c>
      <c r="F706" s="6" t="s">
        <v>13</v>
      </c>
      <c r="G706" s="6" t="s">
        <v>469</v>
      </c>
      <c r="H706" s="8" t="s">
        <v>1469</v>
      </c>
      <c r="I706" s="9">
        <v>6581250.0</v>
      </c>
      <c r="J706" s="5" t="str">
        <f t="shared" ref="J706:K706" si="706">SUBSTITUTE(H706, ",", "")</f>
        <v>58</v>
      </c>
      <c r="K706" s="5" t="str">
        <f t="shared" si="706"/>
        <v>Rp6581250</v>
      </c>
      <c r="L706" s="5" t="str">
        <f t="shared" si="3"/>
        <v>6581250</v>
      </c>
    </row>
    <row r="707">
      <c r="A707" s="6" t="s">
        <v>1476</v>
      </c>
      <c r="B707" s="7" t="str">
        <f>HYPERLINK("https://shopee.co.id/-Official-Distributor-Klairs-Rich-Moist-Soothing-Serum-80ml-i.63803418.1188737625", "https://shopee.co.id/-Official-Distributor-Klairs-Rich-Moist-Soothing-Serum-80ml-i.63803418.1188737625")</f>
        <v>https://shopee.co.id/-Official-Distributor-Klairs-Rich-Moist-Soothing-Serum-80ml-i.63803418.1188737625</v>
      </c>
      <c r="C707" s="6" t="s">
        <v>432</v>
      </c>
      <c r="D707" s="6" t="s">
        <v>433</v>
      </c>
      <c r="E707" s="6" t="s">
        <v>12</v>
      </c>
      <c r="F707" s="6" t="s">
        <v>13</v>
      </c>
      <c r="G707" s="6" t="s">
        <v>21</v>
      </c>
      <c r="H707" s="8" t="s">
        <v>1469</v>
      </c>
      <c r="I707" s="9">
        <v>1.2904722E7</v>
      </c>
      <c r="J707" s="5" t="str">
        <f t="shared" ref="J707:K707" si="707">SUBSTITUTE(H707, ",", "")</f>
        <v>58</v>
      </c>
      <c r="K707" s="5" t="str">
        <f t="shared" si="707"/>
        <v>Rp12904722</v>
      </c>
      <c r="L707" s="5" t="str">
        <f t="shared" si="3"/>
        <v>12904722</v>
      </c>
    </row>
    <row r="708">
      <c r="A708" s="6" t="s">
        <v>1477</v>
      </c>
      <c r="B708" s="7" t="str">
        <f>HYPERLINK("https://shopee.co.id/Mirelle-Glossy-Serum-Glossy-Series--i.303332419.3667027767", "https://shopee.co.id/Mirelle-Glossy-Serum-Glossy-Series--i.303332419.3667027767")</f>
        <v>https://shopee.co.id/Mirelle-Glossy-Serum-Glossy-Series--i.303332419.3667027767</v>
      </c>
      <c r="C708" s="6" t="s">
        <v>1478</v>
      </c>
      <c r="D708" s="6" t="s">
        <v>1479</v>
      </c>
      <c r="E708" s="6" t="s">
        <v>12</v>
      </c>
      <c r="F708" s="6" t="s">
        <v>13</v>
      </c>
      <c r="G708" s="6" t="s">
        <v>1480</v>
      </c>
      <c r="H708" s="8" t="s">
        <v>1469</v>
      </c>
      <c r="I708" s="9">
        <v>7358000.0</v>
      </c>
      <c r="J708" s="5" t="str">
        <f t="shared" ref="J708:K708" si="708">SUBSTITUTE(H708, ",", "")</f>
        <v>58</v>
      </c>
      <c r="K708" s="5" t="str">
        <f t="shared" si="708"/>
        <v>Rp7358000</v>
      </c>
      <c r="L708" s="5" t="str">
        <f t="shared" si="3"/>
        <v>7358000</v>
      </c>
    </row>
    <row r="709">
      <c r="A709" s="6" t="s">
        <v>1481</v>
      </c>
      <c r="B709" s="7" t="str">
        <f>HYPERLINK("https://shopee.co.id/ElsheSkin-Sebum-Reducer-Serum-i.9035345.6090861621", "https://shopee.co.id/ElsheSkin-Sebum-Reducer-Serum-i.9035345.6090861621")</f>
        <v>https://shopee.co.id/ElsheSkin-Sebum-Reducer-Serum-i.9035345.6090861621</v>
      </c>
      <c r="C709" s="6" t="s">
        <v>135</v>
      </c>
      <c r="D709" s="6" t="s">
        <v>136</v>
      </c>
      <c r="E709" s="6" t="s">
        <v>12</v>
      </c>
      <c r="F709" s="6" t="s">
        <v>13</v>
      </c>
      <c r="G709" s="6" t="s">
        <v>80</v>
      </c>
      <c r="H709" s="8" t="s">
        <v>1469</v>
      </c>
      <c r="I709" s="9">
        <v>4880700.0</v>
      </c>
      <c r="J709" s="5" t="str">
        <f t="shared" ref="J709:K709" si="709">SUBSTITUTE(H709, ",", "")</f>
        <v>58</v>
      </c>
      <c r="K709" s="5" t="str">
        <f t="shared" si="709"/>
        <v>Rp4880700</v>
      </c>
      <c r="L709" s="5" t="str">
        <f t="shared" si="3"/>
        <v>4880700</v>
      </c>
    </row>
    <row r="710">
      <c r="A710" s="6" t="s">
        <v>1482</v>
      </c>
      <c r="B710" s="7" t="str">
        <f>HYPERLINK("https://shopee.co.id/Indoganic-Beauty-Rose-Essence-C-i.4706308.3392481469", "https://shopee.co.id/Indoganic-Beauty-Rose-Essence-C-i.4706308.3392481469")</f>
        <v>https://shopee.co.id/Indoganic-Beauty-Rose-Essence-C-i.4706308.3392481469</v>
      </c>
      <c r="C710" s="6" t="s">
        <v>995</v>
      </c>
      <c r="D710" s="6" t="s">
        <v>996</v>
      </c>
      <c r="E710" s="6" t="s">
        <v>12</v>
      </c>
      <c r="F710" s="6" t="s">
        <v>13</v>
      </c>
      <c r="G710" s="6" t="s">
        <v>241</v>
      </c>
      <c r="H710" s="8" t="s">
        <v>1483</v>
      </c>
      <c r="I710" s="9">
        <v>4936500.0</v>
      </c>
      <c r="J710" s="5" t="str">
        <f t="shared" ref="J710:K710" si="710">SUBSTITUTE(H710, ",", "")</f>
        <v>57</v>
      </c>
      <c r="K710" s="5" t="str">
        <f t="shared" si="710"/>
        <v>Rp4936500</v>
      </c>
      <c r="L710" s="5" t="str">
        <f t="shared" si="3"/>
        <v>4936500</v>
      </c>
    </row>
    <row r="711">
      <c r="A711" s="6" t="s">
        <v>1484</v>
      </c>
      <c r="B711" s="7" t="str">
        <f>HYPERLINK("https://shopee.co.id/-BPOM-Voucher-kkv-BREYLEE-Step-2-Pore-Minimizer-Serum-Pengecil-Pori-Wajah-17ml--i.261911729.9014463413", "https://shopee.co.id/-BPOM-Voucher-kkv-BREYLEE-Step-2-Pore-Minimizer-Serum-Pengecil-Pori-Wajah-17ml--i.261911729.9014463413")</f>
        <v>https://shopee.co.id/-BPOM-Voucher-kkv-BREYLEE-Step-2-Pore-Minimizer-Serum-Pengecil-Pori-Wajah-17ml--i.261911729.9014463413</v>
      </c>
      <c r="C711" s="6" t="s">
        <v>852</v>
      </c>
      <c r="D711" s="6" t="s">
        <v>1485</v>
      </c>
      <c r="E711" s="6" t="s">
        <v>12</v>
      </c>
      <c r="F711" s="6" t="s">
        <v>13</v>
      </c>
      <c r="G711" s="6" t="s">
        <v>61</v>
      </c>
      <c r="H711" s="8" t="s">
        <v>1483</v>
      </c>
      <c r="I711" s="9">
        <v>6202000.0</v>
      </c>
      <c r="J711" s="5" t="str">
        <f t="shared" ref="J711:K711" si="711">SUBSTITUTE(H711, ",", "")</f>
        <v>57</v>
      </c>
      <c r="K711" s="5" t="str">
        <f t="shared" si="711"/>
        <v>Rp6202000</v>
      </c>
      <c r="L711" s="5" t="str">
        <f t="shared" si="3"/>
        <v>6202000</v>
      </c>
    </row>
    <row r="712">
      <c r="A712" s="6" t="s">
        <v>1486</v>
      </c>
      <c r="B712" s="7" t="str">
        <f>HYPERLINK("https://shopee.co.id/dr-Ekle-s-Skincare-Glowing-Serum-Essence-i.294944553.4146519210", "https://shopee.co.id/dr-Ekle-s-Skincare-Glowing-Serum-Essence-i.294944553.4146519210")</f>
        <v>https://shopee.co.id/dr-Ekle-s-Skincare-Glowing-Serum-Essence-i.294944553.4146519210</v>
      </c>
      <c r="C712" s="6" t="s">
        <v>1487</v>
      </c>
      <c r="D712" s="6" t="s">
        <v>1488</v>
      </c>
      <c r="E712" s="6" t="s">
        <v>12</v>
      </c>
      <c r="F712" s="6" t="s">
        <v>13</v>
      </c>
      <c r="G712" s="6" t="s">
        <v>61</v>
      </c>
      <c r="H712" s="8" t="s">
        <v>1489</v>
      </c>
      <c r="I712" s="9">
        <v>2.27191E7</v>
      </c>
      <c r="J712" s="5" t="str">
        <f t="shared" ref="J712:K712" si="712">SUBSTITUTE(H712, ",", "")</f>
        <v>56</v>
      </c>
      <c r="K712" s="5" t="str">
        <f t="shared" si="712"/>
        <v>Rp22719100</v>
      </c>
      <c r="L712" s="5" t="str">
        <f t="shared" si="3"/>
        <v>22719100</v>
      </c>
    </row>
    <row r="713">
      <c r="A713" s="6" t="s">
        <v>1490</v>
      </c>
      <c r="B713" s="7" t="str">
        <f>HYPERLINK("https://shopee.co.id/MSBB-Avoskin-Hydrating-Treatment-Essence-i.288588702.7543553539", "https://shopee.co.id/MSBB-Avoskin-Hydrating-Treatment-Essence-i.288588702.7543553539")</f>
        <v>https://shopee.co.id/MSBB-Avoskin-Hydrating-Treatment-Essence-i.288588702.7543553539</v>
      </c>
      <c r="C713" s="6" t="s">
        <v>83</v>
      </c>
      <c r="D713" s="6" t="s">
        <v>79</v>
      </c>
      <c r="E713" s="6" t="s">
        <v>12</v>
      </c>
      <c r="F713" s="6" t="s">
        <v>13</v>
      </c>
      <c r="G713" s="6" t="s">
        <v>80</v>
      </c>
      <c r="H713" s="8" t="s">
        <v>1489</v>
      </c>
      <c r="I713" s="9">
        <v>3804920.0</v>
      </c>
      <c r="J713" s="5" t="str">
        <f t="shared" ref="J713:K713" si="713">SUBSTITUTE(H713, ",", "")</f>
        <v>56</v>
      </c>
      <c r="K713" s="5" t="str">
        <f t="shared" si="713"/>
        <v>Rp3804920</v>
      </c>
      <c r="L713" s="5" t="str">
        <f t="shared" si="3"/>
        <v>3804920</v>
      </c>
    </row>
    <row r="714">
      <c r="A714" s="6" t="s">
        <v>1491</v>
      </c>
      <c r="B714" s="7" t="str">
        <f>HYPERLINK("https://shopee.co.id/Premiere-Beaute-Luminous-White-Glow-Brightening-Whitening-Serum-30ml-i.237204571.8484460727", "https://shopee.co.id/Premiere-Beaute-Luminous-White-Glow-Brightening-Whitening-Serum-30ml-i.237204571.8484460727")</f>
        <v>https://shopee.co.id/Premiere-Beaute-Luminous-White-Glow-Brightening-Whitening-Serum-30ml-i.237204571.8484460727</v>
      </c>
      <c r="C714" s="6" t="s">
        <v>254</v>
      </c>
      <c r="D714" s="6" t="s">
        <v>255</v>
      </c>
      <c r="E714" s="6" t="s">
        <v>12</v>
      </c>
      <c r="F714" s="6" t="s">
        <v>13</v>
      </c>
      <c r="G714" s="6" t="s">
        <v>61</v>
      </c>
      <c r="H714" s="8" t="s">
        <v>1489</v>
      </c>
      <c r="I714" s="9">
        <v>3769600.0</v>
      </c>
      <c r="J714" s="5" t="str">
        <f t="shared" ref="J714:K714" si="714">SUBSTITUTE(H714, ",", "")</f>
        <v>56</v>
      </c>
      <c r="K714" s="5" t="str">
        <f t="shared" si="714"/>
        <v>Rp3769600</v>
      </c>
      <c r="L714" s="5" t="str">
        <f t="shared" si="3"/>
        <v>3769600</v>
      </c>
    </row>
    <row r="715">
      <c r="A715" s="6" t="s">
        <v>1492</v>
      </c>
      <c r="B715" s="7" t="str">
        <f>HYPERLINK("https://shopee.co.id/Sulwhasoo-Bloomstay-Vitalizing-Serum-50ml-i.274949344.6073414204", "https://shopee.co.id/Sulwhasoo-Bloomstay-Vitalizing-Serum-50ml-i.274949344.6073414204")</f>
        <v>https://shopee.co.id/Sulwhasoo-Bloomstay-Vitalizing-Serum-50ml-i.274949344.6073414204</v>
      </c>
      <c r="C715" s="6" t="s">
        <v>282</v>
      </c>
      <c r="D715" s="6" t="s">
        <v>283</v>
      </c>
      <c r="E715" s="6" t="s">
        <v>12</v>
      </c>
      <c r="F715" s="6" t="s">
        <v>13</v>
      </c>
      <c r="G715" s="6" t="s">
        <v>61</v>
      </c>
      <c r="H715" s="8" t="s">
        <v>1493</v>
      </c>
      <c r="I715" s="9">
        <v>5348300.0</v>
      </c>
      <c r="J715" s="5" t="str">
        <f t="shared" ref="J715:K715" si="715">SUBSTITUTE(H715, ",", "")</f>
        <v>55</v>
      </c>
      <c r="K715" s="5" t="str">
        <f t="shared" si="715"/>
        <v>Rp5348300</v>
      </c>
      <c r="L715" s="5" t="str">
        <f t="shared" si="3"/>
        <v>5348300</v>
      </c>
    </row>
    <row r="716">
      <c r="A716" s="6" t="s">
        <v>1494</v>
      </c>
      <c r="B716" s="7" t="str">
        <f>HYPERLINK("https://shopee.co.id/Brightening-Serum-With-Pearl-Almond-Extract-Beauty-In-The-Pot-Skincare-Alami-BPOM-Mencerahkan-Menghaluskan-Mengenyalkan-Wajah-i.254413838.7632325510", "https://shopee.co.id/Brightening-Serum-With-Pearl-Almond-Extract-Beauty-In-The-Pot-Skincare-Alami-BPOM-Mencerahkan-Menghaluskan-Mengenyalkan-Wajah-i.254413838.7632325510")</f>
        <v>https://shopee.co.id/Brightening-Serum-With-Pearl-Almond-Extract-Beauty-In-The-Pot-Skincare-Alami-BPOM-Mencerahkan-Menghaluskan-Mengenyalkan-Wajah-i.254413838.7632325510</v>
      </c>
      <c r="C716" s="6" t="s">
        <v>1495</v>
      </c>
      <c r="D716" s="6" t="s">
        <v>1496</v>
      </c>
      <c r="E716" s="6" t="s">
        <v>12</v>
      </c>
      <c r="F716" s="6" t="s">
        <v>13</v>
      </c>
      <c r="G716" s="6" t="s">
        <v>85</v>
      </c>
      <c r="H716" s="8" t="s">
        <v>1493</v>
      </c>
      <c r="I716" s="9">
        <v>2.18673E7</v>
      </c>
      <c r="J716" s="5" t="str">
        <f t="shared" ref="J716:K716" si="716">SUBSTITUTE(H716, ",", "")</f>
        <v>55</v>
      </c>
      <c r="K716" s="5" t="str">
        <f t="shared" si="716"/>
        <v>Rp21867300</v>
      </c>
      <c r="L716" s="5" t="str">
        <f t="shared" si="3"/>
        <v>21867300</v>
      </c>
    </row>
    <row r="717">
      <c r="A717" s="6" t="s">
        <v>1497</v>
      </c>
      <c r="B717" s="7" t="str">
        <f>HYPERLINK("https://shopee.co.id/Garnier-Light-Complete-White-Speed-Day-Serum-Cream-UVA-UVB-Skin-Care-40ml-x-2-Pcs-i.62583853.5736373662", "https://shopee.co.id/Garnier-Light-Complete-White-Speed-Day-Serum-Cream-UVA-UVB-Skin-Care-40ml-x-2-Pcs-i.62583853.5736373662")</f>
        <v>https://shopee.co.id/Garnier-Light-Complete-White-Speed-Day-Serum-Cream-UVA-UVB-Skin-Care-40ml-x-2-Pcs-i.62583853.5736373662</v>
      </c>
      <c r="C717" s="6" t="s">
        <v>74</v>
      </c>
      <c r="D717" s="6" t="s">
        <v>75</v>
      </c>
      <c r="E717" s="6" t="s">
        <v>12</v>
      </c>
      <c r="F717" s="6" t="s">
        <v>13</v>
      </c>
      <c r="G717" s="6" t="s">
        <v>61</v>
      </c>
      <c r="H717" s="8" t="s">
        <v>1493</v>
      </c>
      <c r="I717" s="9">
        <v>8195000.0</v>
      </c>
      <c r="J717" s="5" t="str">
        <f t="shared" ref="J717:K717" si="717">SUBSTITUTE(H717, ",", "")</f>
        <v>55</v>
      </c>
      <c r="K717" s="5" t="str">
        <f t="shared" si="717"/>
        <v>Rp8195000</v>
      </c>
      <c r="L717" s="5" t="str">
        <f t="shared" si="3"/>
        <v>8195000</v>
      </c>
    </row>
    <row r="718">
      <c r="A718" s="6" t="s">
        <v>1498</v>
      </c>
      <c r="B718" s="7" t="str">
        <f>HYPERLINK("https://shopee.co.id/NEUTROGENA-Hydro-Boost-Capsule-in-Serum-Perawatan-Wajah-30ml-Isi-2-i.50708029.3743158352", "https://shopee.co.id/NEUTROGENA-Hydro-Boost-Capsule-in-Serum-Perawatan-Wajah-30ml-Isi-2-i.50708029.3743158352")</f>
        <v>https://shopee.co.id/NEUTROGENA-Hydro-Boost-Capsule-in-Serum-Perawatan-Wajah-30ml-Isi-2-i.50708029.3743158352</v>
      </c>
      <c r="C718" s="6" t="s">
        <v>1499</v>
      </c>
      <c r="D718" s="6" t="s">
        <v>1500</v>
      </c>
      <c r="E718" s="6" t="s">
        <v>12</v>
      </c>
      <c r="F718" s="6" t="s">
        <v>13</v>
      </c>
      <c r="G718" s="6" t="s">
        <v>296</v>
      </c>
      <c r="H718" s="8" t="s">
        <v>1493</v>
      </c>
      <c r="I718" s="9">
        <v>1.925E7</v>
      </c>
      <c r="J718" s="5" t="str">
        <f t="shared" ref="J718:K718" si="718">SUBSTITUTE(H718, ",", "")</f>
        <v>55</v>
      </c>
      <c r="K718" s="5" t="str">
        <f t="shared" si="718"/>
        <v>Rp19250000</v>
      </c>
      <c r="L718" s="5" t="str">
        <f t="shared" si="3"/>
        <v>19250000</v>
      </c>
    </row>
    <row r="719">
      <c r="A719" s="6" t="s">
        <v>1501</v>
      </c>
      <c r="B719" s="7" t="str">
        <f>HYPERLINK("https://shopee.co.id/The-Aubree-Ginseng-Renewing-First-Serum-30-ml-i.495290309.11620466598", "https://shopee.co.id/The-Aubree-Ginseng-Renewing-First-Serum-30-ml-i.495290309.11620466598")</f>
        <v>https://shopee.co.id/The-Aubree-Ginseng-Renewing-First-Serum-30-ml-i.495290309.11620466598</v>
      </c>
      <c r="C719" s="6" t="s">
        <v>772</v>
      </c>
      <c r="D719" s="6" t="s">
        <v>773</v>
      </c>
      <c r="E719" s="6" t="s">
        <v>12</v>
      </c>
      <c r="F719" s="6" t="s">
        <v>13</v>
      </c>
      <c r="G719" s="6" t="s">
        <v>241</v>
      </c>
      <c r="H719" s="8" t="s">
        <v>1493</v>
      </c>
      <c r="I719" s="9">
        <v>9075000.0</v>
      </c>
      <c r="J719" s="5" t="str">
        <f t="shared" ref="J719:K719" si="719">SUBSTITUTE(H719, ",", "")</f>
        <v>55</v>
      </c>
      <c r="K719" s="5" t="str">
        <f t="shared" si="719"/>
        <v>Rp9075000</v>
      </c>
      <c r="L719" s="5" t="str">
        <f t="shared" si="3"/>
        <v>9075000</v>
      </c>
    </row>
    <row r="720">
      <c r="A720" s="6" t="s">
        <v>1502</v>
      </c>
      <c r="B720" s="7" t="str">
        <f>HYPERLINK("https://shopee.co.id/Safi-Expert-Solutions-Milk-Drop-Serum-Safi-Expert-Solutions-Bio-Skin-Mosturizer-SPF-34-PA--i.63823668.3383193474", "https://shopee.co.id/Safi-Expert-Solutions-Milk-Drop-Serum-Safi-Expert-Solutions-Bio-Skin-Mosturizer-SPF-34-PA--i.63823668.3383193474")</f>
        <v>https://shopee.co.id/Safi-Expert-Solutions-Milk-Drop-Serum-Safi-Expert-Solutions-Bio-Skin-Mosturizer-SPF-34-PA--i.63823668.3383193474</v>
      </c>
      <c r="C720" s="6" t="s">
        <v>278</v>
      </c>
      <c r="D720" s="6" t="s">
        <v>279</v>
      </c>
      <c r="E720" s="6" t="s">
        <v>12</v>
      </c>
      <c r="F720" s="6" t="s">
        <v>13</v>
      </c>
      <c r="G720" s="6" t="s">
        <v>61</v>
      </c>
      <c r="H720" s="8" t="s">
        <v>1493</v>
      </c>
      <c r="I720" s="9">
        <v>4895000.0</v>
      </c>
      <c r="J720" s="5" t="str">
        <f t="shared" ref="J720:K720" si="720">SUBSTITUTE(H720, ",", "")</f>
        <v>55</v>
      </c>
      <c r="K720" s="5" t="str">
        <f t="shared" si="720"/>
        <v>Rp4895000</v>
      </c>
      <c r="L720" s="5" t="str">
        <f t="shared" si="3"/>
        <v>4895000</v>
      </c>
    </row>
    <row r="721">
      <c r="A721" s="6" t="s">
        <v>1503</v>
      </c>
      <c r="B721" s="7" t="str">
        <f>HYPERLINK("https://shopee.co.id/Langsre-Brightspot-Serum-30ml-i.24099389.3818651452", "https://shopee.co.id/Langsre-Brightspot-Serum-30ml-i.24099389.3818651452")</f>
        <v>https://shopee.co.id/Langsre-Brightspot-Serum-30ml-i.24099389.3818651452</v>
      </c>
      <c r="C721" s="6" t="s">
        <v>1295</v>
      </c>
      <c r="D721" s="6" t="s">
        <v>1296</v>
      </c>
      <c r="E721" s="6" t="s">
        <v>12</v>
      </c>
      <c r="F721" s="6" t="s">
        <v>13</v>
      </c>
      <c r="G721" s="6" t="s">
        <v>532</v>
      </c>
      <c r="H721" s="8" t="s">
        <v>1493</v>
      </c>
      <c r="I721" s="9">
        <v>484000.0</v>
      </c>
      <c r="J721" s="5" t="str">
        <f t="shared" ref="J721:K721" si="721">SUBSTITUTE(H721, ",", "")</f>
        <v>55</v>
      </c>
      <c r="K721" s="5" t="str">
        <f t="shared" si="721"/>
        <v>Rp484000</v>
      </c>
      <c r="L721" s="5" t="str">
        <f t="shared" si="3"/>
        <v>484000</v>
      </c>
    </row>
    <row r="722">
      <c r="A722" s="6" t="s">
        <v>1070</v>
      </c>
      <c r="B722" s="7" t="str">
        <f>HYPERLINK("https://shopee.co.id/Sulwhasoo-Concentrated-Ginseng-Renewing-Serum-30ml-i.274949344.5539210389", "https://shopee.co.id/Sulwhasoo-Concentrated-Ginseng-Renewing-Serum-30ml-i.274949344.5539210389")</f>
        <v>https://shopee.co.id/Sulwhasoo-Concentrated-Ginseng-Renewing-Serum-30ml-i.274949344.5539210389</v>
      </c>
      <c r="C722" s="6" t="s">
        <v>282</v>
      </c>
      <c r="D722" s="6" t="s">
        <v>283</v>
      </c>
      <c r="E722" s="6" t="s">
        <v>12</v>
      </c>
      <c r="F722" s="6" t="s">
        <v>13</v>
      </c>
      <c r="G722" s="6" t="s">
        <v>61</v>
      </c>
      <c r="H722" s="8" t="s">
        <v>1504</v>
      </c>
      <c r="I722" s="9">
        <v>7506000.0</v>
      </c>
      <c r="J722" s="5" t="str">
        <f t="shared" ref="J722:K722" si="722">SUBSTITUTE(H722, ",", "")</f>
        <v>54</v>
      </c>
      <c r="K722" s="5" t="str">
        <f t="shared" si="722"/>
        <v>Rp7506000</v>
      </c>
      <c r="L722" s="5" t="str">
        <f t="shared" si="3"/>
        <v>7506000</v>
      </c>
    </row>
    <row r="723">
      <c r="A723" s="6" t="s">
        <v>1505</v>
      </c>
      <c r="B723" s="7" t="str">
        <f>HYPERLINK("https://shopee.co.id/Aizen-Niacinamide-Ascorbate-15-Ultra-Ampoule-Serum-Pencerah-Perbaikan-Kulit-Wajah-i.89939211.4175376764", "https://shopee.co.id/Aizen-Niacinamide-Ascorbate-15-Ultra-Ampoule-Serum-Pencerah-Perbaikan-Kulit-Wajah-i.89939211.4175376764")</f>
        <v>https://shopee.co.id/Aizen-Niacinamide-Ascorbate-15-Ultra-Ampoule-Serum-Pencerah-Perbaikan-Kulit-Wajah-i.89939211.4175376764</v>
      </c>
      <c r="C723" s="6" t="s">
        <v>1325</v>
      </c>
      <c r="D723" s="6" t="s">
        <v>1326</v>
      </c>
      <c r="E723" s="6" t="s">
        <v>12</v>
      </c>
      <c r="F723" s="6" t="s">
        <v>13</v>
      </c>
      <c r="G723" s="6" t="s">
        <v>14</v>
      </c>
      <c r="H723" s="8" t="s">
        <v>1504</v>
      </c>
      <c r="I723" s="9">
        <v>7078500.0</v>
      </c>
      <c r="J723" s="5" t="str">
        <f t="shared" ref="J723:K723" si="723">SUBSTITUTE(H723, ",", "")</f>
        <v>54</v>
      </c>
      <c r="K723" s="5" t="str">
        <f t="shared" si="723"/>
        <v>Rp7078500</v>
      </c>
      <c r="L723" s="5" t="str">
        <f t="shared" si="3"/>
        <v>7078500</v>
      </c>
    </row>
    <row r="724">
      <c r="A724" s="6" t="s">
        <v>1506</v>
      </c>
      <c r="B724" s="7" t="str">
        <f>HYPERLINK("https://shopee.co.id/MEDGLOW-CLINIC-Alpha-Arbutin-Serum-Aesthetic-Skincare-Whitening-Lightening-Brightening-Pemutih-BPOM-i.285885972.7347592028", "https://shopee.co.id/MEDGLOW-CLINIC-Alpha-Arbutin-Serum-Aesthetic-Skincare-Whitening-Lightening-Brightening-Pemutih-BPOM-i.285885972.7347592028")</f>
        <v>https://shopee.co.id/MEDGLOW-CLINIC-Alpha-Arbutin-Serum-Aesthetic-Skincare-Whitening-Lightening-Brightening-Pemutih-BPOM-i.285885972.7347592028</v>
      </c>
      <c r="C724" s="6" t="s">
        <v>949</v>
      </c>
      <c r="D724" s="6" t="s">
        <v>950</v>
      </c>
      <c r="E724" s="6" t="s">
        <v>12</v>
      </c>
      <c r="F724" s="6" t="s">
        <v>13</v>
      </c>
      <c r="G724" s="6" t="s">
        <v>380</v>
      </c>
      <c r="H724" s="8" t="s">
        <v>1504</v>
      </c>
      <c r="I724" s="9">
        <v>4820000.0</v>
      </c>
      <c r="J724" s="5" t="str">
        <f t="shared" ref="J724:K724" si="724">SUBSTITUTE(H724, ",", "")</f>
        <v>54</v>
      </c>
      <c r="K724" s="5" t="str">
        <f t="shared" si="724"/>
        <v>Rp4820000</v>
      </c>
      <c r="L724" s="5" t="str">
        <f t="shared" si="3"/>
        <v>4820000</v>
      </c>
    </row>
    <row r="725">
      <c r="A725" s="6" t="s">
        <v>1507</v>
      </c>
      <c r="B725" s="7" t="str">
        <f>HYPERLINK("https://shopee.co.id/Rojukiss-Korean-Serum-8ml-All-Varian-i.136011044.8490126046", "https://shopee.co.id/Rojukiss-Korean-Serum-8ml-All-Varian-i.136011044.8490126046")</f>
        <v>https://shopee.co.id/Rojukiss-Korean-Serum-8ml-All-Varian-i.136011044.8490126046</v>
      </c>
      <c r="C725" s="6" t="s">
        <v>1508</v>
      </c>
      <c r="D725" s="6" t="s">
        <v>632</v>
      </c>
      <c r="E725" s="6" t="s">
        <v>12</v>
      </c>
      <c r="F725" s="6" t="s">
        <v>13</v>
      </c>
      <c r="G725" s="6" t="s">
        <v>21</v>
      </c>
      <c r="H725" s="8" t="s">
        <v>1504</v>
      </c>
      <c r="I725" s="9">
        <v>642600.0</v>
      </c>
      <c r="J725" s="5" t="str">
        <f t="shared" ref="J725:K725" si="725">SUBSTITUTE(H725, ",", "")</f>
        <v>54</v>
      </c>
      <c r="K725" s="5" t="str">
        <f t="shared" si="725"/>
        <v>Rp642600</v>
      </c>
      <c r="L725" s="5" t="str">
        <f t="shared" si="3"/>
        <v>642600</v>
      </c>
    </row>
    <row r="726">
      <c r="A726" s="6" t="s">
        <v>1509</v>
      </c>
      <c r="B726" s="7" t="str">
        <f>HYPERLINK("https://shopee.co.id/The-Body-Shop-Oils-Of-Life-Intensely-Revitalising-Facial-Oil-Serum-50ml-i.28053737.405769694", "https://shopee.co.id/The-Body-Shop-Oils-Of-Life-Intensely-Revitalising-Facial-Oil-Serum-50ml-i.28053737.405769694")</f>
        <v>https://shopee.co.id/The-Body-Shop-Oils-Of-Life-Intensely-Revitalising-Facial-Oil-Serum-50ml-i.28053737.405769694</v>
      </c>
      <c r="C726" s="6" t="s">
        <v>221</v>
      </c>
      <c r="D726" s="6" t="s">
        <v>222</v>
      </c>
      <c r="E726" s="6" t="s">
        <v>12</v>
      </c>
      <c r="F726" s="6" t="s">
        <v>13</v>
      </c>
      <c r="G726" s="6" t="s">
        <v>80</v>
      </c>
      <c r="H726" s="8" t="s">
        <v>1504</v>
      </c>
      <c r="I726" s="9">
        <v>4806000.0</v>
      </c>
      <c r="J726" s="5" t="str">
        <f t="shared" ref="J726:K726" si="726">SUBSTITUTE(H726, ",", "")</f>
        <v>54</v>
      </c>
      <c r="K726" s="5" t="str">
        <f t="shared" si="726"/>
        <v>Rp4806000</v>
      </c>
      <c r="L726" s="5" t="str">
        <f t="shared" si="3"/>
        <v>4806000</v>
      </c>
    </row>
    <row r="727">
      <c r="A727" s="6" t="s">
        <v>1510</v>
      </c>
      <c r="B727" s="7" t="str">
        <f>HYPERLINK("https://shopee.co.id/COSRX-Galactomyces-95-Tone-Balancing-Essence-100-ml-Esens-untuk-Kulit-Kusam-Skincare-i.224957239.6441124295", "https://shopee.co.id/COSRX-Galactomyces-95-Tone-Balancing-Essence-100-ml-Esens-untuk-Kulit-Kusam-Skincare-i.224957239.6441124295")</f>
        <v>https://shopee.co.id/COSRX-Galactomyces-95-Tone-Balancing-Essence-100-ml-Esens-untuk-Kulit-Kusam-Skincare-i.224957239.6441124295</v>
      </c>
      <c r="C727" s="6" t="s">
        <v>305</v>
      </c>
      <c r="D727" s="6" t="s">
        <v>492</v>
      </c>
      <c r="E727" s="6" t="s">
        <v>12</v>
      </c>
      <c r="F727" s="6" t="s">
        <v>13</v>
      </c>
      <c r="G727" s="6" t="s">
        <v>21</v>
      </c>
      <c r="H727" s="8" t="s">
        <v>1504</v>
      </c>
      <c r="I727" s="9">
        <v>3166250.0</v>
      </c>
      <c r="J727" s="5" t="str">
        <f t="shared" ref="J727:K727" si="727">SUBSTITUTE(H727, ",", "")</f>
        <v>54</v>
      </c>
      <c r="K727" s="5" t="str">
        <f t="shared" si="727"/>
        <v>Rp3166250</v>
      </c>
      <c r="L727" s="5" t="str">
        <f t="shared" si="3"/>
        <v>3166250</v>
      </c>
    </row>
    <row r="728">
      <c r="A728" s="6" t="s">
        <v>1511</v>
      </c>
      <c r="B728" s="7" t="str">
        <f>HYPERLINK("https://shopee.co.id/Bless-Hydrating-Brightening-Serum-20ml-i.3299033.6087488590", "https://shopee.co.id/Bless-Hydrating-Brightening-Serum-20ml-i.3299033.6087488590")</f>
        <v>https://shopee.co.id/Bless-Hydrating-Brightening-Serum-20ml-i.3299033.6087488590</v>
      </c>
      <c r="C728" s="6" t="s">
        <v>1512</v>
      </c>
      <c r="D728" s="6" t="s">
        <v>1513</v>
      </c>
      <c r="E728" s="6" t="s">
        <v>12</v>
      </c>
      <c r="F728" s="6" t="s">
        <v>13</v>
      </c>
      <c r="G728" s="6" t="s">
        <v>532</v>
      </c>
      <c r="H728" s="8" t="s">
        <v>1514</v>
      </c>
      <c r="I728" s="9">
        <v>1.2012448E7</v>
      </c>
      <c r="J728" s="5" t="str">
        <f t="shared" ref="J728:K728" si="728">SUBSTITUTE(H728, ",", "")</f>
        <v>53</v>
      </c>
      <c r="K728" s="5" t="str">
        <f t="shared" si="728"/>
        <v>Rp12012448</v>
      </c>
      <c r="L728" s="5" t="str">
        <f t="shared" si="3"/>
        <v>12012448</v>
      </c>
    </row>
    <row r="729">
      <c r="A729" s="6" t="s">
        <v>1515</v>
      </c>
      <c r="B729" s="7" t="str">
        <f>HYPERLINK("https://shopee.co.id/ELSHE-SKIN-Eyessential-Night-Serum-18ml-i.68111.2953276449", "https://shopee.co.id/ELSHE-SKIN-Eyessential-Night-Serum-18ml-i.68111.2953276449")</f>
        <v>https://shopee.co.id/ELSHE-SKIN-Eyessential-Night-Serum-18ml-i.68111.2953276449</v>
      </c>
      <c r="C729" s="6" t="s">
        <v>135</v>
      </c>
      <c r="D729" s="6" t="s">
        <v>441</v>
      </c>
      <c r="E729" s="6" t="s">
        <v>12</v>
      </c>
      <c r="F729" s="6" t="s">
        <v>13</v>
      </c>
      <c r="G729" s="6" t="s">
        <v>130</v>
      </c>
      <c r="H729" s="8" t="s">
        <v>1514</v>
      </c>
      <c r="I729" s="9">
        <v>5531760.0</v>
      </c>
      <c r="J729" s="5" t="str">
        <f t="shared" ref="J729:K729" si="729">SUBSTITUTE(H729, ",", "")</f>
        <v>53</v>
      </c>
      <c r="K729" s="5" t="str">
        <f t="shared" si="729"/>
        <v>Rp5531760</v>
      </c>
      <c r="L729" s="5" t="str">
        <f t="shared" si="3"/>
        <v>5531760</v>
      </c>
    </row>
    <row r="730">
      <c r="A730" s="6" t="s">
        <v>1516</v>
      </c>
      <c r="B730" s="7" t="str">
        <f>HYPERLINK("https://shopee.co.id/SOMETHINC-10-Niacinamide-Moisture-Sabi-Beet-Max-Brightening-Serum-40ml-i.30736001.2937486022", "https://shopee.co.id/SOMETHINC-10-Niacinamide-Moisture-Sabi-Beet-Max-Brightening-Serum-40ml-i.30736001.2937486022")</f>
        <v>https://shopee.co.id/SOMETHINC-10-Niacinamide-Moisture-Sabi-Beet-Max-Brightening-Serum-40ml-i.30736001.2937486022</v>
      </c>
      <c r="C730" s="6" t="s">
        <v>45</v>
      </c>
      <c r="D730" s="6" t="s">
        <v>335</v>
      </c>
      <c r="E730" s="6" t="s">
        <v>12</v>
      </c>
      <c r="F730" s="6" t="s">
        <v>13</v>
      </c>
      <c r="G730" s="6" t="s">
        <v>36</v>
      </c>
      <c r="H730" s="8" t="s">
        <v>1514</v>
      </c>
      <c r="I730" s="9">
        <v>7074400.0</v>
      </c>
      <c r="J730" s="5" t="str">
        <f t="shared" ref="J730:K730" si="730">SUBSTITUTE(H730, ",", "")</f>
        <v>53</v>
      </c>
      <c r="K730" s="5" t="str">
        <f t="shared" si="730"/>
        <v>Rp7074400</v>
      </c>
      <c r="L730" s="5" t="str">
        <f t="shared" si="3"/>
        <v>7074400</v>
      </c>
    </row>
    <row r="731">
      <c r="A731" s="6" t="s">
        <v>1517</v>
      </c>
      <c r="B731" s="7" t="str">
        <f>HYPERLINK("https://shopee.co.id/Azrina-Brightening-Secret-Serum-i.32101291.7613459187", "https://shopee.co.id/Azrina-Brightening-Secret-Serum-i.32101291.7613459187")</f>
        <v>https://shopee.co.id/Azrina-Brightening-Secret-Serum-i.32101291.7613459187</v>
      </c>
      <c r="C731" s="6" t="s">
        <v>1518</v>
      </c>
      <c r="D731" s="6" t="s">
        <v>1076</v>
      </c>
      <c r="E731" s="6" t="s">
        <v>12</v>
      </c>
      <c r="F731" s="6" t="s">
        <v>13</v>
      </c>
      <c r="G731" s="6" t="s">
        <v>370</v>
      </c>
      <c r="H731" s="8" t="s">
        <v>1514</v>
      </c>
      <c r="I731" s="9">
        <v>4898200.0</v>
      </c>
      <c r="J731" s="5" t="str">
        <f t="shared" ref="J731:K731" si="731">SUBSTITUTE(H731, ",", "")</f>
        <v>53</v>
      </c>
      <c r="K731" s="5" t="str">
        <f t="shared" si="731"/>
        <v>Rp4898200</v>
      </c>
      <c r="L731" s="5" t="str">
        <f t="shared" si="3"/>
        <v>4898200</v>
      </c>
    </row>
    <row r="732">
      <c r="A732" s="6" t="s">
        <v>1519</v>
      </c>
      <c r="B732" s="7" t="str">
        <f>HYPERLINK("https://shopee.co.id/SOMEBYMI-AHA-BHA-PHA-30-Days-Miracle-SERUM-50ml-i.270965687.7738153431", "https://shopee.co.id/SOMEBYMI-AHA-BHA-PHA-30-Days-Miracle-SERUM-50ml-i.270965687.7738153431")</f>
        <v>https://shopee.co.id/SOMEBYMI-AHA-BHA-PHA-30-Days-Miracle-SERUM-50ml-i.270965687.7738153431</v>
      </c>
      <c r="C732" s="6" t="s">
        <v>213</v>
      </c>
      <c r="D732" s="6" t="s">
        <v>379</v>
      </c>
      <c r="E732" s="6" t="s">
        <v>12</v>
      </c>
      <c r="F732" s="6" t="s">
        <v>13</v>
      </c>
      <c r="G732" s="6" t="s">
        <v>380</v>
      </c>
      <c r="H732" s="8" t="s">
        <v>1514</v>
      </c>
      <c r="I732" s="9">
        <v>3931900.0</v>
      </c>
      <c r="J732" s="5" t="str">
        <f t="shared" ref="J732:K732" si="732">SUBSTITUTE(H732, ",", "")</f>
        <v>53</v>
      </c>
      <c r="K732" s="5" t="str">
        <f t="shared" si="732"/>
        <v>Rp3931900</v>
      </c>
      <c r="L732" s="5" t="str">
        <f t="shared" si="3"/>
        <v>3931900</v>
      </c>
    </row>
    <row r="733">
      <c r="A733" s="6" t="s">
        <v>1520</v>
      </c>
      <c r="B733" s="7" t="str">
        <f>HYPERLINK("https://shopee.co.id/Benton-Snail-Bee-Ultimate-Serum-i.125116082.2752604648", "https://shopee.co.id/Benton-Snail-Bee-Ultimate-Serum-i.125116082.2752604648")</f>
        <v>https://shopee.co.id/Benton-Snail-Bee-Ultimate-Serum-i.125116082.2752604648</v>
      </c>
      <c r="C733" s="6" t="s">
        <v>456</v>
      </c>
      <c r="D733" s="6" t="s">
        <v>713</v>
      </c>
      <c r="E733" s="6" t="s">
        <v>12</v>
      </c>
      <c r="F733" s="6" t="s">
        <v>13</v>
      </c>
      <c r="G733" s="6" t="s">
        <v>61</v>
      </c>
      <c r="H733" s="8" t="s">
        <v>1514</v>
      </c>
      <c r="I733" s="9">
        <v>2981250.0</v>
      </c>
      <c r="J733" s="5" t="str">
        <f t="shared" ref="J733:K733" si="733">SUBSTITUTE(H733, ",", "")</f>
        <v>53</v>
      </c>
      <c r="K733" s="5" t="str">
        <f t="shared" si="733"/>
        <v>Rp2981250</v>
      </c>
      <c r="L733" s="5" t="str">
        <f t="shared" si="3"/>
        <v>2981250</v>
      </c>
    </row>
    <row r="734">
      <c r="A734" s="6" t="s">
        <v>1521</v>
      </c>
      <c r="B734" s="7" t="str">
        <f>HYPERLINK("https://shopee.co.id/SECA-CERAMIDE-Solution-3-Serum-i.373749700.9972917936", "https://shopee.co.id/SECA-CERAMIDE-Solution-3-Serum-i.373749700.9972917936")</f>
        <v>https://shopee.co.id/SECA-CERAMIDE-Solution-3-Serum-i.373749700.9972917936</v>
      </c>
      <c r="C734" s="6" t="s">
        <v>985</v>
      </c>
      <c r="D734" s="6" t="s">
        <v>986</v>
      </c>
      <c r="E734" s="6" t="s">
        <v>12</v>
      </c>
      <c r="F734" s="6" t="s">
        <v>13</v>
      </c>
      <c r="G734" s="6" t="s">
        <v>36</v>
      </c>
      <c r="H734" s="8" t="s">
        <v>1514</v>
      </c>
      <c r="I734" s="9">
        <v>2.05593E7</v>
      </c>
      <c r="J734" s="5" t="str">
        <f t="shared" ref="J734:K734" si="734">SUBSTITUTE(H734, ",", "")</f>
        <v>53</v>
      </c>
      <c r="K734" s="5" t="str">
        <f t="shared" si="734"/>
        <v>Rp20559300</v>
      </c>
      <c r="L734" s="5" t="str">
        <f t="shared" si="3"/>
        <v>20559300</v>
      </c>
    </row>
    <row r="735">
      <c r="A735" s="6" t="s">
        <v>1522</v>
      </c>
      <c r="B735" s="7" t="str">
        <f>HYPERLINK("https://shopee.co.id/Benton-Snail-Bee-High-Content-Skin-i.125116082.2753937652", "https://shopee.co.id/Benton-Snail-Bee-High-Content-Skin-i.125116082.2753937652")</f>
        <v>https://shopee.co.id/Benton-Snail-Bee-High-Content-Skin-i.125116082.2753937652</v>
      </c>
      <c r="C735" s="6" t="s">
        <v>456</v>
      </c>
      <c r="D735" s="6" t="s">
        <v>713</v>
      </c>
      <c r="E735" s="6" t="s">
        <v>12</v>
      </c>
      <c r="F735" s="6" t="s">
        <v>13</v>
      </c>
      <c r="G735" s="6" t="s">
        <v>61</v>
      </c>
      <c r="H735" s="8" t="s">
        <v>1514</v>
      </c>
      <c r="I735" s="9">
        <v>6288250.0</v>
      </c>
      <c r="J735" s="5" t="str">
        <f t="shared" ref="J735:K735" si="735">SUBSTITUTE(H735, ",", "")</f>
        <v>53</v>
      </c>
      <c r="K735" s="5" t="str">
        <f t="shared" si="735"/>
        <v>Rp6288250</v>
      </c>
      <c r="L735" s="5" t="str">
        <f t="shared" si="3"/>
        <v>6288250</v>
      </c>
    </row>
    <row r="736">
      <c r="A736" s="6" t="s">
        <v>1523</v>
      </c>
      <c r="B736" s="7" t="str">
        <f>HYPERLINK("https://shopee.co.id/KKV-GET-VOUCHER-Avoskin-Perfect-Hydrating-Treatment-Essence-untuk-mencerahkan-dan-melembapkan-Brightening-i.313431312.9686450420", "https://shopee.co.id/KKV-GET-VOUCHER-Avoskin-Perfect-Hydrating-Treatment-Essence-untuk-mencerahkan-dan-melembapkan-Brightening-i.313431312.9686450420")</f>
        <v>https://shopee.co.id/KKV-GET-VOUCHER-Avoskin-Perfect-Hydrating-Treatment-Essence-untuk-mencerahkan-dan-melembapkan-Brightening-i.313431312.9686450420</v>
      </c>
      <c r="C736" s="6" t="s">
        <v>83</v>
      </c>
      <c r="D736" s="6" t="s">
        <v>1524</v>
      </c>
      <c r="E736" s="6" t="s">
        <v>12</v>
      </c>
      <c r="F736" s="6" t="s">
        <v>13</v>
      </c>
      <c r="G736" s="6" t="s">
        <v>61</v>
      </c>
      <c r="H736" s="8" t="s">
        <v>1514</v>
      </c>
      <c r="I736" s="9">
        <v>1.17981E7</v>
      </c>
      <c r="J736" s="5" t="str">
        <f t="shared" ref="J736:K736" si="736">SUBSTITUTE(H736, ",", "")</f>
        <v>53</v>
      </c>
      <c r="K736" s="5" t="str">
        <f t="shared" si="736"/>
        <v>Rp11798100</v>
      </c>
      <c r="L736" s="5" t="str">
        <f t="shared" si="3"/>
        <v>11798100</v>
      </c>
    </row>
    <row r="737">
      <c r="A737" s="6" t="s">
        <v>1525</v>
      </c>
      <c r="B737" s="7" t="str">
        <f>HYPERLINK("https://shopee.co.id/Roro-Mendut-Natural-Ingredients-Serum-i.87869551.3867854998", "https://shopee.co.id/Roro-Mendut-Natural-Ingredients-Serum-i.87869551.3867854998")</f>
        <v>https://shopee.co.id/Roro-Mendut-Natural-Ingredients-Serum-i.87869551.3867854998</v>
      </c>
      <c r="C737" s="6" t="s">
        <v>1526</v>
      </c>
      <c r="D737" s="6" t="s">
        <v>1527</v>
      </c>
      <c r="E737" s="6" t="s">
        <v>12</v>
      </c>
      <c r="F737" s="6" t="s">
        <v>13</v>
      </c>
      <c r="G737" s="6" t="s">
        <v>380</v>
      </c>
      <c r="H737" s="8" t="s">
        <v>1514</v>
      </c>
      <c r="I737" s="9">
        <v>3551000.0</v>
      </c>
      <c r="J737" s="5" t="str">
        <f t="shared" ref="J737:K737" si="737">SUBSTITUTE(H737, ",", "")</f>
        <v>53</v>
      </c>
      <c r="K737" s="5" t="str">
        <f t="shared" si="737"/>
        <v>Rp3551000</v>
      </c>
      <c r="L737" s="5" t="str">
        <f t="shared" si="3"/>
        <v>3551000</v>
      </c>
    </row>
    <row r="738">
      <c r="A738" s="6" t="s">
        <v>1528</v>
      </c>
      <c r="B738" s="7" t="str">
        <f>HYPERLINK("https://shopee.co.id/Astalift-Infocus-Cellative-Serum-30-ml-i.104888237.3735143833", "https://shopee.co.id/Astalift-Infocus-Cellative-Serum-30-ml-i.104888237.3735143833")</f>
        <v>https://shopee.co.id/Astalift-Infocus-Cellative-Serum-30-ml-i.104888237.3735143833</v>
      </c>
      <c r="C738" s="6" t="s">
        <v>1529</v>
      </c>
      <c r="D738" s="6" t="s">
        <v>1530</v>
      </c>
      <c r="E738" s="6" t="s">
        <v>12</v>
      </c>
      <c r="F738" s="6" t="s">
        <v>13</v>
      </c>
      <c r="G738" s="6" t="s">
        <v>61</v>
      </c>
      <c r="H738" s="8" t="s">
        <v>1531</v>
      </c>
      <c r="I738" s="9">
        <v>1.2428E7</v>
      </c>
      <c r="J738" s="5" t="str">
        <f t="shared" ref="J738:K738" si="738">SUBSTITUTE(H738, ",", "")</f>
        <v>52</v>
      </c>
      <c r="K738" s="5" t="str">
        <f t="shared" si="738"/>
        <v>Rp12428000</v>
      </c>
      <c r="L738" s="5" t="str">
        <f t="shared" si="3"/>
        <v>12428000</v>
      </c>
    </row>
    <row r="739">
      <c r="A739" s="6" t="s">
        <v>1532</v>
      </c>
      <c r="B739" s="7" t="str">
        <f>HYPERLINK("https://shopee.co.id/Derma-Express-Solution-Essence-i.243650388.7287426099", "https://shopee.co.id/Derma-Express-Solution-Essence-i.243650388.7287426099")</f>
        <v>https://shopee.co.id/Derma-Express-Solution-Essence-i.243650388.7287426099</v>
      </c>
      <c r="C739" s="6" t="s">
        <v>957</v>
      </c>
      <c r="D739" s="6" t="s">
        <v>958</v>
      </c>
      <c r="E739" s="6" t="s">
        <v>12</v>
      </c>
      <c r="F739" s="6" t="s">
        <v>13</v>
      </c>
      <c r="G739" s="6" t="s">
        <v>532</v>
      </c>
      <c r="H739" s="8" t="s">
        <v>1531</v>
      </c>
      <c r="I739" s="9">
        <v>3653000.0</v>
      </c>
      <c r="J739" s="5" t="str">
        <f t="shared" ref="J739:K739" si="739">SUBSTITUTE(H739, ",", "")</f>
        <v>52</v>
      </c>
      <c r="K739" s="5" t="str">
        <f t="shared" si="739"/>
        <v>Rp3653000</v>
      </c>
      <c r="L739" s="5" t="str">
        <f t="shared" si="3"/>
        <v>3653000</v>
      </c>
    </row>
    <row r="740">
      <c r="A740" s="6" t="s">
        <v>1533</v>
      </c>
      <c r="B740" s="7" t="str">
        <f>HYPERLINK("https://shopee.co.id/Natasha-by-dr-Fredi-Setyawan-Retinol-White-Night-Serum-i.40121814.5957941935", "https://shopee.co.id/Natasha-by-dr-Fredi-Setyawan-Retinol-White-Night-Serum-i.40121814.5957941935")</f>
        <v>https://shopee.co.id/Natasha-by-dr-Fredi-Setyawan-Retinol-White-Night-Serum-i.40121814.5957941935</v>
      </c>
      <c r="C740" s="6" t="s">
        <v>793</v>
      </c>
      <c r="D740" s="6" t="s">
        <v>794</v>
      </c>
      <c r="E740" s="6" t="s">
        <v>12</v>
      </c>
      <c r="F740" s="6" t="s">
        <v>13</v>
      </c>
      <c r="G740" s="6" t="s">
        <v>380</v>
      </c>
      <c r="H740" s="8" t="s">
        <v>1531</v>
      </c>
      <c r="I740" s="9">
        <v>1.5721E7</v>
      </c>
      <c r="J740" s="5" t="str">
        <f t="shared" ref="J740:K740" si="740">SUBSTITUTE(H740, ",", "")</f>
        <v>52</v>
      </c>
      <c r="K740" s="5" t="str">
        <f t="shared" si="740"/>
        <v>Rp15721000</v>
      </c>
      <c r="L740" s="5" t="str">
        <f t="shared" si="3"/>
        <v>15721000</v>
      </c>
    </row>
    <row r="741">
      <c r="A741" s="6" t="s">
        <v>1534</v>
      </c>
      <c r="B741" s="7" t="str">
        <f>HYPERLINK("https://shopee.co.id/Natasha-by-dr-Fredi-Setyawan-Glowing-Essence-Serum-i.40121814.4257947002", "https://shopee.co.id/Natasha-by-dr-Fredi-Setyawan-Glowing-Essence-Serum-i.40121814.4257947002")</f>
        <v>https://shopee.co.id/Natasha-by-dr-Fredi-Setyawan-Glowing-Essence-Serum-i.40121814.4257947002</v>
      </c>
      <c r="C741" s="6" t="s">
        <v>793</v>
      </c>
      <c r="D741" s="6" t="s">
        <v>794</v>
      </c>
      <c r="E741" s="6" t="s">
        <v>12</v>
      </c>
      <c r="F741" s="6" t="s">
        <v>13</v>
      </c>
      <c r="G741" s="6" t="s">
        <v>380</v>
      </c>
      <c r="H741" s="8" t="s">
        <v>1531</v>
      </c>
      <c r="I741" s="9">
        <v>4628000.0</v>
      </c>
      <c r="J741" s="5" t="str">
        <f t="shared" ref="J741:K741" si="741">SUBSTITUTE(H741, ",", "")</f>
        <v>52</v>
      </c>
      <c r="K741" s="5" t="str">
        <f t="shared" si="741"/>
        <v>Rp4628000</v>
      </c>
      <c r="L741" s="5" t="str">
        <f t="shared" si="3"/>
        <v>4628000</v>
      </c>
    </row>
    <row r="742">
      <c r="A742" s="6" t="s">
        <v>1535</v>
      </c>
      <c r="B742" s="7" t="str">
        <f>HYPERLINK("https://shopee.co.id/Intense-Ultimate-Care-200ml-For-Women-i.166871644.2615609180", "https://shopee.co.id/Intense-Ultimate-Care-200ml-For-Women-i.166871644.2615609180")</f>
        <v>https://shopee.co.id/Intense-Ultimate-Care-200ml-For-Women-i.166871644.2615609180</v>
      </c>
      <c r="C742" s="6" t="s">
        <v>1536</v>
      </c>
      <c r="D742" s="6" t="s">
        <v>1537</v>
      </c>
      <c r="E742" s="6" t="s">
        <v>12</v>
      </c>
      <c r="F742" s="6" t="s">
        <v>13</v>
      </c>
      <c r="G742" s="6" t="s">
        <v>61</v>
      </c>
      <c r="H742" s="8" t="s">
        <v>1538</v>
      </c>
      <c r="I742" s="9">
        <v>4085100.0</v>
      </c>
      <c r="J742" s="5" t="str">
        <f t="shared" ref="J742:K742" si="742">SUBSTITUTE(H742, ",", "")</f>
        <v>51</v>
      </c>
      <c r="K742" s="5" t="str">
        <f t="shared" si="742"/>
        <v>Rp4085100</v>
      </c>
      <c r="L742" s="5" t="str">
        <f t="shared" si="3"/>
        <v>4085100</v>
      </c>
    </row>
    <row r="743">
      <c r="A743" s="6" t="s">
        <v>1539</v>
      </c>
      <c r="B743" s="7" t="str">
        <f>HYPERLINK("https://shopee.co.id/Natur-Miracle-Brightening-Face-Serum-Vitamin-C-Sour-Lime-i.38631574.3333422021", "https://shopee.co.id/Natur-Miracle-Brightening-Face-Serum-Vitamin-C-Sour-Lime-i.38631574.3333422021")</f>
        <v>https://shopee.co.id/Natur-Miracle-Brightening-Face-Serum-Vitamin-C-Sour-Lime-i.38631574.3333422021</v>
      </c>
      <c r="C743" s="6" t="s">
        <v>1234</v>
      </c>
      <c r="D743" s="6" t="s">
        <v>1235</v>
      </c>
      <c r="E743" s="6" t="s">
        <v>12</v>
      </c>
      <c r="F743" s="6" t="s">
        <v>13</v>
      </c>
      <c r="G743" s="6" t="s">
        <v>469</v>
      </c>
      <c r="H743" s="8" t="s">
        <v>1538</v>
      </c>
      <c r="I743" s="9">
        <v>4029000.0</v>
      </c>
      <c r="J743" s="5" t="str">
        <f t="shared" ref="J743:K743" si="743">SUBSTITUTE(H743, ",", "")</f>
        <v>51</v>
      </c>
      <c r="K743" s="5" t="str">
        <f t="shared" si="743"/>
        <v>Rp4029000</v>
      </c>
      <c r="L743" s="5" t="str">
        <f t="shared" si="3"/>
        <v>4029000</v>
      </c>
    </row>
    <row r="744">
      <c r="A744" s="6" t="s">
        <v>1540</v>
      </c>
      <c r="B744" s="7" t="str">
        <f>HYPERLINK("https://shopee.co.id/Purivera-Double-Combo-Skin-Repair-Package-Tamanu-Bakuchiol-1-Ceramide-3-Sea-Buckthorn-i.43724442.9051724693", "https://shopee.co.id/Purivera-Double-Combo-Skin-Repair-Package-Tamanu-Bakuchiol-1-Ceramide-3-Sea-Buckthorn-i.43724442.9051724693")</f>
        <v>https://shopee.co.id/Purivera-Double-Combo-Skin-Repair-Package-Tamanu-Bakuchiol-1-Ceramide-3-Sea-Buckthorn-i.43724442.9051724693</v>
      </c>
      <c r="C744" s="6" t="s">
        <v>940</v>
      </c>
      <c r="D744" s="6" t="s">
        <v>429</v>
      </c>
      <c r="E744" s="6" t="s">
        <v>12</v>
      </c>
      <c r="F744" s="6" t="s">
        <v>13</v>
      </c>
      <c r="G744" s="6" t="s">
        <v>61</v>
      </c>
      <c r="H744" s="8" t="s">
        <v>1538</v>
      </c>
      <c r="I744" s="9">
        <v>6528000.0</v>
      </c>
      <c r="J744" s="5" t="str">
        <f t="shared" ref="J744:K744" si="744">SUBSTITUTE(H744, ",", "")</f>
        <v>51</v>
      </c>
      <c r="K744" s="5" t="str">
        <f t="shared" si="744"/>
        <v>Rp6528000</v>
      </c>
      <c r="L744" s="5" t="str">
        <f t="shared" si="3"/>
        <v>6528000</v>
      </c>
    </row>
    <row r="745">
      <c r="A745" s="6" t="s">
        <v>1541</v>
      </c>
      <c r="B745" s="7" t="str">
        <f>HYPERLINK("https://shopee.co.id/SOMEBYMI-Yuja-Niacin-Blemish-Care-SERUM-50ml-i.270965687.7838173195", "https://shopee.co.id/SOMEBYMI-Yuja-Niacin-Blemish-Care-SERUM-50ml-i.270965687.7838173195")</f>
        <v>https://shopee.co.id/SOMEBYMI-Yuja-Niacin-Blemish-Care-SERUM-50ml-i.270965687.7838173195</v>
      </c>
      <c r="C745" s="6" t="s">
        <v>213</v>
      </c>
      <c r="D745" s="6" t="s">
        <v>379</v>
      </c>
      <c r="E745" s="6" t="s">
        <v>12</v>
      </c>
      <c r="F745" s="6" t="s">
        <v>13</v>
      </c>
      <c r="G745" s="6" t="s">
        <v>380</v>
      </c>
      <c r="H745" s="8" t="s">
        <v>1538</v>
      </c>
      <c r="I745" s="9">
        <v>5.049E7</v>
      </c>
      <c r="J745" s="5" t="str">
        <f t="shared" ref="J745:K745" si="745">SUBSTITUTE(H745, ",", "")</f>
        <v>51</v>
      </c>
      <c r="K745" s="5" t="str">
        <f t="shared" si="745"/>
        <v>Rp50490000</v>
      </c>
      <c r="L745" s="5" t="str">
        <f t="shared" si="3"/>
        <v>50490000</v>
      </c>
    </row>
    <row r="746">
      <c r="A746" s="6" t="s">
        <v>1542</v>
      </c>
      <c r="B746" s="7" t="str">
        <f>HYPERLINK("https://shopee.co.id/SCARLETT-WHITENING-ACNE-Serum-15ml-i.270965687.4696902950", "https://shopee.co.id/SCARLETT-WHITENING-ACNE-Serum-15ml-i.270965687.4696902950")</f>
        <v>https://shopee.co.id/SCARLETT-WHITENING-ACNE-Serum-15ml-i.270965687.4696902950</v>
      </c>
      <c r="C746" s="6" t="s">
        <v>19</v>
      </c>
      <c r="D746" s="6" t="s">
        <v>379</v>
      </c>
      <c r="E746" s="6" t="s">
        <v>12</v>
      </c>
      <c r="F746" s="6" t="s">
        <v>13</v>
      </c>
      <c r="G746" s="6" t="s">
        <v>380</v>
      </c>
      <c r="H746" s="8" t="s">
        <v>1538</v>
      </c>
      <c r="I746" s="9">
        <v>8233000.0</v>
      </c>
      <c r="J746" s="5" t="str">
        <f t="shared" ref="J746:K746" si="746">SUBSTITUTE(H746, ",", "")</f>
        <v>51</v>
      </c>
      <c r="K746" s="5" t="str">
        <f t="shared" si="746"/>
        <v>Rp8233000</v>
      </c>
      <c r="L746" s="5" t="str">
        <f t="shared" si="3"/>
        <v>8233000</v>
      </c>
    </row>
    <row r="747">
      <c r="A747" s="6" t="s">
        <v>1543</v>
      </c>
      <c r="B747" s="7" t="str">
        <f>HYPERLINK("https://shopee.co.id/I-m-From-Mugwort-Essence-Size-160-ml-Edit-by-Sociolla-i.224957239.5361913802", "https://shopee.co.id/I-m-From-Mugwort-Essence-Size-160-ml-Edit-by-Sociolla-i.224957239.5361913802")</f>
        <v>https://shopee.co.id/I-m-From-Mugwort-Essence-Size-160-ml-Edit-by-Sociolla-i.224957239.5361913802</v>
      </c>
      <c r="C747" s="6" t="s">
        <v>1544</v>
      </c>
      <c r="D747" s="6" t="s">
        <v>492</v>
      </c>
      <c r="E747" s="6" t="s">
        <v>12</v>
      </c>
      <c r="F747" s="6" t="s">
        <v>13</v>
      </c>
      <c r="G747" s="6" t="s">
        <v>21</v>
      </c>
      <c r="H747" s="8" t="s">
        <v>1538</v>
      </c>
      <c r="I747" s="9">
        <v>1.05596E7</v>
      </c>
      <c r="J747" s="5" t="str">
        <f t="shared" ref="J747:K747" si="747">SUBSTITUTE(H747, ",", "")</f>
        <v>51</v>
      </c>
      <c r="K747" s="5" t="str">
        <f t="shared" si="747"/>
        <v>Rp10559600</v>
      </c>
      <c r="L747" s="5" t="str">
        <f t="shared" si="3"/>
        <v>10559600</v>
      </c>
    </row>
    <row r="748">
      <c r="A748" s="6" t="s">
        <v>1545</v>
      </c>
      <c r="B748" s="7" t="str">
        <f>HYPERLINK("https://shopee.co.id/Somethinc-Hyaluronic9-Advanced-B5-Serum-20ml-40ml-i.136011044.3642517531", "https://shopee.co.id/Somethinc-Hyaluronic9-Advanced-B5-Serum-20ml-40ml-i.136011044.3642517531")</f>
        <v>https://shopee.co.id/Somethinc-Hyaluronic9-Advanced-B5-Serum-20ml-40ml-i.136011044.3642517531</v>
      </c>
      <c r="C748" s="6" t="s">
        <v>45</v>
      </c>
      <c r="D748" s="6" t="s">
        <v>632</v>
      </c>
      <c r="E748" s="6" t="s">
        <v>12</v>
      </c>
      <c r="F748" s="6" t="s">
        <v>13</v>
      </c>
      <c r="G748" s="6" t="s">
        <v>21</v>
      </c>
      <c r="H748" s="8" t="s">
        <v>1538</v>
      </c>
      <c r="I748" s="9">
        <v>2541494.0</v>
      </c>
      <c r="J748" s="5" t="str">
        <f t="shared" ref="J748:K748" si="748">SUBSTITUTE(H748, ",", "")</f>
        <v>51</v>
      </c>
      <c r="K748" s="5" t="str">
        <f t="shared" si="748"/>
        <v>Rp2541494</v>
      </c>
      <c r="L748" s="5" t="str">
        <f t="shared" si="3"/>
        <v>2541494</v>
      </c>
    </row>
    <row r="749">
      <c r="A749" s="6" t="s">
        <v>1546</v>
      </c>
      <c r="B749" s="7" t="str">
        <f>HYPERLINK("https://shopee.co.id/The-Body-Shop-Vitamin-E-Overnight-Serum-In-Oil-28ml-i.28053737.1468075559", "https://shopee.co.id/The-Body-Shop-Vitamin-E-Overnight-Serum-In-Oil-28ml-i.28053737.1468075559")</f>
        <v>https://shopee.co.id/The-Body-Shop-Vitamin-E-Overnight-Serum-In-Oil-28ml-i.28053737.1468075559</v>
      </c>
      <c r="C749" s="6" t="s">
        <v>221</v>
      </c>
      <c r="D749" s="6" t="s">
        <v>222</v>
      </c>
      <c r="E749" s="6" t="s">
        <v>12</v>
      </c>
      <c r="F749" s="6" t="s">
        <v>13</v>
      </c>
      <c r="G749" s="6" t="s">
        <v>80</v>
      </c>
      <c r="H749" s="8" t="s">
        <v>1538</v>
      </c>
      <c r="I749" s="9">
        <v>6254500.0</v>
      </c>
      <c r="J749" s="5" t="str">
        <f t="shared" ref="J749:K749" si="749">SUBSTITUTE(H749, ",", "")</f>
        <v>51</v>
      </c>
      <c r="K749" s="5" t="str">
        <f t="shared" si="749"/>
        <v>Rp6254500</v>
      </c>
      <c r="L749" s="5" t="str">
        <f t="shared" si="3"/>
        <v>6254500</v>
      </c>
    </row>
    <row r="750">
      <c r="A750" s="6" t="s">
        <v>1547</v>
      </c>
      <c r="B750" s="7" t="str">
        <f>HYPERLINK("https://shopee.co.id/LUNICA-Bundle-Aqua-Blossom-Serum-Cream-i.298959895.9487564452", "https://shopee.co.id/LUNICA-Bundle-Aqua-Blossom-Serum-Cream-i.298959895.9487564452")</f>
        <v>https://shopee.co.id/LUNICA-Bundle-Aqua-Blossom-Serum-Cream-i.298959895.9487564452</v>
      </c>
      <c r="C750" s="6" t="s">
        <v>510</v>
      </c>
      <c r="D750" s="6" t="s">
        <v>511</v>
      </c>
      <c r="E750" s="6" t="s">
        <v>12</v>
      </c>
      <c r="F750" s="6" t="s">
        <v>13</v>
      </c>
      <c r="G750" s="6" t="s">
        <v>36</v>
      </c>
      <c r="H750" s="8" t="s">
        <v>1538</v>
      </c>
      <c r="I750" s="9">
        <v>3825000.0</v>
      </c>
      <c r="J750" s="5" t="str">
        <f t="shared" ref="J750:K750" si="750">SUBSTITUTE(H750, ",", "")</f>
        <v>51</v>
      </c>
      <c r="K750" s="5" t="str">
        <f t="shared" si="750"/>
        <v>Rp3825000</v>
      </c>
      <c r="L750" s="5" t="str">
        <f t="shared" si="3"/>
        <v>3825000</v>
      </c>
    </row>
    <row r="751">
      <c r="A751" s="6" t="s">
        <v>1548</v>
      </c>
      <c r="B751" s="7" t="str">
        <f>HYPERLINK("https://shopee.co.id/Bio-Essence-Bio-White-Advanced-Whitening-Serum-30-ml-Wajah-Cerah-i.63822287.1671468824", "https://shopee.co.id/Bio-Essence-Bio-White-Advanced-Whitening-Serum-30-ml-Wajah-Cerah-i.63822287.1671468824")</f>
        <v>https://shopee.co.id/Bio-Essence-Bio-White-Advanced-Whitening-Serum-30-ml-Wajah-Cerah-i.63822287.1671468824</v>
      </c>
      <c r="C751" s="6" t="s">
        <v>1254</v>
      </c>
      <c r="D751" s="6" t="s">
        <v>835</v>
      </c>
      <c r="E751" s="6" t="s">
        <v>12</v>
      </c>
      <c r="F751" s="6" t="s">
        <v>13</v>
      </c>
      <c r="G751" s="6" t="s">
        <v>61</v>
      </c>
      <c r="H751" s="8" t="s">
        <v>1549</v>
      </c>
      <c r="I751" s="9">
        <v>4142570.0</v>
      </c>
      <c r="J751" s="5" t="str">
        <f t="shared" ref="J751:K751" si="751">SUBSTITUTE(H751, ",", "")</f>
        <v>50</v>
      </c>
      <c r="K751" s="5" t="str">
        <f t="shared" si="751"/>
        <v>Rp4142570</v>
      </c>
      <c r="L751" s="5" t="str">
        <f t="shared" si="3"/>
        <v>4142570</v>
      </c>
    </row>
    <row r="752">
      <c r="A752" s="6" t="s">
        <v>1550</v>
      </c>
      <c r="B752" s="7" t="str">
        <f>HYPERLINK("https://shopee.co.id/Glowlabs-Probiome-Acne-Serum-i.336869851.9425948280", "https://shopee.co.id/Glowlabs-Probiome-Acne-Serum-i.336869851.9425948280")</f>
        <v>https://shopee.co.id/Glowlabs-Probiome-Acne-Serum-i.336869851.9425948280</v>
      </c>
      <c r="C752" s="6" t="s">
        <v>407</v>
      </c>
      <c r="D752" s="6" t="s">
        <v>408</v>
      </c>
      <c r="E752" s="6" t="s">
        <v>12</v>
      </c>
      <c r="F752" s="6" t="s">
        <v>13</v>
      </c>
      <c r="G752" s="6" t="s">
        <v>409</v>
      </c>
      <c r="H752" s="8" t="s">
        <v>1549</v>
      </c>
      <c r="I752" s="9">
        <v>2400000.0</v>
      </c>
      <c r="J752" s="5" t="str">
        <f t="shared" ref="J752:K752" si="752">SUBSTITUTE(H752, ",", "")</f>
        <v>50</v>
      </c>
      <c r="K752" s="5" t="str">
        <f t="shared" si="752"/>
        <v>Rp2400000</v>
      </c>
      <c r="L752" s="5" t="str">
        <f t="shared" si="3"/>
        <v>2400000</v>
      </c>
    </row>
    <row r="753">
      <c r="A753" s="6" t="s">
        <v>1551</v>
      </c>
      <c r="B753" s="7" t="str">
        <f>HYPERLINK("https://shopee.co.id/HAUM-ALPHA-MF-2-Alpha-Arbutin-30-ml-x-1-i.344731863.8136210682", "https://shopee.co.id/HAUM-ALPHA-MF-2-Alpha-Arbutin-30-ml-x-1-i.344731863.8136210682")</f>
        <v>https://shopee.co.id/HAUM-ALPHA-MF-2-Alpha-Arbutin-30-ml-x-1-i.344731863.8136210682</v>
      </c>
      <c r="C753" s="6" t="s">
        <v>1144</v>
      </c>
      <c r="D753" s="6" t="s">
        <v>1145</v>
      </c>
      <c r="E753" s="6" t="s">
        <v>12</v>
      </c>
      <c r="F753" s="6" t="s">
        <v>13</v>
      </c>
      <c r="G753" s="6" t="s">
        <v>98</v>
      </c>
      <c r="H753" s="8" t="s">
        <v>1549</v>
      </c>
      <c r="I753" s="9">
        <v>3371300.0</v>
      </c>
      <c r="J753" s="5" t="str">
        <f t="shared" ref="J753:K753" si="753">SUBSTITUTE(H753, ",", "")</f>
        <v>50</v>
      </c>
      <c r="K753" s="5" t="str">
        <f t="shared" si="753"/>
        <v>Rp3371300</v>
      </c>
      <c r="L753" s="5" t="str">
        <f t="shared" si="3"/>
        <v>3371300</v>
      </c>
    </row>
    <row r="754">
      <c r="A754" s="6" t="s">
        <v>1552</v>
      </c>
      <c r="B754" s="7" t="str">
        <f>HYPERLINK("https://shopee.co.id/J-GLOW-Skin-Refining-Serum-Fungsi-Untuk-Kulit-Berminyak-Beruntus-Atau-Berjerawat-15ml-i.165212611.2523410062", "https://shopee.co.id/J-GLOW-Skin-Refining-Serum-Fungsi-Untuk-Kulit-Berminyak-Beruntus-Atau-Berjerawat-15ml-i.165212611.2523410062")</f>
        <v>https://shopee.co.id/J-GLOW-Skin-Refining-Serum-Fungsi-Untuk-Kulit-Berminyak-Beruntus-Atau-Berjerawat-15ml-i.165212611.2523410062</v>
      </c>
      <c r="C754" s="6" t="s">
        <v>1553</v>
      </c>
      <c r="D754" s="6" t="s">
        <v>1554</v>
      </c>
      <c r="E754" s="6" t="s">
        <v>12</v>
      </c>
      <c r="F754" s="6" t="s">
        <v>13</v>
      </c>
      <c r="G754" s="6" t="s">
        <v>241</v>
      </c>
      <c r="H754" s="8" t="s">
        <v>1549</v>
      </c>
      <c r="I754" s="9">
        <v>5372000.0</v>
      </c>
      <c r="J754" s="5" t="str">
        <f t="shared" ref="J754:K754" si="754">SUBSTITUTE(H754, ",", "")</f>
        <v>50</v>
      </c>
      <c r="K754" s="5" t="str">
        <f t="shared" si="754"/>
        <v>Rp5372000</v>
      </c>
      <c r="L754" s="5" t="str">
        <f t="shared" si="3"/>
        <v>5372000</v>
      </c>
    </row>
    <row r="755">
      <c r="A755" s="6" t="s">
        <v>1555</v>
      </c>
      <c r="B755" s="7" t="str">
        <f>HYPERLINK("https://shopee.co.id/MSBB-Somethinc-AHA-BHA-PHA-Peeling-Solution-20-ml-i.288588702.3762569871", "https://shopee.co.id/MSBB-Somethinc-AHA-BHA-PHA-Peeling-Solution-20-ml-i.288588702.3762569871")</f>
        <v>https://shopee.co.id/MSBB-Somethinc-AHA-BHA-PHA-Peeling-Solution-20-ml-i.288588702.3762569871</v>
      </c>
      <c r="C755" s="6" t="s">
        <v>45</v>
      </c>
      <c r="D755" s="6" t="s">
        <v>79</v>
      </c>
      <c r="E755" s="6" t="s">
        <v>12</v>
      </c>
      <c r="F755" s="6" t="s">
        <v>13</v>
      </c>
      <c r="G755" s="6" t="s">
        <v>80</v>
      </c>
      <c r="H755" s="8" t="s">
        <v>1556</v>
      </c>
      <c r="I755" s="9">
        <v>9356300.0</v>
      </c>
      <c r="J755" s="5" t="str">
        <f t="shared" ref="J755:K755" si="755">SUBSTITUTE(H755, ",", "")</f>
        <v>49</v>
      </c>
      <c r="K755" s="5" t="str">
        <f t="shared" si="755"/>
        <v>Rp9356300</v>
      </c>
      <c r="L755" s="5" t="str">
        <f t="shared" si="3"/>
        <v>9356300</v>
      </c>
    </row>
    <row r="756">
      <c r="A756" s="6" t="s">
        <v>1557</v>
      </c>
      <c r="B756" s="7" t="str">
        <f>HYPERLINK("https://shopee.co.id/Olay-White-Radiance-Essence-7-ml-i.11487927.4261207408", "https://shopee.co.id/Olay-White-Radiance-Essence-7-ml-i.11487927.4261207408")</f>
        <v>https://shopee.co.id/Olay-White-Radiance-Essence-7-ml-i.11487927.4261207408</v>
      </c>
      <c r="C756" s="6" t="s">
        <v>317</v>
      </c>
      <c r="D756" s="6" t="s">
        <v>318</v>
      </c>
      <c r="E756" s="6" t="s">
        <v>12</v>
      </c>
      <c r="F756" s="6" t="s">
        <v>13</v>
      </c>
      <c r="G756" s="6" t="s">
        <v>296</v>
      </c>
      <c r="H756" s="8" t="s">
        <v>1556</v>
      </c>
      <c r="I756" s="9">
        <v>1.16522E7</v>
      </c>
      <c r="J756" s="5" t="str">
        <f t="shared" ref="J756:K756" si="756">SUBSTITUTE(H756, ",", "")</f>
        <v>49</v>
      </c>
      <c r="K756" s="5" t="str">
        <f t="shared" si="756"/>
        <v>Rp11652200</v>
      </c>
      <c r="L756" s="5" t="str">
        <f t="shared" si="3"/>
        <v>11652200</v>
      </c>
    </row>
    <row r="757">
      <c r="A757" s="6" t="s">
        <v>1558</v>
      </c>
      <c r="B757" s="7" t="str">
        <f>HYPERLINK("https://shopee.co.id/Ella-Skincare-Glow-Acne-Tea-Tree-Serum-i.95154428.6190452664", "https://shopee.co.id/Ella-Skincare-Glow-Acne-Tea-Tree-Serum-i.95154428.6190452664")</f>
        <v>https://shopee.co.id/Ella-Skincare-Glow-Acne-Tea-Tree-Serum-i.95154428.6190452664</v>
      </c>
      <c r="C757" s="6" t="s">
        <v>954</v>
      </c>
      <c r="D757" s="6" t="s">
        <v>598</v>
      </c>
      <c r="E757" s="6" t="s">
        <v>12</v>
      </c>
      <c r="F757" s="6" t="s">
        <v>13</v>
      </c>
      <c r="G757" s="6" t="s">
        <v>409</v>
      </c>
      <c r="H757" s="8" t="s">
        <v>1556</v>
      </c>
      <c r="I757" s="9">
        <v>6185500.0</v>
      </c>
      <c r="J757" s="5" t="str">
        <f t="shared" ref="J757:K757" si="757">SUBSTITUTE(H757, ",", "")</f>
        <v>49</v>
      </c>
      <c r="K757" s="5" t="str">
        <f t="shared" si="757"/>
        <v>Rp6185500</v>
      </c>
      <c r="L757" s="5" t="str">
        <f t="shared" si="3"/>
        <v>6185500</v>
      </c>
    </row>
    <row r="758">
      <c r="A758" s="6" t="s">
        <v>1559</v>
      </c>
      <c r="B758" s="7" t="str">
        <f>HYPERLINK("https://shopee.co.id/Dear-Me-Beauty-10-Lactic-Acid-AHA-Pineapple-Extract-Face-Serum-12ml-i.45495764.8848397088", "https://shopee.co.id/Dear-Me-Beauty-10-Lactic-Acid-AHA-Pineapple-Extract-Face-Serum-12ml-i.45495764.8848397088")</f>
        <v>https://shopee.co.id/Dear-Me-Beauty-10-Lactic-Acid-AHA-Pineapple-Extract-Face-Serum-12ml-i.45495764.8848397088</v>
      </c>
      <c r="C758" s="6" t="s">
        <v>70</v>
      </c>
      <c r="D758" s="6" t="s">
        <v>71</v>
      </c>
      <c r="E758" s="6" t="s">
        <v>12</v>
      </c>
      <c r="F758" s="6" t="s">
        <v>13</v>
      </c>
      <c r="G758" s="6" t="s">
        <v>61</v>
      </c>
      <c r="H758" s="8" t="s">
        <v>1556</v>
      </c>
      <c r="I758" s="9">
        <v>1.3181E7</v>
      </c>
      <c r="J758" s="5" t="str">
        <f t="shared" ref="J758:K758" si="758">SUBSTITUTE(H758, ",", "")</f>
        <v>49</v>
      </c>
      <c r="K758" s="5" t="str">
        <f t="shared" si="758"/>
        <v>Rp13181000</v>
      </c>
      <c r="L758" s="5" t="str">
        <f t="shared" si="3"/>
        <v>13181000</v>
      </c>
    </row>
    <row r="759">
      <c r="A759" s="6" t="s">
        <v>1560</v>
      </c>
      <c r="B759" s="7" t="str">
        <f>HYPERLINK("https://shopee.co.id/Implora-Face-Serum-20ml-Brightening-Acne-Serum-Midnight-Serum-Peeling-Serum-i.50948181.5596856568", "https://shopee.co.id/Implora-Face-Serum-20ml-Brightening-Acne-Serum-Midnight-Serum-Peeling-Serum-i.50948181.5596856568")</f>
        <v>https://shopee.co.id/Implora-Face-Serum-20ml-Brightening-Acne-Serum-Midnight-Serum-Peeling-Serum-i.50948181.5596856568</v>
      </c>
      <c r="C759" s="6" t="s">
        <v>113</v>
      </c>
      <c r="D759" s="6" t="s">
        <v>1129</v>
      </c>
      <c r="E759" s="6" t="s">
        <v>12</v>
      </c>
      <c r="F759" s="6" t="s">
        <v>13</v>
      </c>
      <c r="G759" s="6" t="s">
        <v>1130</v>
      </c>
      <c r="H759" s="8" t="s">
        <v>1556</v>
      </c>
      <c r="I759" s="9">
        <v>8272000.0</v>
      </c>
      <c r="J759" s="5" t="str">
        <f t="shared" ref="J759:K759" si="759">SUBSTITUTE(H759, ",", "")</f>
        <v>49</v>
      </c>
      <c r="K759" s="5" t="str">
        <f t="shared" si="759"/>
        <v>Rp8272000</v>
      </c>
      <c r="L759" s="5" t="str">
        <f t="shared" si="3"/>
        <v>8272000</v>
      </c>
    </row>
    <row r="760">
      <c r="A760" s="6" t="s">
        <v>1561</v>
      </c>
      <c r="B760" s="7" t="str">
        <f>HYPERLINK("https://shopee.co.id/Bio-Essence-Bio-Gold-Night-Cream-40-gr-Perawatan-Wajah-Anti-Aging-i.63822287.1671468813", "https://shopee.co.id/Bio-Essence-Bio-Gold-Night-Cream-40-gr-Perawatan-Wajah-Anti-Aging-i.63822287.1671468813")</f>
        <v>https://shopee.co.id/Bio-Essence-Bio-Gold-Night-Cream-40-gr-Perawatan-Wajah-Anti-Aging-i.63822287.1671468813</v>
      </c>
      <c r="C760" s="6" t="s">
        <v>834</v>
      </c>
      <c r="D760" s="6" t="s">
        <v>835</v>
      </c>
      <c r="E760" s="6" t="s">
        <v>12</v>
      </c>
      <c r="F760" s="6" t="s">
        <v>13</v>
      </c>
      <c r="G760" s="6" t="s">
        <v>61</v>
      </c>
      <c r="H760" s="8" t="s">
        <v>1556</v>
      </c>
      <c r="I760" s="9">
        <v>9751000.0</v>
      </c>
      <c r="J760" s="5" t="str">
        <f t="shared" ref="J760:K760" si="760">SUBSTITUTE(H760, ",", "")</f>
        <v>49</v>
      </c>
      <c r="K760" s="5" t="str">
        <f t="shared" si="760"/>
        <v>Rp9751000</v>
      </c>
      <c r="L760" s="5" t="str">
        <f t="shared" si="3"/>
        <v>9751000</v>
      </c>
    </row>
    <row r="761">
      <c r="A761" s="6" t="s">
        <v>1562</v>
      </c>
      <c r="B761" s="7" t="str">
        <f>HYPERLINK("https://shopee.co.id/Bio-Essence-Bio-Vlift-Face-Lifting-Cream-45gr-Wajah-Anti-Aging-i.63822287.1222617046", "https://shopee.co.id/Bio-Essence-Bio-Vlift-Face-Lifting-Cream-45gr-Wajah-Anti-Aging-i.63822287.1222617046")</f>
        <v>https://shopee.co.id/Bio-Essence-Bio-Vlift-Face-Lifting-Cream-45gr-Wajah-Anti-Aging-i.63822287.1222617046</v>
      </c>
      <c r="C761" s="6" t="s">
        <v>1254</v>
      </c>
      <c r="D761" s="6" t="s">
        <v>835</v>
      </c>
      <c r="E761" s="6" t="s">
        <v>12</v>
      </c>
      <c r="F761" s="6" t="s">
        <v>13</v>
      </c>
      <c r="G761" s="6" t="s">
        <v>61</v>
      </c>
      <c r="H761" s="8" t="s">
        <v>1556</v>
      </c>
      <c r="I761" s="9">
        <v>1.24466E7</v>
      </c>
      <c r="J761" s="5" t="str">
        <f t="shared" ref="J761:K761" si="761">SUBSTITUTE(H761, ",", "")</f>
        <v>49</v>
      </c>
      <c r="K761" s="5" t="str">
        <f t="shared" si="761"/>
        <v>Rp12446600</v>
      </c>
      <c r="L761" s="5" t="str">
        <f t="shared" si="3"/>
        <v>12446600</v>
      </c>
    </row>
    <row r="762">
      <c r="A762" s="6" t="s">
        <v>1563</v>
      </c>
      <c r="B762" s="7" t="str">
        <f>HYPERLINK("https://shopee.co.id/-innisfree-Forest-for-Men-Pore-Care-All-In-One-Essence-100ML-Serum-Wajah-Perawatan-Wajah-i.61504589.6628057935", "https://shopee.co.id/-innisfree-Forest-for-Men-Pore-Care-All-In-One-Essence-100ML-Serum-Wajah-Perawatan-Wajah-i.61504589.6628057935")</f>
        <v>https://shopee.co.id/-innisfree-Forest-for-Men-Pore-Care-All-In-One-Essence-100ML-Serum-Wajah-Perawatan-Wajah-i.61504589.6628057935</v>
      </c>
      <c r="C762" s="6" t="s">
        <v>294</v>
      </c>
      <c r="D762" s="6" t="s">
        <v>295</v>
      </c>
      <c r="E762" s="6" t="s">
        <v>12</v>
      </c>
      <c r="F762" s="6" t="s">
        <v>13</v>
      </c>
      <c r="G762" s="6" t="s">
        <v>296</v>
      </c>
      <c r="H762" s="8" t="s">
        <v>1556</v>
      </c>
      <c r="I762" s="9">
        <v>3675000.0</v>
      </c>
      <c r="J762" s="5" t="str">
        <f t="shared" ref="J762:K762" si="762">SUBSTITUTE(H762, ",", "")</f>
        <v>49</v>
      </c>
      <c r="K762" s="5" t="str">
        <f t="shared" si="762"/>
        <v>Rp3675000</v>
      </c>
      <c r="L762" s="5" t="str">
        <f t="shared" si="3"/>
        <v>3675000</v>
      </c>
    </row>
    <row r="763">
      <c r="A763" s="6" t="s">
        <v>1564</v>
      </c>
      <c r="B763" s="7" t="str">
        <f>HYPERLINK("https://shopee.co.id/Garnier-Bright-Complete-White-Speed-Day-Serum-Cream-UVA-UVB-Skin-Care-20ml-x-2-Pcs-i.62583853.7036373383", "https://shopee.co.id/Garnier-Bright-Complete-White-Speed-Day-Serum-Cream-UVA-UVB-Skin-Care-20ml-x-2-Pcs-i.62583853.7036373383")</f>
        <v>https://shopee.co.id/Garnier-Bright-Complete-White-Speed-Day-Serum-Cream-UVA-UVB-Skin-Care-20ml-x-2-Pcs-i.62583853.7036373383</v>
      </c>
      <c r="C763" s="6" t="s">
        <v>74</v>
      </c>
      <c r="D763" s="6" t="s">
        <v>75</v>
      </c>
      <c r="E763" s="6" t="s">
        <v>12</v>
      </c>
      <c r="F763" s="6" t="s">
        <v>13</v>
      </c>
      <c r="G763" s="6" t="s">
        <v>61</v>
      </c>
      <c r="H763" s="8" t="s">
        <v>1556</v>
      </c>
      <c r="I763" s="9">
        <v>3324800.0</v>
      </c>
      <c r="J763" s="5" t="str">
        <f t="shared" ref="J763:K763" si="763">SUBSTITUTE(H763, ",", "")</f>
        <v>49</v>
      </c>
      <c r="K763" s="5" t="str">
        <f t="shared" si="763"/>
        <v>Rp3324800</v>
      </c>
      <c r="L763" s="5" t="str">
        <f t="shared" si="3"/>
        <v>3324800</v>
      </c>
    </row>
    <row r="764">
      <c r="A764" s="6" t="s">
        <v>1565</v>
      </c>
      <c r="B764" s="7" t="str">
        <f>HYPERLINK("https://shopee.co.id/Aura-Bright-Glutathione-5Ml-i.127215672.8706171575", "https://shopee.co.id/Aura-Bright-Glutathione-5Ml-i.127215672.8706171575")</f>
        <v>https://shopee.co.id/Aura-Bright-Glutathione-5Ml-i.127215672.8706171575</v>
      </c>
      <c r="C764" s="6" t="s">
        <v>90</v>
      </c>
      <c r="D764" s="6" t="s">
        <v>91</v>
      </c>
      <c r="E764" s="6" t="s">
        <v>12</v>
      </c>
      <c r="F764" s="6" t="s">
        <v>13</v>
      </c>
      <c r="G764" s="6" t="s">
        <v>21</v>
      </c>
      <c r="H764" s="8" t="s">
        <v>1556</v>
      </c>
      <c r="I764" s="9">
        <v>4338000.0</v>
      </c>
      <c r="J764" s="5" t="str">
        <f t="shared" ref="J764:K764" si="764">SUBSTITUTE(H764, ",", "")</f>
        <v>49</v>
      </c>
      <c r="K764" s="5" t="str">
        <f t="shared" si="764"/>
        <v>Rp4338000</v>
      </c>
      <c r="L764" s="5" t="str">
        <f t="shared" si="3"/>
        <v>4338000</v>
      </c>
    </row>
    <row r="765">
      <c r="A765" s="6" t="s">
        <v>1566</v>
      </c>
      <c r="B765" s="7" t="str">
        <f>HYPERLINK("https://shopee.co.id/Sulwhasoo-First-Care-Activating-Serum-90ml-i.274949344.7079903093", "https://shopee.co.id/Sulwhasoo-First-Care-Activating-Serum-90ml-i.274949344.7079903093")</f>
        <v>https://shopee.co.id/Sulwhasoo-First-Care-Activating-Serum-90ml-i.274949344.7079903093</v>
      </c>
      <c r="C765" s="6" t="s">
        <v>282</v>
      </c>
      <c r="D765" s="6" t="s">
        <v>283</v>
      </c>
      <c r="E765" s="6" t="s">
        <v>12</v>
      </c>
      <c r="F765" s="6" t="s">
        <v>13</v>
      </c>
      <c r="G765" s="6" t="s">
        <v>61</v>
      </c>
      <c r="H765" s="8" t="s">
        <v>1556</v>
      </c>
      <c r="I765" s="9">
        <v>3665200.0</v>
      </c>
      <c r="J765" s="5" t="str">
        <f t="shared" ref="J765:K765" si="765">SUBSTITUTE(H765, ",", "")</f>
        <v>49</v>
      </c>
      <c r="K765" s="5" t="str">
        <f t="shared" si="765"/>
        <v>Rp3665200</v>
      </c>
      <c r="L765" s="5" t="str">
        <f t="shared" si="3"/>
        <v>3665200</v>
      </c>
    </row>
    <row r="766">
      <c r="A766" s="6" t="s">
        <v>1567</v>
      </c>
      <c r="B766" s="7" t="str">
        <f>HYPERLINK("https://shopee.co.id/Mineral-Botanica-Perfect-Purifying-Face-Serum-i.124549994.1889391403", "https://shopee.co.id/Mineral-Botanica-Perfect-Purifying-Face-Serum-i.124549994.1889391403")</f>
        <v>https://shopee.co.id/Mineral-Botanica-Perfect-Purifying-Face-Serum-i.124549994.1889391403</v>
      </c>
      <c r="C766" s="6" t="s">
        <v>807</v>
      </c>
      <c r="D766" s="6" t="s">
        <v>808</v>
      </c>
      <c r="E766" s="6" t="s">
        <v>12</v>
      </c>
      <c r="F766" s="6" t="s">
        <v>13</v>
      </c>
      <c r="G766" s="6" t="s">
        <v>61</v>
      </c>
      <c r="H766" s="8" t="s">
        <v>1568</v>
      </c>
      <c r="I766" s="9">
        <v>7383600.0</v>
      </c>
      <c r="J766" s="5" t="str">
        <f t="shared" ref="J766:K766" si="766">SUBSTITUTE(H766, ",", "")</f>
        <v>48</v>
      </c>
      <c r="K766" s="5" t="str">
        <f t="shared" si="766"/>
        <v>Rp7383600</v>
      </c>
      <c r="L766" s="5" t="str">
        <f t="shared" si="3"/>
        <v>7383600</v>
      </c>
    </row>
    <row r="767">
      <c r="A767" s="6" t="s">
        <v>1569</v>
      </c>
      <c r="B767" s="7" t="str">
        <f>HYPERLINK("https://shopee.co.id/AVOSKIN-Miraculous-Refining-Serum-30ml-i.68111.2833773785", "https://shopee.co.id/AVOSKIN-Miraculous-Refining-Serum-30ml-i.68111.2833773785")</f>
        <v>https://shopee.co.id/AVOSKIN-Miraculous-Refining-Serum-30ml-i.68111.2833773785</v>
      </c>
      <c r="C767" s="6" t="s">
        <v>83</v>
      </c>
      <c r="D767" s="6" t="s">
        <v>441</v>
      </c>
      <c r="E767" s="6" t="s">
        <v>12</v>
      </c>
      <c r="F767" s="6" t="s">
        <v>13</v>
      </c>
      <c r="G767" s="6" t="s">
        <v>130</v>
      </c>
      <c r="H767" s="8" t="s">
        <v>1568</v>
      </c>
      <c r="I767" s="9">
        <v>4204400.0</v>
      </c>
      <c r="J767" s="5" t="str">
        <f t="shared" ref="J767:K767" si="767">SUBSTITUTE(H767, ",", "")</f>
        <v>48</v>
      </c>
      <c r="K767" s="5" t="str">
        <f t="shared" si="767"/>
        <v>Rp4204400</v>
      </c>
      <c r="L767" s="5" t="str">
        <f t="shared" si="3"/>
        <v>4204400</v>
      </c>
    </row>
    <row r="768">
      <c r="A768" s="6" t="s">
        <v>1570</v>
      </c>
      <c r="B768" s="7" t="str">
        <f>HYPERLINK("https://shopee.co.id/NIVEA-Make-Up-Starter-White-Day-Serum-SPF-33-30-ml-i.39283823.664930310", "https://shopee.co.id/NIVEA-Make-Up-Starter-White-Day-Serum-SPF-33-30-ml-i.39283823.664930310")</f>
        <v>https://shopee.co.id/NIVEA-Make-Up-Starter-White-Day-Serum-SPF-33-30-ml-i.39283823.664930310</v>
      </c>
      <c r="C768" s="6" t="s">
        <v>1571</v>
      </c>
      <c r="D768" s="6" t="s">
        <v>1572</v>
      </c>
      <c r="E768" s="6" t="s">
        <v>12</v>
      </c>
      <c r="F768" s="6" t="s">
        <v>13</v>
      </c>
      <c r="G768" s="6" t="s">
        <v>296</v>
      </c>
      <c r="H768" s="8" t="s">
        <v>1568</v>
      </c>
      <c r="I768" s="9">
        <v>3119585.0</v>
      </c>
      <c r="J768" s="5" t="str">
        <f t="shared" ref="J768:K768" si="768">SUBSTITUTE(H768, ",", "")</f>
        <v>48</v>
      </c>
      <c r="K768" s="5" t="str">
        <f t="shared" si="768"/>
        <v>Rp3119585</v>
      </c>
      <c r="L768" s="5" t="str">
        <f t="shared" si="3"/>
        <v>3119585</v>
      </c>
    </row>
    <row r="769">
      <c r="A769" s="6" t="s">
        <v>1573</v>
      </c>
      <c r="B769" s="7" t="str">
        <f>HYPERLINK("https://shopee.co.id/Bio-Essence-BioWhite-Advanced-Whitening-Night-Cream-45gr-Wajah-Cerah-i.63822287.1671471974", "https://shopee.co.id/Bio-Essence-BioWhite-Advanced-Whitening-Night-Cream-45gr-Wajah-Cerah-i.63822287.1671471974")</f>
        <v>https://shopee.co.id/Bio-Essence-BioWhite-Advanced-Whitening-Night-Cream-45gr-Wajah-Cerah-i.63822287.1671471974</v>
      </c>
      <c r="C769" s="6" t="s">
        <v>1254</v>
      </c>
      <c r="D769" s="6" t="s">
        <v>835</v>
      </c>
      <c r="E769" s="6" t="s">
        <v>12</v>
      </c>
      <c r="F769" s="6" t="s">
        <v>13</v>
      </c>
      <c r="G769" s="6" t="s">
        <v>61</v>
      </c>
      <c r="H769" s="8" t="s">
        <v>1568</v>
      </c>
      <c r="I769" s="9">
        <v>7270862.0</v>
      </c>
      <c r="J769" s="5" t="str">
        <f t="shared" ref="J769:K769" si="769">SUBSTITUTE(H769, ",", "")</f>
        <v>48</v>
      </c>
      <c r="K769" s="5" t="str">
        <f t="shared" si="769"/>
        <v>Rp7270862</v>
      </c>
      <c r="L769" s="5" t="str">
        <f t="shared" si="3"/>
        <v>7270862</v>
      </c>
    </row>
    <row r="770">
      <c r="A770" s="6" t="s">
        <v>1574</v>
      </c>
      <c r="B770" s="7" t="str">
        <f>HYPERLINK("https://shopee.co.id/Safi-Age-Defy-Gold-Water-Essence-30-ml-Twinpack-Special-i.63823668.9438793578", "https://shopee.co.id/Safi-Age-Defy-Gold-Water-Essence-30-ml-Twinpack-Special-i.63823668.9438793578")</f>
        <v>https://shopee.co.id/Safi-Age-Defy-Gold-Water-Essence-30-ml-Twinpack-Special-i.63823668.9438793578</v>
      </c>
      <c r="C770" s="6" t="s">
        <v>278</v>
      </c>
      <c r="D770" s="6" t="s">
        <v>279</v>
      </c>
      <c r="E770" s="6" t="s">
        <v>12</v>
      </c>
      <c r="F770" s="6" t="s">
        <v>13</v>
      </c>
      <c r="G770" s="6" t="s">
        <v>61</v>
      </c>
      <c r="H770" s="8" t="s">
        <v>1568</v>
      </c>
      <c r="I770" s="9">
        <v>1573208.0</v>
      </c>
      <c r="J770" s="5" t="str">
        <f t="shared" ref="J770:K770" si="770">SUBSTITUTE(H770, ",", "")</f>
        <v>48</v>
      </c>
      <c r="K770" s="5" t="str">
        <f t="shared" si="770"/>
        <v>Rp1573208</v>
      </c>
      <c r="L770" s="5" t="str">
        <f t="shared" si="3"/>
        <v>1573208</v>
      </c>
    </row>
    <row r="771">
      <c r="A771" s="6" t="s">
        <v>1575</v>
      </c>
      <c r="B771" s="7" t="str">
        <f>HYPERLINK("https://shopee.co.id/Pixy-White-Aqua-Hydra-Moist-Essence-100-ML-PIXY-White-Aqua-Concentrated-Brightening-Serum-17-ML-i.168693892.7056369743", "https://shopee.co.id/Pixy-White-Aqua-Hydra-Moist-Essence-100-ML-PIXY-White-Aqua-Concentrated-Brightening-Serum-17-ML-i.168693892.7056369743")</f>
        <v>https://shopee.co.id/Pixy-White-Aqua-Hydra-Moist-Essence-100-ML-PIXY-White-Aqua-Concentrated-Brightening-Serum-17-ML-i.168693892.7056369743</v>
      </c>
      <c r="C771" s="6" t="s">
        <v>1398</v>
      </c>
      <c r="D771" s="6" t="s">
        <v>1399</v>
      </c>
      <c r="E771" s="6" t="s">
        <v>12</v>
      </c>
      <c r="F771" s="6" t="s">
        <v>13</v>
      </c>
      <c r="G771" s="6" t="s">
        <v>61</v>
      </c>
      <c r="H771" s="8" t="s">
        <v>1568</v>
      </c>
      <c r="I771" s="9">
        <v>714000.0</v>
      </c>
      <c r="J771" s="5" t="str">
        <f t="shared" ref="J771:K771" si="771">SUBSTITUTE(H771, ",", "")</f>
        <v>48</v>
      </c>
      <c r="K771" s="5" t="str">
        <f t="shared" si="771"/>
        <v>Rp714000</v>
      </c>
      <c r="L771" s="5" t="str">
        <f t="shared" si="3"/>
        <v>714000</v>
      </c>
    </row>
    <row r="772">
      <c r="A772" s="6" t="s">
        <v>1576</v>
      </c>
      <c r="B772" s="7" t="str">
        <f>HYPERLINK("https://shopee.co.id/Haum-Lcid-With-Salicylic-Acid-2-28Ml-i.214358077.8000683764", "https://shopee.co.id/Haum-Lcid-With-Salicylic-Acid-2-28Ml-i.214358077.8000683764")</f>
        <v>https://shopee.co.id/Haum-Lcid-With-Salicylic-Acid-2-28Ml-i.214358077.8000683764</v>
      </c>
      <c r="C772" s="6" t="s">
        <v>1144</v>
      </c>
      <c r="D772" s="6" t="s">
        <v>1259</v>
      </c>
      <c r="E772" s="6" t="s">
        <v>12</v>
      </c>
      <c r="F772" s="6" t="s">
        <v>13</v>
      </c>
      <c r="G772" s="6" t="s">
        <v>469</v>
      </c>
      <c r="H772" s="8" t="s">
        <v>1568</v>
      </c>
      <c r="I772" s="9">
        <v>8512000.0</v>
      </c>
      <c r="J772" s="5" t="str">
        <f t="shared" ref="J772:K772" si="772">SUBSTITUTE(H772, ",", "")</f>
        <v>48</v>
      </c>
      <c r="K772" s="5" t="str">
        <f t="shared" si="772"/>
        <v>Rp8512000</v>
      </c>
      <c r="L772" s="5" t="str">
        <f t="shared" si="3"/>
        <v>8512000</v>
      </c>
    </row>
    <row r="773">
      <c r="A773" s="6" t="s">
        <v>1577</v>
      </c>
      <c r="B773" s="7" t="str">
        <f>HYPERLINK("https://shopee.co.id/Hyaluronic-Acid-Serum-Nadfaskin--i.3087844.3516077911", "https://shopee.co.id/Hyaluronic-Acid-Serum-Nadfaskin--i.3087844.3516077911")</f>
        <v>https://shopee.co.id/Hyaluronic-Acid-Serum-Nadfaskin--i.3087844.3516077911</v>
      </c>
      <c r="C773" s="6" t="s">
        <v>1157</v>
      </c>
      <c r="D773" s="6" t="s">
        <v>1158</v>
      </c>
      <c r="E773" s="6" t="s">
        <v>12</v>
      </c>
      <c r="F773" s="6" t="s">
        <v>13</v>
      </c>
      <c r="G773" s="6" t="s">
        <v>241</v>
      </c>
      <c r="H773" s="8" t="s">
        <v>1568</v>
      </c>
      <c r="I773" s="9">
        <v>2323900.0</v>
      </c>
      <c r="J773" s="5" t="str">
        <f t="shared" ref="J773:K773" si="773">SUBSTITUTE(H773, ",", "")</f>
        <v>48</v>
      </c>
      <c r="K773" s="5" t="str">
        <f t="shared" si="773"/>
        <v>Rp2323900</v>
      </c>
      <c r="L773" s="5" t="str">
        <f t="shared" si="3"/>
        <v>2323900</v>
      </c>
    </row>
    <row r="774">
      <c r="A774" s="6" t="s">
        <v>1578</v>
      </c>
      <c r="B774" s="7" t="str">
        <f>HYPERLINK("https://shopee.co.id/Special-Divine-Pearl-Serum-Size-33-ml-Edit-by-Sociolla-i.224957239.7839043333", "https://shopee.co.id/Special-Divine-Pearl-Serum-Size-33-ml-Edit-by-Sociolla-i.224957239.7839043333")</f>
        <v>https://shopee.co.id/Special-Divine-Pearl-Serum-Size-33-ml-Edit-by-Sociolla-i.224957239.7839043333</v>
      </c>
      <c r="C774" s="6" t="s">
        <v>1579</v>
      </c>
      <c r="D774" s="6" t="s">
        <v>492</v>
      </c>
      <c r="E774" s="6" t="s">
        <v>12</v>
      </c>
      <c r="F774" s="6" t="s">
        <v>13</v>
      </c>
      <c r="G774" s="6" t="s">
        <v>21</v>
      </c>
      <c r="H774" s="8" t="s">
        <v>1568</v>
      </c>
      <c r="I774" s="9">
        <v>3600000.0</v>
      </c>
      <c r="J774" s="5" t="str">
        <f t="shared" ref="J774:K774" si="774">SUBSTITUTE(H774, ",", "")</f>
        <v>48</v>
      </c>
      <c r="K774" s="5" t="str">
        <f t="shared" si="774"/>
        <v>Rp3600000</v>
      </c>
      <c r="L774" s="5" t="str">
        <f t="shared" si="3"/>
        <v>3600000</v>
      </c>
    </row>
    <row r="775">
      <c r="A775" s="6" t="s">
        <v>1580</v>
      </c>
      <c r="B775" s="7" t="str">
        <f>HYPERLINK("https://shopee.co.id/Babor-Active-Purifier-7X2ML-i.131188140.5538085106", "https://shopee.co.id/Babor-Active-Purifier-7X2ML-i.131188140.5538085106")</f>
        <v>https://shopee.co.id/Babor-Active-Purifier-7X2ML-i.131188140.5538085106</v>
      </c>
      <c r="C775" s="6" t="s">
        <v>1433</v>
      </c>
      <c r="D775" s="6" t="s">
        <v>1434</v>
      </c>
      <c r="E775" s="6" t="s">
        <v>12</v>
      </c>
      <c r="F775" s="6" t="s">
        <v>13</v>
      </c>
      <c r="G775" s="6" t="s">
        <v>61</v>
      </c>
      <c r="H775" s="8" t="s">
        <v>1581</v>
      </c>
      <c r="I775" s="9">
        <v>1.4355E7</v>
      </c>
      <c r="J775" s="5" t="str">
        <f t="shared" ref="J775:K775" si="775">SUBSTITUTE(H775, ",", "")</f>
        <v>47</v>
      </c>
      <c r="K775" s="5" t="str">
        <f t="shared" si="775"/>
        <v>Rp14355000</v>
      </c>
      <c r="L775" s="5" t="str">
        <f t="shared" si="3"/>
        <v>14355000</v>
      </c>
    </row>
    <row r="776">
      <c r="A776" s="6" t="s">
        <v>1582</v>
      </c>
      <c r="B776" s="7" t="str">
        <f>HYPERLINK("https://shopee.co.id/-SPECIAL-SET-Nacific-Lip-Tint-Fresh-Herb-Origin-Serum-i.238379974.8073243964", "https://shopee.co.id/-SPECIAL-SET-Nacific-Lip-Tint-Fresh-Herb-Origin-Serum-i.238379974.8073243964")</f>
        <v>https://shopee.co.id/-SPECIAL-SET-Nacific-Lip-Tint-Fresh-Herb-Origin-Serum-i.238379974.8073243964</v>
      </c>
      <c r="C776" s="6" t="s">
        <v>344</v>
      </c>
      <c r="D776" s="6" t="s">
        <v>345</v>
      </c>
      <c r="E776" s="6" t="s">
        <v>12</v>
      </c>
      <c r="F776" s="6" t="s">
        <v>13</v>
      </c>
      <c r="G776" s="6" t="s">
        <v>130</v>
      </c>
      <c r="H776" s="8" t="s">
        <v>1581</v>
      </c>
      <c r="I776" s="9">
        <v>1.250865E7</v>
      </c>
      <c r="J776" s="5" t="str">
        <f t="shared" ref="J776:K776" si="776">SUBSTITUTE(H776, ",", "")</f>
        <v>47</v>
      </c>
      <c r="K776" s="5" t="str">
        <f t="shared" si="776"/>
        <v>Rp12508650</v>
      </c>
      <c r="L776" s="5" t="str">
        <f t="shared" si="3"/>
        <v>12508650</v>
      </c>
    </row>
    <row r="777">
      <c r="A777" s="6" t="s">
        <v>1583</v>
      </c>
      <c r="B777" s="7" t="str">
        <f>HYPERLINK("https://shopee.co.id/-New-Packaging-Skinua-Pure-O2-Mask-Serum-i.296259990.7046457080", "https://shopee.co.id/-New-Packaging-Skinua-Pure-O2-Mask-Serum-i.296259990.7046457080")</f>
        <v>https://shopee.co.id/-New-Packaging-Skinua-Pure-O2-Mask-Serum-i.296259990.7046457080</v>
      </c>
      <c r="C777" s="6" t="s">
        <v>1584</v>
      </c>
      <c r="D777" s="6" t="s">
        <v>1585</v>
      </c>
      <c r="E777" s="6" t="s">
        <v>12</v>
      </c>
      <c r="F777" s="6" t="s">
        <v>13</v>
      </c>
      <c r="G777" s="6" t="s">
        <v>98</v>
      </c>
      <c r="H777" s="8" t="s">
        <v>1581</v>
      </c>
      <c r="I777" s="9">
        <v>2771800.0</v>
      </c>
      <c r="J777" s="5" t="str">
        <f t="shared" ref="J777:K777" si="777">SUBSTITUTE(H777, ",", "")</f>
        <v>47</v>
      </c>
      <c r="K777" s="5" t="str">
        <f t="shared" si="777"/>
        <v>Rp2771800</v>
      </c>
      <c r="L777" s="5" t="str">
        <f t="shared" si="3"/>
        <v>2771800</v>
      </c>
    </row>
    <row r="778">
      <c r="A778" s="6" t="s">
        <v>1586</v>
      </c>
      <c r="B778" s="7" t="str">
        <f>HYPERLINK("https://shopee.co.id/Sulwhasoo-Bloomstay-Vitalizing-Serum-50ml-First-Care-Activating-Serum-30ml-Limited-Set--i.274949344.4078795228", "https://shopee.co.id/Sulwhasoo-Bloomstay-Vitalizing-Serum-50ml-First-Care-Activating-Serum-30ml-Limited-Set--i.274949344.4078795228")</f>
        <v>https://shopee.co.id/Sulwhasoo-Bloomstay-Vitalizing-Serum-50ml-First-Care-Activating-Serum-30ml-Limited-Set--i.274949344.4078795228</v>
      </c>
      <c r="C778" s="6" t="s">
        <v>282</v>
      </c>
      <c r="D778" s="6" t="s">
        <v>283</v>
      </c>
      <c r="E778" s="6" t="s">
        <v>12</v>
      </c>
      <c r="F778" s="6" t="s">
        <v>13</v>
      </c>
      <c r="G778" s="6" t="s">
        <v>61</v>
      </c>
      <c r="H778" s="8" t="s">
        <v>1581</v>
      </c>
      <c r="I778" s="9">
        <v>4989600.0</v>
      </c>
      <c r="J778" s="5" t="str">
        <f t="shared" ref="J778:K778" si="778">SUBSTITUTE(H778, ",", "")</f>
        <v>47</v>
      </c>
      <c r="K778" s="5" t="str">
        <f t="shared" si="778"/>
        <v>Rp4989600</v>
      </c>
      <c r="L778" s="5" t="str">
        <f t="shared" si="3"/>
        <v>4989600</v>
      </c>
    </row>
    <row r="779">
      <c r="A779" s="6" t="s">
        <v>1587</v>
      </c>
      <c r="B779" s="7" t="str">
        <f>HYPERLINK("https://shopee.co.id/The-Body-Shop-Roots-Of-Strength-Firming-Serum-30ml-i.28053737.966363290", "https://shopee.co.id/The-Body-Shop-Roots-Of-Strength-Firming-Serum-30ml-i.28053737.966363290")</f>
        <v>https://shopee.co.id/The-Body-Shop-Roots-Of-Strength-Firming-Serum-30ml-i.28053737.966363290</v>
      </c>
      <c r="C779" s="6" t="s">
        <v>221</v>
      </c>
      <c r="D779" s="6" t="s">
        <v>222</v>
      </c>
      <c r="E779" s="6" t="s">
        <v>12</v>
      </c>
      <c r="F779" s="6" t="s">
        <v>13</v>
      </c>
      <c r="G779" s="6" t="s">
        <v>80</v>
      </c>
      <c r="H779" s="8" t="s">
        <v>1581</v>
      </c>
      <c r="I779" s="9">
        <v>1.034E7</v>
      </c>
      <c r="J779" s="5" t="str">
        <f t="shared" ref="J779:K779" si="779">SUBSTITUTE(H779, ",", "")</f>
        <v>47</v>
      </c>
      <c r="K779" s="5" t="str">
        <f t="shared" si="779"/>
        <v>Rp10340000</v>
      </c>
      <c r="L779" s="5" t="str">
        <f t="shared" si="3"/>
        <v>10340000</v>
      </c>
    </row>
    <row r="780">
      <c r="A780" s="6" t="s">
        <v>1588</v>
      </c>
      <c r="B780" s="7" t="str">
        <f>HYPERLINK("https://shopee.co.id/Glowlabs-Gentle-Glow-Essence-AHA-BHA-PHA-Centella-Asiatica-Gentle-Exfoliator--i.336869851.6374240556", "https://shopee.co.id/Glowlabs-Gentle-Glow-Essence-AHA-BHA-PHA-Centella-Asiatica-Gentle-Exfoliator--i.336869851.6374240556")</f>
        <v>https://shopee.co.id/Glowlabs-Gentle-Glow-Essence-AHA-BHA-PHA-Centella-Asiatica-Gentle-Exfoliator--i.336869851.6374240556</v>
      </c>
      <c r="C780" s="6" t="s">
        <v>407</v>
      </c>
      <c r="D780" s="6" t="s">
        <v>408</v>
      </c>
      <c r="E780" s="6" t="s">
        <v>12</v>
      </c>
      <c r="F780" s="6" t="s">
        <v>13</v>
      </c>
      <c r="G780" s="6" t="s">
        <v>409</v>
      </c>
      <c r="H780" s="8" t="s">
        <v>1581</v>
      </c>
      <c r="I780" s="9">
        <v>7050000.0</v>
      </c>
      <c r="J780" s="5" t="str">
        <f t="shared" ref="J780:K780" si="780">SUBSTITUTE(H780, ",", "")</f>
        <v>47</v>
      </c>
      <c r="K780" s="5" t="str">
        <f t="shared" si="780"/>
        <v>Rp7050000</v>
      </c>
      <c r="L780" s="5" t="str">
        <f t="shared" si="3"/>
        <v>7050000</v>
      </c>
    </row>
    <row r="781">
      <c r="A781" s="6" t="s">
        <v>1589</v>
      </c>
      <c r="B781" s="7" t="str">
        <f>HYPERLINK("https://shopee.co.id/Haum-Aloecid-Niacinamide-10-50-Gr-X-1-i.344731863.4065375450", "https://shopee.co.id/Haum-Aloecid-Niacinamide-10-50-Gr-X-1-i.344731863.4065375450")</f>
        <v>https://shopee.co.id/Haum-Aloecid-Niacinamide-10-50-Gr-X-1-i.344731863.4065375450</v>
      </c>
      <c r="C781" s="6" t="s">
        <v>1144</v>
      </c>
      <c r="D781" s="6" t="s">
        <v>1145</v>
      </c>
      <c r="E781" s="6" t="s">
        <v>12</v>
      </c>
      <c r="F781" s="6" t="s">
        <v>13</v>
      </c>
      <c r="G781" s="6" t="s">
        <v>98</v>
      </c>
      <c r="H781" s="8" t="s">
        <v>1581</v>
      </c>
      <c r="I781" s="9">
        <v>7635000.0</v>
      </c>
      <c r="J781" s="5" t="str">
        <f t="shared" ref="J781:K781" si="781">SUBSTITUTE(H781, ",", "")</f>
        <v>47</v>
      </c>
      <c r="K781" s="5" t="str">
        <f t="shared" si="781"/>
        <v>Rp7635000</v>
      </c>
      <c r="L781" s="5" t="str">
        <f t="shared" si="3"/>
        <v>7635000</v>
      </c>
    </row>
    <row r="782">
      <c r="A782" s="6" t="s">
        <v>1590</v>
      </c>
      <c r="B782" s="7" t="str">
        <f>HYPERLINK("https://shopee.co.id/Sk-Ii-Genoptics-Spot-Essence-i.339725786.9950495345", "https://shopee.co.id/Sk-Ii-Genoptics-Spot-Essence-i.339725786.9950495345")</f>
        <v>https://shopee.co.id/Sk-Ii-Genoptics-Spot-Essence-i.339725786.9950495345</v>
      </c>
      <c r="C782" s="6" t="s">
        <v>1372</v>
      </c>
      <c r="D782" s="6" t="s">
        <v>1373</v>
      </c>
      <c r="E782" s="6" t="s">
        <v>12</v>
      </c>
      <c r="F782" s="6" t="s">
        <v>13</v>
      </c>
      <c r="G782" s="6" t="s">
        <v>98</v>
      </c>
      <c r="H782" s="8" t="s">
        <v>1581</v>
      </c>
      <c r="I782" s="9">
        <v>1.64265E7</v>
      </c>
      <c r="J782" s="5" t="str">
        <f t="shared" ref="J782:K782" si="782">SUBSTITUTE(H782, ",", "")</f>
        <v>47</v>
      </c>
      <c r="K782" s="5" t="str">
        <f t="shared" si="782"/>
        <v>Rp16426500</v>
      </c>
      <c r="L782" s="5" t="str">
        <f t="shared" si="3"/>
        <v>16426500</v>
      </c>
    </row>
    <row r="783">
      <c r="A783" s="6" t="s">
        <v>1591</v>
      </c>
      <c r="B783" s="7" t="str">
        <f>HYPERLINK("https://shopee.co.id/AVOSKIN-YOUR-SKIN-BAE-SERIES-MARINE-COLLAGEN-10-GINSENG-ROOT-SERUM-30ML-i.50972887.7572705245", "https://shopee.co.id/AVOSKIN-YOUR-SKIN-BAE-SERIES-MARINE-COLLAGEN-10-GINSENG-ROOT-SERUM-30ML-i.50972887.7572705245")</f>
        <v>https://shopee.co.id/AVOSKIN-YOUR-SKIN-BAE-SERIES-MARINE-COLLAGEN-10-GINSENG-ROOT-SERUM-30ML-i.50972887.7572705245</v>
      </c>
      <c r="C783" s="6" t="s">
        <v>83</v>
      </c>
      <c r="D783" s="6" t="s">
        <v>552</v>
      </c>
      <c r="E783" s="6" t="s">
        <v>12</v>
      </c>
      <c r="F783" s="6" t="s">
        <v>13</v>
      </c>
      <c r="G783" s="6" t="s">
        <v>61</v>
      </c>
      <c r="H783" s="8" t="s">
        <v>1581</v>
      </c>
      <c r="I783" s="9">
        <v>5428500.0</v>
      </c>
      <c r="J783" s="5" t="str">
        <f t="shared" ref="J783:K783" si="783">SUBSTITUTE(H783, ",", "")</f>
        <v>47</v>
      </c>
      <c r="K783" s="5" t="str">
        <f t="shared" si="783"/>
        <v>Rp5428500</v>
      </c>
      <c r="L783" s="5" t="str">
        <f t="shared" si="3"/>
        <v>5428500</v>
      </c>
    </row>
    <row r="784">
      <c r="A784" s="6" t="s">
        <v>1592</v>
      </c>
      <c r="B784" s="7" t="str">
        <f>HYPERLINK("https://shopee.co.id/Bioderma-Hydrabio-Essence-Lotion-200ml-Moisturizing-and-Radiance-Booster-untuk-Kulit-Dehidrasi-i.134089202.2076451588", "https://shopee.co.id/Bioderma-Hydrabio-Essence-Lotion-200ml-Moisturizing-and-Radiance-Booster-untuk-Kulit-Dehidrasi-i.134089202.2076451588")</f>
        <v>https://shopee.co.id/Bioderma-Hydrabio-Essence-Lotion-200ml-Moisturizing-and-Radiance-Booster-untuk-Kulit-Dehidrasi-i.134089202.2076451588</v>
      </c>
      <c r="C784" s="6" t="s">
        <v>1387</v>
      </c>
      <c r="D784" s="6" t="s">
        <v>1388</v>
      </c>
      <c r="E784" s="6" t="s">
        <v>12</v>
      </c>
      <c r="F784" s="6" t="s">
        <v>13</v>
      </c>
      <c r="G784" s="6" t="s">
        <v>130</v>
      </c>
      <c r="H784" s="8" t="s">
        <v>1581</v>
      </c>
      <c r="I784" s="9">
        <v>4183000.0</v>
      </c>
      <c r="J784" s="5" t="str">
        <f t="shared" ref="J784:K784" si="784">SUBSTITUTE(H784, ",", "")</f>
        <v>47</v>
      </c>
      <c r="K784" s="5" t="str">
        <f t="shared" si="784"/>
        <v>Rp4183000</v>
      </c>
      <c r="L784" s="5" t="str">
        <f t="shared" si="3"/>
        <v>4183000</v>
      </c>
    </row>
    <row r="785">
      <c r="A785" s="6" t="s">
        <v>1593</v>
      </c>
      <c r="B785" s="7" t="str">
        <f>HYPERLINK("https://shopee.co.id/Bio-Essence-Bio-Renew-Foamy-Cleanser-100-gr-Foam-Cleanser-i.63822287.1222603782", "https://shopee.co.id/Bio-Essence-Bio-Renew-Foamy-Cleanser-100-gr-Foam-Cleanser-i.63822287.1222603782")</f>
        <v>https://shopee.co.id/Bio-Essence-Bio-Renew-Foamy-Cleanser-100-gr-Foam-Cleanser-i.63822287.1222603782</v>
      </c>
      <c r="C785" s="6" t="s">
        <v>1254</v>
      </c>
      <c r="D785" s="6" t="s">
        <v>835</v>
      </c>
      <c r="E785" s="6" t="s">
        <v>12</v>
      </c>
      <c r="F785" s="6" t="s">
        <v>13</v>
      </c>
      <c r="G785" s="6" t="s">
        <v>61</v>
      </c>
      <c r="H785" s="8" t="s">
        <v>1581</v>
      </c>
      <c r="I785" s="9">
        <v>5264000.0</v>
      </c>
      <c r="J785" s="5" t="str">
        <f t="shared" ref="J785:K785" si="785">SUBSTITUTE(H785, ",", "")</f>
        <v>47</v>
      </c>
      <c r="K785" s="5" t="str">
        <f t="shared" si="785"/>
        <v>Rp5264000</v>
      </c>
      <c r="L785" s="5" t="str">
        <f t="shared" si="3"/>
        <v>5264000</v>
      </c>
    </row>
    <row r="786">
      <c r="A786" s="6" t="s">
        <v>1594</v>
      </c>
      <c r="B786" s="7" t="str">
        <f>HYPERLINK("https://shopee.co.id/Glowmy-Glass-Skin-Pearlets-Serum-20ml--i.324394758.6586649320", "https://shopee.co.id/Glowmy-Glass-Skin-Pearlets-Serum-20ml--i.324394758.6586649320")</f>
        <v>https://shopee.co.id/Glowmy-Glass-Skin-Pearlets-Serum-20ml--i.324394758.6586649320</v>
      </c>
      <c r="C786" s="6" t="s">
        <v>1595</v>
      </c>
      <c r="D786" s="6" t="s">
        <v>1596</v>
      </c>
      <c r="E786" s="6" t="s">
        <v>12</v>
      </c>
      <c r="F786" s="6" t="s">
        <v>13</v>
      </c>
      <c r="G786" s="6" t="s">
        <v>21</v>
      </c>
      <c r="H786" s="8" t="s">
        <v>1581</v>
      </c>
      <c r="I786" s="9">
        <v>9353000.0</v>
      </c>
      <c r="J786" s="5" t="str">
        <f t="shared" ref="J786:K786" si="786">SUBSTITUTE(H786, ",", "")</f>
        <v>47</v>
      </c>
      <c r="K786" s="5" t="str">
        <f t="shared" si="786"/>
        <v>Rp9353000</v>
      </c>
      <c r="L786" s="5" t="str">
        <f t="shared" si="3"/>
        <v>9353000</v>
      </c>
    </row>
    <row r="787">
      <c r="A787" s="6" t="s">
        <v>1597</v>
      </c>
      <c r="B787" s="7" t="str">
        <f>HYPERLINK("https://shopee.co.id/Bio-Essence-Bio-Gold-Day-Cream-SPF24-40gr-Perawatan-Wajah-Anti-Aging-i.63822287.1671468792", "https://shopee.co.id/Bio-Essence-Bio-Gold-Day-Cream-SPF24-40gr-Perawatan-Wajah-Anti-Aging-i.63822287.1671468792")</f>
        <v>https://shopee.co.id/Bio-Essence-Bio-Gold-Day-Cream-SPF24-40gr-Perawatan-Wajah-Anti-Aging-i.63822287.1671468792</v>
      </c>
      <c r="C787" s="6" t="s">
        <v>834</v>
      </c>
      <c r="D787" s="6" t="s">
        <v>835</v>
      </c>
      <c r="E787" s="6" t="s">
        <v>12</v>
      </c>
      <c r="F787" s="6" t="s">
        <v>13</v>
      </c>
      <c r="G787" s="6" t="s">
        <v>61</v>
      </c>
      <c r="H787" s="8" t="s">
        <v>1598</v>
      </c>
      <c r="I787" s="9">
        <v>1.87091E7</v>
      </c>
      <c r="J787" s="5" t="str">
        <f t="shared" ref="J787:K787" si="787">SUBSTITUTE(H787, ",", "")</f>
        <v>46</v>
      </c>
      <c r="K787" s="5" t="str">
        <f t="shared" si="787"/>
        <v>Rp18709100</v>
      </c>
      <c r="L787" s="5" t="str">
        <f t="shared" si="3"/>
        <v>18709100</v>
      </c>
    </row>
    <row r="788">
      <c r="A788" s="6" t="s">
        <v>1599</v>
      </c>
      <c r="B788" s="7" t="str">
        <f>HYPERLINK("https://shopee.co.id/Ponds-Bright-Beauty-Power-Serum-7-5-gr-i.65323877.9678002965", "https://shopee.co.id/Ponds-Bright-Beauty-Power-Serum-7-5-gr-i.65323877.9678002965")</f>
        <v>https://shopee.co.id/Ponds-Bright-Beauty-Power-Serum-7-5-gr-i.65323877.9678002965</v>
      </c>
      <c r="C788" s="6" t="s">
        <v>325</v>
      </c>
      <c r="D788" s="6" t="s">
        <v>1600</v>
      </c>
      <c r="E788" s="6" t="s">
        <v>12</v>
      </c>
      <c r="F788" s="6" t="s">
        <v>13</v>
      </c>
      <c r="G788" s="6" t="s">
        <v>296</v>
      </c>
      <c r="H788" s="8" t="s">
        <v>1598</v>
      </c>
      <c r="I788" s="9">
        <v>1631808.0</v>
      </c>
      <c r="J788" s="5" t="str">
        <f t="shared" ref="J788:K788" si="788">SUBSTITUTE(H788, ",", "")</f>
        <v>46</v>
      </c>
      <c r="K788" s="5" t="str">
        <f t="shared" si="788"/>
        <v>Rp1631808</v>
      </c>
      <c r="L788" s="5" t="str">
        <f t="shared" si="3"/>
        <v>1631808</v>
      </c>
    </row>
    <row r="789">
      <c r="A789" s="6" t="s">
        <v>1601</v>
      </c>
      <c r="B789" s="7" t="str">
        <f>HYPERLINK("https://shopee.co.id/Nutrishe-Intensive-Bright-Glow-Serum-30ml-i.50948181.4382272840", "https://shopee.co.id/Nutrishe-Intensive-Bright-Glow-Serum-30ml-i.50948181.4382272840")</f>
        <v>https://shopee.co.id/Nutrishe-Intensive-Bright-Glow-Serum-30ml-i.50948181.4382272840</v>
      </c>
      <c r="C789" s="6" t="s">
        <v>195</v>
      </c>
      <c r="D789" s="6" t="s">
        <v>1129</v>
      </c>
      <c r="E789" s="6" t="s">
        <v>12</v>
      </c>
      <c r="F789" s="6" t="s">
        <v>13</v>
      </c>
      <c r="G789" s="6" t="s">
        <v>1130</v>
      </c>
      <c r="H789" s="8" t="s">
        <v>1598</v>
      </c>
      <c r="I789" s="9">
        <v>6479550.0</v>
      </c>
      <c r="J789" s="5" t="str">
        <f t="shared" ref="J789:K789" si="789">SUBSTITUTE(H789, ",", "")</f>
        <v>46</v>
      </c>
      <c r="K789" s="5" t="str">
        <f t="shared" si="789"/>
        <v>Rp6479550</v>
      </c>
      <c r="L789" s="5" t="str">
        <f t="shared" si="3"/>
        <v>6479550</v>
      </c>
    </row>
    <row r="790">
      <c r="A790" s="6" t="s">
        <v>1602</v>
      </c>
      <c r="B790" s="7" t="str">
        <f>HYPERLINK("https://shopee.co.id/ERTOS-Anti-Aging-Gold-Serum-Original-BPOM-100-ERTO-S-i.23831802.1593249056", "https://shopee.co.id/ERTOS-Anti-Aging-Gold-Serum-Original-BPOM-100-ERTO-S-i.23831802.1593249056")</f>
        <v>https://shopee.co.id/ERTOS-Anti-Aging-Gold-Serum-Original-BPOM-100-ERTO-S-i.23831802.1593249056</v>
      </c>
      <c r="C790" s="6" t="s">
        <v>467</v>
      </c>
      <c r="D790" s="6" t="s">
        <v>1084</v>
      </c>
      <c r="E790" s="6" t="s">
        <v>12</v>
      </c>
      <c r="F790" s="6" t="s">
        <v>13</v>
      </c>
      <c r="G790" s="6" t="s">
        <v>1085</v>
      </c>
      <c r="H790" s="8" t="s">
        <v>1598</v>
      </c>
      <c r="I790" s="9">
        <v>6698000.0</v>
      </c>
      <c r="J790" s="5" t="str">
        <f t="shared" ref="J790:K790" si="790">SUBSTITUTE(H790, ",", "")</f>
        <v>46</v>
      </c>
      <c r="K790" s="5" t="str">
        <f t="shared" si="790"/>
        <v>Rp6698000</v>
      </c>
      <c r="L790" s="5" t="str">
        <f t="shared" si="3"/>
        <v>6698000</v>
      </c>
    </row>
    <row r="791">
      <c r="A791" s="6" t="s">
        <v>1603</v>
      </c>
      <c r="B791" s="7" t="str">
        <f>HYPERLINK("https://shopee.co.id/Dear-Me-Beauty-10-Lactobionic-Acid-PHA-Lime-Extract-Face-Serum-12ml-i.45495764.8848396939", "https://shopee.co.id/Dear-Me-Beauty-10-Lactobionic-Acid-PHA-Lime-Extract-Face-Serum-12ml-i.45495764.8848396939")</f>
        <v>https://shopee.co.id/Dear-Me-Beauty-10-Lactobionic-Acid-PHA-Lime-Extract-Face-Serum-12ml-i.45495764.8848396939</v>
      </c>
      <c r="C791" s="6" t="s">
        <v>70</v>
      </c>
      <c r="D791" s="6" t="s">
        <v>71</v>
      </c>
      <c r="E791" s="6" t="s">
        <v>12</v>
      </c>
      <c r="F791" s="6" t="s">
        <v>13</v>
      </c>
      <c r="G791" s="6" t="s">
        <v>61</v>
      </c>
      <c r="H791" s="8" t="s">
        <v>1598</v>
      </c>
      <c r="I791" s="9">
        <v>3082000.0</v>
      </c>
      <c r="J791" s="5" t="str">
        <f t="shared" ref="J791:K791" si="791">SUBSTITUTE(H791, ",", "")</f>
        <v>46</v>
      </c>
      <c r="K791" s="5" t="str">
        <f t="shared" si="791"/>
        <v>Rp3082000</v>
      </c>
      <c r="L791" s="5" t="str">
        <f t="shared" si="3"/>
        <v>3082000</v>
      </c>
    </row>
    <row r="792">
      <c r="A792" s="6" t="s">
        <v>1604</v>
      </c>
      <c r="B792" s="7" t="str">
        <f>HYPERLINK("https://shopee.co.id/Shiseido-White-Lucent-Illuminating-Micro-Spot-Serum-50ML-i.345419471.5169554458", "https://shopee.co.id/Shiseido-White-Lucent-Illuminating-Micro-Spot-Serum-50ML-i.345419471.5169554458")</f>
        <v>https://shopee.co.id/Shiseido-White-Lucent-Illuminating-Micro-Spot-Serum-50ML-i.345419471.5169554458</v>
      </c>
      <c r="C792" s="6" t="s">
        <v>868</v>
      </c>
      <c r="D792" s="6" t="s">
        <v>869</v>
      </c>
      <c r="E792" s="6" t="s">
        <v>12</v>
      </c>
      <c r="F792" s="6" t="s">
        <v>13</v>
      </c>
      <c r="G792" s="6" t="s">
        <v>130</v>
      </c>
      <c r="H792" s="8" t="s">
        <v>1598</v>
      </c>
      <c r="I792" s="9">
        <v>5701800.0</v>
      </c>
      <c r="J792" s="5" t="str">
        <f t="shared" ref="J792:K792" si="792">SUBSTITUTE(H792, ",", "")</f>
        <v>46</v>
      </c>
      <c r="K792" s="5" t="str">
        <f t="shared" si="792"/>
        <v>Rp5701800</v>
      </c>
      <c r="L792" s="5" t="str">
        <f t="shared" si="3"/>
        <v>5701800</v>
      </c>
    </row>
    <row r="793">
      <c r="A793" s="6" t="s">
        <v>1605</v>
      </c>
      <c r="B793" s="7" t="str">
        <f>HYPERLINK("https://shopee.co.id/Melanox-Premium-Whitening-Serum-15ml-i.46593637.812684330", "https://shopee.co.id/Melanox-Premium-Whitening-Serum-15ml-i.46593637.812684330")</f>
        <v>https://shopee.co.id/Melanox-Premium-Whitening-Serum-15ml-i.46593637.812684330</v>
      </c>
      <c r="C793" s="6" t="s">
        <v>1606</v>
      </c>
      <c r="D793" s="6" t="s">
        <v>1607</v>
      </c>
      <c r="E793" s="6" t="s">
        <v>12</v>
      </c>
      <c r="F793" s="6" t="s">
        <v>13</v>
      </c>
      <c r="G793" s="6" t="s">
        <v>350</v>
      </c>
      <c r="H793" s="8" t="s">
        <v>1608</v>
      </c>
      <c r="I793" s="9">
        <v>6136752.0</v>
      </c>
      <c r="J793" s="5" t="str">
        <f t="shared" ref="J793:K793" si="793">SUBSTITUTE(H793, ",", "")</f>
        <v>45</v>
      </c>
      <c r="K793" s="5" t="str">
        <f t="shared" si="793"/>
        <v>Rp6136752</v>
      </c>
      <c r="L793" s="5" t="str">
        <f t="shared" si="3"/>
        <v>6136752</v>
      </c>
    </row>
    <row r="794">
      <c r="A794" s="6" t="s">
        <v>1609</v>
      </c>
      <c r="B794" s="7" t="str">
        <f>HYPERLINK("https://shopee.co.id/Glowlabs-Retinol-Cica-Night-Serum-Peptide-Moist-Powerful-Anti-Aging-Acne-Prone-Skincare--i.336869851.4179943970", "https://shopee.co.id/Glowlabs-Retinol-Cica-Night-Serum-Peptide-Moist-Powerful-Anti-Aging-Acne-Prone-Skincare--i.336869851.4179943970")</f>
        <v>https://shopee.co.id/Glowlabs-Retinol-Cica-Night-Serum-Peptide-Moist-Powerful-Anti-Aging-Acne-Prone-Skincare--i.336869851.4179943970</v>
      </c>
      <c r="C794" s="6" t="s">
        <v>407</v>
      </c>
      <c r="D794" s="6" t="s">
        <v>408</v>
      </c>
      <c r="E794" s="6" t="s">
        <v>12</v>
      </c>
      <c r="F794" s="6" t="s">
        <v>13</v>
      </c>
      <c r="G794" s="6" t="s">
        <v>409</v>
      </c>
      <c r="H794" s="8" t="s">
        <v>1608</v>
      </c>
      <c r="I794" s="9">
        <v>1.65612E7</v>
      </c>
      <c r="J794" s="5" t="str">
        <f t="shared" ref="J794:K794" si="794">SUBSTITUTE(H794, ",", "")</f>
        <v>45</v>
      </c>
      <c r="K794" s="5" t="str">
        <f t="shared" si="794"/>
        <v>Rp16561200</v>
      </c>
      <c r="L794" s="5" t="str">
        <f t="shared" si="3"/>
        <v>16561200</v>
      </c>
    </row>
    <row r="795">
      <c r="A795" s="6" t="s">
        <v>1610</v>
      </c>
      <c r="B795" s="7" t="str">
        <f>HYPERLINK("https://shopee.co.id/Olay-Power-Duo-Krim-Pelembab-Regenerist-Pagi-White-Radiance-Serum-Wajah-Anti-Aging-Skincare-i.11487927.7437725495", "https://shopee.co.id/Olay-Power-Duo-Krim-Pelembab-Regenerist-Pagi-White-Radiance-Serum-Wajah-Anti-Aging-Skincare-i.11487927.7437725495")</f>
        <v>https://shopee.co.id/Olay-Power-Duo-Krim-Pelembab-Regenerist-Pagi-White-Radiance-Serum-Wajah-Anti-Aging-Skincare-i.11487927.7437725495</v>
      </c>
      <c r="C795" s="6" t="s">
        <v>317</v>
      </c>
      <c r="D795" s="6" t="s">
        <v>318</v>
      </c>
      <c r="E795" s="6" t="s">
        <v>12</v>
      </c>
      <c r="F795" s="6" t="s">
        <v>13</v>
      </c>
      <c r="G795" s="6" t="s">
        <v>296</v>
      </c>
      <c r="H795" s="8" t="s">
        <v>1608</v>
      </c>
      <c r="I795" s="9">
        <v>5473500.0</v>
      </c>
      <c r="J795" s="5" t="str">
        <f t="shared" ref="J795:K795" si="795">SUBSTITUTE(H795, ",", "")</f>
        <v>45</v>
      </c>
      <c r="K795" s="5" t="str">
        <f t="shared" si="795"/>
        <v>Rp5473500</v>
      </c>
      <c r="L795" s="5" t="str">
        <f t="shared" si="3"/>
        <v>5473500</v>
      </c>
    </row>
    <row r="796">
      <c r="A796" s="6" t="s">
        <v>1611</v>
      </c>
      <c r="B796" s="7" t="str">
        <f>HYPERLINK("https://shopee.co.id/MSBB-Avoskin-Your-Skin-Bae-Azeclair-10-Kombucha-3-Niacinamide-2-5-Vaccine-Serum-i.288588702.8728927018", "https://shopee.co.id/MSBB-Avoskin-Your-Skin-Bae-Azeclair-10-Kombucha-3-Niacinamide-2-5-Vaccine-Serum-i.288588702.8728927018")</f>
        <v>https://shopee.co.id/MSBB-Avoskin-Your-Skin-Bae-Azeclair-10-Kombucha-3-Niacinamide-2-5-Vaccine-Serum-i.288588702.8728927018</v>
      </c>
      <c r="C796" s="6" t="s">
        <v>83</v>
      </c>
      <c r="D796" s="6" t="s">
        <v>79</v>
      </c>
      <c r="E796" s="6" t="s">
        <v>12</v>
      </c>
      <c r="F796" s="6" t="s">
        <v>13</v>
      </c>
      <c r="G796" s="6" t="s">
        <v>80</v>
      </c>
      <c r="H796" s="8" t="s">
        <v>1608</v>
      </c>
      <c r="I796" s="9">
        <v>7452550.0</v>
      </c>
      <c r="J796" s="5" t="str">
        <f t="shared" ref="J796:K796" si="796">SUBSTITUTE(H796, ",", "")</f>
        <v>45</v>
      </c>
      <c r="K796" s="5" t="str">
        <f t="shared" si="796"/>
        <v>Rp7452550</v>
      </c>
      <c r="L796" s="5" t="str">
        <f t="shared" si="3"/>
        <v>7452550</v>
      </c>
    </row>
    <row r="797">
      <c r="A797" s="6" t="s">
        <v>1612</v>
      </c>
      <c r="B797" s="7" t="str">
        <f>HYPERLINK("https://shopee.co.id/Somethinc-AHA-7-BHA-1-PHA-3-Weekly-Peeling-Control--i.110573301.3395798597", "https://shopee.co.id/Somethinc-AHA-7-BHA-1-PHA-3-Weekly-Peeling-Control--i.110573301.3395798597")</f>
        <v>https://shopee.co.id/Somethinc-AHA-7-BHA-1-PHA-3-Weekly-Peeling-Control--i.110573301.3395798597</v>
      </c>
      <c r="C797" s="6" t="s">
        <v>45</v>
      </c>
      <c r="D797" s="6" t="s">
        <v>227</v>
      </c>
      <c r="E797" s="6" t="s">
        <v>12</v>
      </c>
      <c r="F797" s="6" t="s">
        <v>13</v>
      </c>
      <c r="G797" s="6" t="s">
        <v>61</v>
      </c>
      <c r="H797" s="8" t="s">
        <v>1608</v>
      </c>
      <c r="I797" s="9">
        <v>4.86368E7</v>
      </c>
      <c r="J797" s="5" t="str">
        <f t="shared" ref="J797:K797" si="797">SUBSTITUTE(H797, ",", "")</f>
        <v>45</v>
      </c>
      <c r="K797" s="5" t="str">
        <f t="shared" si="797"/>
        <v>Rp48636800</v>
      </c>
      <c r="L797" s="5" t="str">
        <f t="shared" si="3"/>
        <v>48636800</v>
      </c>
    </row>
    <row r="798">
      <c r="A798" s="6" t="s">
        <v>1613</v>
      </c>
      <c r="B798" s="7" t="str">
        <f>HYPERLINK("https://shopee.co.id/Fresh-Herb-Origin-Simple-Set-i.238604292.3780442246", "https://shopee.co.id/Fresh-Herb-Origin-Simple-Set-i.238604292.3780442246")</f>
        <v>https://shopee.co.id/Fresh-Herb-Origin-Simple-Set-i.238604292.3780442246</v>
      </c>
      <c r="C798" s="6" t="s">
        <v>344</v>
      </c>
      <c r="D798" s="6" t="s">
        <v>918</v>
      </c>
      <c r="E798" s="6" t="s">
        <v>12</v>
      </c>
      <c r="F798" s="6" t="s">
        <v>13</v>
      </c>
      <c r="G798" s="6" t="s">
        <v>80</v>
      </c>
      <c r="H798" s="8" t="s">
        <v>1608</v>
      </c>
      <c r="I798" s="9">
        <v>7291620.0</v>
      </c>
      <c r="J798" s="5" t="str">
        <f t="shared" ref="J798:K798" si="798">SUBSTITUTE(H798, ",", "")</f>
        <v>45</v>
      </c>
      <c r="K798" s="5" t="str">
        <f t="shared" si="798"/>
        <v>Rp7291620</v>
      </c>
      <c r="L798" s="5" t="str">
        <f t="shared" si="3"/>
        <v>7291620</v>
      </c>
    </row>
    <row r="799">
      <c r="A799" s="6" t="s">
        <v>1614</v>
      </c>
      <c r="B799" s="7" t="str">
        <f>HYPERLINK("https://shopee.co.id/Pack-of-2-Votre-Peau-Skin-Care-Vitamin-C-Serum-Pour-Maharis-Clinic-30ml-i.46300234.6978288581", "https://shopee.co.id/Pack-of-2-Votre-Peau-Skin-Care-Vitamin-C-Serum-Pour-Maharis-Clinic-30ml-i.46300234.6978288581")</f>
        <v>https://shopee.co.id/Pack-of-2-Votre-Peau-Skin-Care-Vitamin-C-Serum-Pour-Maharis-Clinic-30ml-i.46300234.6978288581</v>
      </c>
      <c r="C799" s="6" t="s">
        <v>999</v>
      </c>
      <c r="D799" s="6" t="s">
        <v>472</v>
      </c>
      <c r="E799" s="6" t="s">
        <v>12</v>
      </c>
      <c r="F799" s="6" t="s">
        <v>13</v>
      </c>
      <c r="G799" s="6" t="s">
        <v>98</v>
      </c>
      <c r="H799" s="8" t="s">
        <v>1608</v>
      </c>
      <c r="I799" s="9">
        <v>2362500.0</v>
      </c>
      <c r="J799" s="5" t="str">
        <f t="shared" ref="J799:K799" si="799">SUBSTITUTE(H799, ",", "")</f>
        <v>45</v>
      </c>
      <c r="K799" s="5" t="str">
        <f t="shared" si="799"/>
        <v>Rp2362500</v>
      </c>
      <c r="L799" s="5" t="str">
        <f t="shared" si="3"/>
        <v>2362500</v>
      </c>
    </row>
    <row r="800">
      <c r="A800" s="6" t="s">
        <v>1615</v>
      </c>
      <c r="B800" s="7" t="str">
        <f>HYPERLINK("https://shopee.co.id/Bioderma-Hydrabio-Serum-40ml-i.30736001.606417332", "https://shopee.co.id/Bioderma-Hydrabio-Serum-40ml-i.30736001.606417332")</f>
        <v>https://shopee.co.id/Bioderma-Hydrabio-Serum-40ml-i.30736001.606417332</v>
      </c>
      <c r="C800" s="6" t="s">
        <v>1387</v>
      </c>
      <c r="D800" s="6" t="s">
        <v>335</v>
      </c>
      <c r="E800" s="6" t="s">
        <v>12</v>
      </c>
      <c r="F800" s="6" t="s">
        <v>13</v>
      </c>
      <c r="G800" s="6" t="s">
        <v>36</v>
      </c>
      <c r="H800" s="8" t="s">
        <v>1608</v>
      </c>
      <c r="I800" s="9">
        <v>3.24E7</v>
      </c>
      <c r="J800" s="5" t="str">
        <f t="shared" ref="J800:K800" si="800">SUBSTITUTE(H800, ",", "")</f>
        <v>45</v>
      </c>
      <c r="K800" s="5" t="str">
        <f t="shared" si="800"/>
        <v>Rp32400000</v>
      </c>
      <c r="L800" s="5" t="str">
        <f t="shared" si="3"/>
        <v>32400000</v>
      </c>
    </row>
    <row r="801">
      <c r="A801" s="6" t="s">
        <v>1616</v>
      </c>
      <c r="B801" s="7" t="str">
        <f>HYPERLINK("https://shopee.co.id/FIRST-LAB-FIRST-LAB-Probiotic-Skin-Essence-SIGNATURE-150ml-i.68111.2258664520", "https://shopee.co.id/FIRST-LAB-FIRST-LAB-Probiotic-Skin-Essence-SIGNATURE-150ml-i.68111.2258664520")</f>
        <v>https://shopee.co.id/FIRST-LAB-FIRST-LAB-Probiotic-Skin-Essence-SIGNATURE-150ml-i.68111.2258664520</v>
      </c>
      <c r="C801" s="6" t="s">
        <v>1617</v>
      </c>
      <c r="D801" s="6" t="s">
        <v>441</v>
      </c>
      <c r="E801" s="6" t="s">
        <v>12</v>
      </c>
      <c r="F801" s="6" t="s">
        <v>13</v>
      </c>
      <c r="G801" s="6" t="s">
        <v>130</v>
      </c>
      <c r="H801" s="8" t="s">
        <v>1608</v>
      </c>
      <c r="I801" s="9">
        <v>904600.0</v>
      </c>
      <c r="J801" s="5" t="str">
        <f t="shared" ref="J801:K801" si="801">SUBSTITUTE(H801, ",", "")</f>
        <v>45</v>
      </c>
      <c r="K801" s="5" t="str">
        <f t="shared" si="801"/>
        <v>Rp904600</v>
      </c>
      <c r="L801" s="5" t="str">
        <f t="shared" si="3"/>
        <v>904600</v>
      </c>
    </row>
    <row r="802">
      <c r="A802" s="6" t="s">
        <v>1618</v>
      </c>
      <c r="B802" s="7" t="str">
        <f>HYPERLINK("https://shopee.co.id/Crushlicious-Niacinamide-Glow-Up-Facial-Serum-i.4184162.8057399682", "https://shopee.co.id/Crushlicious-Niacinamide-Glow-Up-Facial-Serum-i.4184162.8057399682")</f>
        <v>https://shopee.co.id/Crushlicious-Niacinamide-Glow-Up-Facial-Serum-i.4184162.8057399682</v>
      </c>
      <c r="C802" s="6" t="s">
        <v>1619</v>
      </c>
      <c r="D802" s="6" t="s">
        <v>1620</v>
      </c>
      <c r="E802" s="6" t="s">
        <v>12</v>
      </c>
      <c r="F802" s="6" t="s">
        <v>13</v>
      </c>
      <c r="G802" s="6" t="s">
        <v>1621</v>
      </c>
      <c r="H802" s="8" t="s">
        <v>1608</v>
      </c>
      <c r="I802" s="9">
        <v>7425000.0</v>
      </c>
      <c r="J802" s="5" t="str">
        <f t="shared" ref="J802:K802" si="802">SUBSTITUTE(H802, ",", "")</f>
        <v>45</v>
      </c>
      <c r="K802" s="5" t="str">
        <f t="shared" si="802"/>
        <v>Rp7425000</v>
      </c>
      <c r="L802" s="5" t="str">
        <f t="shared" si="3"/>
        <v>7425000</v>
      </c>
    </row>
    <row r="803">
      <c r="A803" s="6" t="s">
        <v>1622</v>
      </c>
      <c r="B803" s="7" t="str">
        <f>HYPERLINK("https://shopee.co.id/SOME-BY-MI-AHABHAPHA-30-Days-Miracle-Travel-Kit-i.125116082.10111565555", "https://shopee.co.id/SOME-BY-MI-AHABHAPHA-30-Days-Miracle-Travel-Kit-i.125116082.10111565555")</f>
        <v>https://shopee.co.id/SOME-BY-MI-AHABHAPHA-30-Days-Miracle-Travel-Kit-i.125116082.10111565555</v>
      </c>
      <c r="C803" s="6" t="s">
        <v>213</v>
      </c>
      <c r="D803" s="6" t="s">
        <v>713</v>
      </c>
      <c r="E803" s="6" t="s">
        <v>12</v>
      </c>
      <c r="F803" s="6" t="s">
        <v>13</v>
      </c>
      <c r="G803" s="6" t="s">
        <v>61</v>
      </c>
      <c r="H803" s="8" t="s">
        <v>1623</v>
      </c>
      <c r="I803" s="9">
        <v>1.8748E7</v>
      </c>
      <c r="J803" s="5" t="str">
        <f t="shared" ref="J803:K803" si="803">SUBSTITUTE(H803, ",", "")</f>
        <v>44</v>
      </c>
      <c r="K803" s="5" t="str">
        <f t="shared" si="803"/>
        <v>Rp18748000</v>
      </c>
      <c r="L803" s="5" t="str">
        <f t="shared" si="3"/>
        <v>18748000</v>
      </c>
    </row>
    <row r="804">
      <c r="A804" s="6" t="s">
        <v>1624</v>
      </c>
      <c r="B804" s="7" t="str">
        <f>HYPERLINK("https://shopee.co.id/Avoskin-Perfect-Hydrating-Treatment-Essence-30ml-i.30736001.11601973124", "https://shopee.co.id/Avoskin-Perfect-Hydrating-Treatment-Essence-30ml-i.30736001.11601973124")</f>
        <v>https://shopee.co.id/Avoskin-Perfect-Hydrating-Treatment-Essence-30ml-i.30736001.11601973124</v>
      </c>
      <c r="C804" s="6" t="s">
        <v>83</v>
      </c>
      <c r="D804" s="6" t="s">
        <v>335</v>
      </c>
      <c r="E804" s="6" t="s">
        <v>12</v>
      </c>
      <c r="F804" s="6" t="s">
        <v>13</v>
      </c>
      <c r="G804" s="6" t="s">
        <v>36</v>
      </c>
      <c r="H804" s="8" t="s">
        <v>1623</v>
      </c>
      <c r="I804" s="9">
        <v>2072294.0</v>
      </c>
      <c r="J804" s="5" t="str">
        <f t="shared" ref="J804:K804" si="804">SUBSTITUTE(H804, ",", "")</f>
        <v>44</v>
      </c>
      <c r="K804" s="5" t="str">
        <f t="shared" si="804"/>
        <v>Rp2072294</v>
      </c>
      <c r="L804" s="5" t="str">
        <f t="shared" si="3"/>
        <v>2072294</v>
      </c>
    </row>
    <row r="805">
      <c r="A805" s="6" t="s">
        <v>1625</v>
      </c>
      <c r="B805" s="7" t="str">
        <f>HYPERLINK("https://shopee.co.id/KF-Skin-Acne-Serum-i.298365554.7752068608", "https://shopee.co.id/KF-Skin-Acne-Serum-i.298365554.7752068608")</f>
        <v>https://shopee.co.id/KF-Skin-Acne-Serum-i.298365554.7752068608</v>
      </c>
      <c r="C805" s="6" t="s">
        <v>1290</v>
      </c>
      <c r="D805" s="6" t="s">
        <v>1291</v>
      </c>
      <c r="E805" s="6" t="s">
        <v>12</v>
      </c>
      <c r="F805" s="6" t="s">
        <v>13</v>
      </c>
      <c r="G805" s="6" t="s">
        <v>1292</v>
      </c>
      <c r="H805" s="8" t="s">
        <v>1623</v>
      </c>
      <c r="I805" s="9">
        <v>2611300.0</v>
      </c>
      <c r="J805" s="5" t="str">
        <f t="shared" ref="J805:K805" si="805">SUBSTITUTE(H805, ",", "")</f>
        <v>44</v>
      </c>
      <c r="K805" s="5" t="str">
        <f t="shared" si="805"/>
        <v>Rp2611300</v>
      </c>
      <c r="L805" s="5" t="str">
        <f t="shared" si="3"/>
        <v>2611300</v>
      </c>
    </row>
    <row r="806">
      <c r="A806" s="6" t="s">
        <v>1626</v>
      </c>
      <c r="B806" s="7" t="str">
        <f>HYPERLINK("https://shopee.co.id/Some-By-Mi-Snail-Truecica-Miracle-Repair-Series-i.136011044.2298592488", "https://shopee.co.id/Some-By-Mi-Snail-Truecica-Miracle-Repair-Series-i.136011044.2298592488")</f>
        <v>https://shopee.co.id/Some-By-Mi-Snail-Truecica-Miracle-Repair-Series-i.136011044.2298592488</v>
      </c>
      <c r="C806" s="6" t="s">
        <v>213</v>
      </c>
      <c r="D806" s="6" t="s">
        <v>632</v>
      </c>
      <c r="E806" s="6" t="s">
        <v>12</v>
      </c>
      <c r="F806" s="6" t="s">
        <v>13</v>
      </c>
      <c r="G806" s="6" t="s">
        <v>21</v>
      </c>
      <c r="H806" s="8" t="s">
        <v>1623</v>
      </c>
      <c r="I806" s="9">
        <v>4576000.0</v>
      </c>
      <c r="J806" s="5" t="str">
        <f t="shared" ref="J806:K806" si="806">SUBSTITUTE(H806, ",", "")</f>
        <v>44</v>
      </c>
      <c r="K806" s="5" t="str">
        <f t="shared" si="806"/>
        <v>Rp4576000</v>
      </c>
      <c r="L806" s="5" t="str">
        <f t="shared" si="3"/>
        <v>4576000</v>
      </c>
    </row>
    <row r="807">
      <c r="A807" s="6" t="s">
        <v>1627</v>
      </c>
      <c r="B807" s="7" t="str">
        <f>HYPERLINK("https://shopee.co.id/Garnier-Sakura-Glow-Hyaluron-Water-Glow-Essence-Skin-Care-x-3-pcs-Untuk-Kulit-Glowing-Dari-Dalam--i.62583853.8567876287", "https://shopee.co.id/Garnier-Sakura-Glow-Hyaluron-Water-Glow-Essence-Skin-Care-x-3-pcs-Untuk-Kulit-Glowing-Dari-Dalam--i.62583853.8567876287")</f>
        <v>https://shopee.co.id/Garnier-Sakura-Glow-Hyaluron-Water-Glow-Essence-Skin-Care-x-3-pcs-Untuk-Kulit-Glowing-Dari-Dalam--i.62583853.8567876287</v>
      </c>
      <c r="C807" s="6" t="s">
        <v>74</v>
      </c>
      <c r="D807" s="6" t="s">
        <v>75</v>
      </c>
      <c r="E807" s="6" t="s">
        <v>12</v>
      </c>
      <c r="F807" s="6" t="s">
        <v>13</v>
      </c>
      <c r="G807" s="6" t="s">
        <v>61</v>
      </c>
      <c r="H807" s="8" t="s">
        <v>1623</v>
      </c>
      <c r="I807" s="9">
        <v>2860000.0</v>
      </c>
      <c r="J807" s="5" t="str">
        <f t="shared" ref="J807:K807" si="807">SUBSTITUTE(H807, ",", "")</f>
        <v>44</v>
      </c>
      <c r="K807" s="5" t="str">
        <f t="shared" si="807"/>
        <v>Rp2860000</v>
      </c>
      <c r="L807" s="5" t="str">
        <f t="shared" si="3"/>
        <v>2860000</v>
      </c>
    </row>
    <row r="808">
      <c r="A808" s="6" t="s">
        <v>1628</v>
      </c>
      <c r="B808" s="7" t="str">
        <f>HYPERLINK("https://shopee.co.id/CLINELLE-PushUp-Bust-Firming-Lifting-Serum-i.173963911.2814644655", "https://shopee.co.id/CLINELLE-PushUp-Bust-Firming-Lifting-Serum-i.173963911.2814644655")</f>
        <v>https://shopee.co.id/CLINELLE-PushUp-Bust-Firming-Lifting-Serum-i.173963911.2814644655</v>
      </c>
      <c r="C808" s="6" t="s">
        <v>1456</v>
      </c>
      <c r="D808" s="6" t="s">
        <v>1457</v>
      </c>
      <c r="E808" s="6" t="s">
        <v>12</v>
      </c>
      <c r="F808" s="6" t="s">
        <v>13</v>
      </c>
      <c r="G808" s="6" t="s">
        <v>21</v>
      </c>
      <c r="H808" s="8" t="s">
        <v>1623</v>
      </c>
      <c r="I808" s="9">
        <v>2735900.0</v>
      </c>
      <c r="J808" s="5" t="str">
        <f t="shared" ref="J808:K808" si="808">SUBSTITUTE(H808, ",", "")</f>
        <v>44</v>
      </c>
      <c r="K808" s="5" t="str">
        <f t="shared" si="808"/>
        <v>Rp2735900</v>
      </c>
      <c r="L808" s="5" t="str">
        <f t="shared" si="3"/>
        <v>2735900</v>
      </c>
    </row>
    <row r="809">
      <c r="A809" s="6" t="s">
        <v>1629</v>
      </c>
      <c r="B809" s="7" t="str">
        <f>HYPERLINK("https://shopee.co.id/Raecca-Glow-It-Up-Serum-Official-Store--i.41005244.10600465937", "https://shopee.co.id/Raecca-Glow-It-Up-Serum-Official-Store--i.41005244.10600465937")</f>
        <v>https://shopee.co.id/Raecca-Glow-It-Up-Serum-Official-Store--i.41005244.10600465937</v>
      </c>
      <c r="C809" s="6" t="s">
        <v>1630</v>
      </c>
      <c r="D809" s="6" t="s">
        <v>1631</v>
      </c>
      <c r="E809" s="6" t="s">
        <v>12</v>
      </c>
      <c r="F809" s="6" t="s">
        <v>13</v>
      </c>
      <c r="G809" s="6" t="s">
        <v>241</v>
      </c>
      <c r="H809" s="8" t="s">
        <v>1623</v>
      </c>
      <c r="I809" s="9">
        <v>8360000.0</v>
      </c>
      <c r="J809" s="5" t="str">
        <f t="shared" ref="J809:K809" si="809">SUBSTITUTE(H809, ",", "")</f>
        <v>44</v>
      </c>
      <c r="K809" s="5" t="str">
        <f t="shared" si="809"/>
        <v>Rp8360000</v>
      </c>
      <c r="L809" s="5" t="str">
        <f t="shared" si="3"/>
        <v>8360000</v>
      </c>
    </row>
    <row r="810">
      <c r="A810" s="6" t="s">
        <v>1632</v>
      </c>
      <c r="B810" s="7" t="str">
        <f>HYPERLINK("https://shopee.co.id/Avoskin-Your-Skin-Bae-Serum-Alpha-Arbutin-3-Grapeseed-30ml-i.50948181.9376567457", "https://shopee.co.id/Avoskin-Your-Skin-Bae-Serum-Alpha-Arbutin-3-Grapeseed-30ml-i.50948181.9376567457")</f>
        <v>https://shopee.co.id/Avoskin-Your-Skin-Bae-Serum-Alpha-Arbutin-3-Grapeseed-30ml-i.50948181.9376567457</v>
      </c>
      <c r="C810" s="6" t="s">
        <v>83</v>
      </c>
      <c r="D810" s="6" t="s">
        <v>1129</v>
      </c>
      <c r="E810" s="6" t="s">
        <v>12</v>
      </c>
      <c r="F810" s="6" t="s">
        <v>13</v>
      </c>
      <c r="G810" s="6" t="s">
        <v>1130</v>
      </c>
      <c r="H810" s="8" t="s">
        <v>1623</v>
      </c>
      <c r="I810" s="9">
        <v>5312500.0</v>
      </c>
      <c r="J810" s="5" t="str">
        <f t="shared" ref="J810:K810" si="810">SUBSTITUTE(H810, ",", "")</f>
        <v>44</v>
      </c>
      <c r="K810" s="5" t="str">
        <f t="shared" si="810"/>
        <v>Rp5312500</v>
      </c>
      <c r="L810" s="5" t="str">
        <f t="shared" si="3"/>
        <v>5312500</v>
      </c>
    </row>
    <row r="811">
      <c r="A811" s="6" t="s">
        <v>1633</v>
      </c>
      <c r="B811" s="7" t="str">
        <f>HYPERLINK("https://shopee.co.id/Skinmee-Dualmee-Series-Universal-i.426361756.4494249262", "https://shopee.co.id/Skinmee-Dualmee-Series-Universal-i.426361756.4494249262")</f>
        <v>https://shopee.co.id/Skinmee-Dualmee-Series-Universal-i.426361756.4494249262</v>
      </c>
      <c r="C811" s="6" t="s">
        <v>1141</v>
      </c>
      <c r="D811" s="6" t="s">
        <v>1142</v>
      </c>
      <c r="E811" s="6" t="s">
        <v>12</v>
      </c>
      <c r="F811" s="6" t="s">
        <v>13</v>
      </c>
      <c r="G811" s="6" t="s">
        <v>98</v>
      </c>
      <c r="H811" s="8" t="s">
        <v>1623</v>
      </c>
      <c r="I811" s="9">
        <v>5258000.0</v>
      </c>
      <c r="J811" s="5" t="str">
        <f t="shared" ref="J811:K811" si="811">SUBSTITUTE(H811, ",", "")</f>
        <v>44</v>
      </c>
      <c r="K811" s="5" t="str">
        <f t="shared" si="811"/>
        <v>Rp5258000</v>
      </c>
      <c r="L811" s="5" t="str">
        <f t="shared" si="3"/>
        <v>5258000</v>
      </c>
    </row>
    <row r="812">
      <c r="A812" s="6" t="s">
        <v>1634</v>
      </c>
      <c r="B812" s="7" t="str">
        <f>HYPERLINK("https://shopee.co.id/Huxley-Essence-Brightly-Ever-After-30-ml-i.125116082.2756903137", "https://shopee.co.id/Huxley-Essence-Brightly-Ever-After-30-ml-i.125116082.2756903137")</f>
        <v>https://shopee.co.id/Huxley-Essence-Brightly-Ever-After-30-ml-i.125116082.2756903137</v>
      </c>
      <c r="C812" s="6" t="s">
        <v>1635</v>
      </c>
      <c r="D812" s="6" t="s">
        <v>713</v>
      </c>
      <c r="E812" s="6" t="s">
        <v>12</v>
      </c>
      <c r="F812" s="6" t="s">
        <v>13</v>
      </c>
      <c r="G812" s="6" t="s">
        <v>61</v>
      </c>
      <c r="H812" s="8" t="s">
        <v>1623</v>
      </c>
      <c r="I812" s="9">
        <v>1.188E7</v>
      </c>
      <c r="J812" s="5" t="str">
        <f t="shared" ref="J812:K812" si="812">SUBSTITUTE(H812, ",", "")</f>
        <v>44</v>
      </c>
      <c r="K812" s="5" t="str">
        <f t="shared" si="812"/>
        <v>Rp11880000</v>
      </c>
      <c r="L812" s="5" t="str">
        <f t="shared" si="3"/>
        <v>11880000</v>
      </c>
    </row>
    <row r="813">
      <c r="A813" s="6" t="s">
        <v>1636</v>
      </c>
      <c r="B813" s="7" t="str">
        <f>HYPERLINK("https://shopee.co.id/Somethinc-Niacinamide-Moisture-Sabi-Beet-Serum-5-10-20ML-40ML-i.136011044.6578470514", "https://shopee.co.id/Somethinc-Niacinamide-Moisture-Sabi-Beet-Serum-5-10-20ML-40ML-i.136011044.6578470514")</f>
        <v>https://shopee.co.id/Somethinc-Niacinamide-Moisture-Sabi-Beet-Serum-5-10-20ML-40ML-i.136011044.6578470514</v>
      </c>
      <c r="C813" s="6" t="s">
        <v>45</v>
      </c>
      <c r="D813" s="6" t="s">
        <v>632</v>
      </c>
      <c r="E813" s="6" t="s">
        <v>12</v>
      </c>
      <c r="F813" s="6" t="s">
        <v>13</v>
      </c>
      <c r="G813" s="6" t="s">
        <v>21</v>
      </c>
      <c r="H813" s="8" t="s">
        <v>1637</v>
      </c>
      <c r="I813" s="9">
        <v>6353860.0</v>
      </c>
      <c r="J813" s="5" t="str">
        <f t="shared" ref="J813:K813" si="813">SUBSTITUTE(H813, ",", "")</f>
        <v>43</v>
      </c>
      <c r="K813" s="5" t="str">
        <f t="shared" si="813"/>
        <v>Rp6353860</v>
      </c>
      <c r="L813" s="5" t="str">
        <f t="shared" si="3"/>
        <v>6353860</v>
      </c>
    </row>
    <row r="814">
      <c r="A814" s="6" t="s">
        <v>1638</v>
      </c>
      <c r="B814" s="7" t="str">
        <f>HYPERLINK("https://shopee.co.id/-innisfree-Wrinkle-Science-Oil-Serum-30ML-Serum-Wajah-Perawatan-Wajah-i.61504589.3804170947", "https://shopee.co.id/-innisfree-Wrinkle-Science-Oil-Serum-30ML-Serum-Wajah-Perawatan-Wajah-i.61504589.3804170947")</f>
        <v>https://shopee.co.id/-innisfree-Wrinkle-Science-Oil-Serum-30ML-Serum-Wajah-Perawatan-Wajah-i.61504589.3804170947</v>
      </c>
      <c r="C814" s="6" t="s">
        <v>294</v>
      </c>
      <c r="D814" s="6" t="s">
        <v>295</v>
      </c>
      <c r="E814" s="6" t="s">
        <v>12</v>
      </c>
      <c r="F814" s="6" t="s">
        <v>13</v>
      </c>
      <c r="G814" s="6" t="s">
        <v>296</v>
      </c>
      <c r="H814" s="8" t="s">
        <v>1637</v>
      </c>
      <c r="I814" s="9">
        <v>4943400.0</v>
      </c>
      <c r="J814" s="5" t="str">
        <f t="shared" ref="J814:K814" si="814">SUBSTITUTE(H814, ",", "")</f>
        <v>43</v>
      </c>
      <c r="K814" s="5" t="str">
        <f t="shared" si="814"/>
        <v>Rp4943400</v>
      </c>
      <c r="L814" s="5" t="str">
        <f t="shared" si="3"/>
        <v>4943400</v>
      </c>
    </row>
    <row r="815">
      <c r="A815" s="6" t="s">
        <v>1639</v>
      </c>
      <c r="B815" s="7" t="str">
        <f>HYPERLINK("https://shopee.co.id/L-Oreal-Paris-Crystal-Aura-Skin-Essential-Kit-Esssence-Facial-Cleanser-Wash-Skin-Care-i.62579622.7758365767", "https://shopee.co.id/L-Oreal-Paris-Crystal-Aura-Skin-Essential-Kit-Esssence-Facial-Cleanser-Wash-Skin-Care-i.62579622.7758365767")</f>
        <v>https://shopee.co.id/L-Oreal-Paris-Crystal-Aura-Skin-Essential-Kit-Esssence-Facial-Cleanser-Wash-Skin-Care-i.62579622.7758365767</v>
      </c>
      <c r="C815" s="6" t="s">
        <v>105</v>
      </c>
      <c r="D815" s="6" t="s">
        <v>106</v>
      </c>
      <c r="E815" s="6" t="s">
        <v>12</v>
      </c>
      <c r="F815" s="6" t="s">
        <v>13</v>
      </c>
      <c r="G815" s="6" t="s">
        <v>61</v>
      </c>
      <c r="H815" s="8" t="s">
        <v>1637</v>
      </c>
      <c r="I815" s="9">
        <v>1.1214E7</v>
      </c>
      <c r="J815" s="5" t="str">
        <f t="shared" ref="J815:K815" si="815">SUBSTITUTE(H815, ",", "")</f>
        <v>43</v>
      </c>
      <c r="K815" s="5" t="str">
        <f t="shared" si="815"/>
        <v>Rp11214000</v>
      </c>
      <c r="L815" s="5" t="str">
        <f t="shared" si="3"/>
        <v>11214000</v>
      </c>
    </row>
    <row r="816">
      <c r="A816" s="6" t="s">
        <v>1640</v>
      </c>
      <c r="B816" s="7" t="str">
        <f>HYPERLINK("https://shopee.co.id/Avoskin-Hydrating-Treatment-Essence-100ml-i.825870.1810330776", "https://shopee.co.id/Avoskin-Hydrating-Treatment-Essence-100ml-i.825870.1810330776")</f>
        <v>https://shopee.co.id/Avoskin-Hydrating-Treatment-Essence-100ml-i.825870.1810330776</v>
      </c>
      <c r="C816" s="6" t="s">
        <v>83</v>
      </c>
      <c r="D816" s="6" t="s">
        <v>1184</v>
      </c>
      <c r="E816" s="6" t="s">
        <v>12</v>
      </c>
      <c r="F816" s="6" t="s">
        <v>13</v>
      </c>
      <c r="G816" s="6" t="s">
        <v>21</v>
      </c>
      <c r="H816" s="8" t="s">
        <v>1637</v>
      </c>
      <c r="I816" s="9">
        <v>7875500.0</v>
      </c>
      <c r="J816" s="5" t="str">
        <f t="shared" ref="J816:K816" si="816">SUBSTITUTE(H816, ",", "")</f>
        <v>43</v>
      </c>
      <c r="K816" s="5" t="str">
        <f t="shared" si="816"/>
        <v>Rp7875500</v>
      </c>
      <c r="L816" s="5" t="str">
        <f t="shared" si="3"/>
        <v>7875500</v>
      </c>
    </row>
    <row r="817">
      <c r="A817" s="6" t="s">
        <v>1641</v>
      </c>
      <c r="B817" s="7" t="str">
        <f>HYPERLINK("https://shopee.co.id/-innisfree-Jeju-Lava-Seawater-Essence-50ML-Serum-Wajah-Perawatan-Wajah-i.61504589.2301917894", "https://shopee.co.id/-innisfree-Jeju-Lava-Seawater-Essence-50ML-Serum-Wajah-Perawatan-Wajah-i.61504589.2301917894")</f>
        <v>https://shopee.co.id/-innisfree-Jeju-Lava-Seawater-Essence-50ML-Serum-Wajah-Perawatan-Wajah-i.61504589.2301917894</v>
      </c>
      <c r="C817" s="6" t="s">
        <v>294</v>
      </c>
      <c r="D817" s="6" t="s">
        <v>295</v>
      </c>
      <c r="E817" s="6" t="s">
        <v>12</v>
      </c>
      <c r="F817" s="6" t="s">
        <v>13</v>
      </c>
      <c r="G817" s="6" t="s">
        <v>296</v>
      </c>
      <c r="H817" s="8" t="s">
        <v>1637</v>
      </c>
      <c r="I817" s="9">
        <v>1.348E7</v>
      </c>
      <c r="J817" s="5" t="str">
        <f t="shared" ref="J817:K817" si="817">SUBSTITUTE(H817, ",", "")</f>
        <v>43</v>
      </c>
      <c r="K817" s="5" t="str">
        <f t="shared" si="817"/>
        <v>Rp13480000</v>
      </c>
      <c r="L817" s="5" t="str">
        <f t="shared" si="3"/>
        <v>13480000</v>
      </c>
    </row>
    <row r="818">
      <c r="A818" s="6" t="s">
        <v>1642</v>
      </c>
      <c r="B818" s="7" t="str">
        <f>HYPERLINK("https://shopee.co.id/Sulwhasoo-Perfecting-Cushion-Intense-No-21-Medium-Pink-Essential-Lip-Serum-Stick-i.274949344.6039205353", "https://shopee.co.id/Sulwhasoo-Perfecting-Cushion-Intense-No-21-Medium-Pink-Essential-Lip-Serum-Stick-i.274949344.6039205353")</f>
        <v>https://shopee.co.id/Sulwhasoo-Perfecting-Cushion-Intense-No-21-Medium-Pink-Essential-Lip-Serum-Stick-i.274949344.6039205353</v>
      </c>
      <c r="C818" s="6" t="s">
        <v>282</v>
      </c>
      <c r="D818" s="6" t="s">
        <v>283</v>
      </c>
      <c r="E818" s="6" t="s">
        <v>12</v>
      </c>
      <c r="F818" s="6" t="s">
        <v>13</v>
      </c>
      <c r="G818" s="6" t="s">
        <v>61</v>
      </c>
      <c r="H818" s="8" t="s">
        <v>1637</v>
      </c>
      <c r="I818" s="9">
        <v>2926060.0</v>
      </c>
      <c r="J818" s="5" t="str">
        <f t="shared" ref="J818:K818" si="818">SUBSTITUTE(H818, ",", "")</f>
        <v>43</v>
      </c>
      <c r="K818" s="5" t="str">
        <f t="shared" si="818"/>
        <v>Rp2926060</v>
      </c>
      <c r="L818" s="5" t="str">
        <f t="shared" si="3"/>
        <v>2926060</v>
      </c>
    </row>
    <row r="819">
      <c r="A819" s="6" t="s">
        <v>1643</v>
      </c>
      <c r="B819" s="7" t="str">
        <f>HYPERLINK("https://shopee.co.id/-Buy-1-Get-1-Safi-Age-Defy-Skin-Booster-i.63823668.9084534935", "https://shopee.co.id/-Buy-1-Get-1-Safi-Age-Defy-Skin-Booster-i.63823668.9084534935")</f>
        <v>https://shopee.co.id/-Buy-1-Get-1-Safi-Age-Defy-Skin-Booster-i.63823668.9084534935</v>
      </c>
      <c r="C819" s="6" t="s">
        <v>278</v>
      </c>
      <c r="D819" s="6" t="s">
        <v>279</v>
      </c>
      <c r="E819" s="6" t="s">
        <v>12</v>
      </c>
      <c r="F819" s="6" t="s">
        <v>13</v>
      </c>
      <c r="G819" s="6" t="s">
        <v>61</v>
      </c>
      <c r="H819" s="8" t="s">
        <v>1637</v>
      </c>
      <c r="I819" s="9">
        <v>2570000.0</v>
      </c>
      <c r="J819" s="5" t="str">
        <f t="shared" ref="J819:K819" si="819">SUBSTITUTE(H819, ",", "")</f>
        <v>43</v>
      </c>
      <c r="K819" s="5" t="str">
        <f t="shared" si="819"/>
        <v>Rp2570000</v>
      </c>
      <c r="L819" s="5" t="str">
        <f t="shared" si="3"/>
        <v>2570000</v>
      </c>
    </row>
    <row r="820">
      <c r="A820" s="6" t="s">
        <v>1644</v>
      </c>
      <c r="B820" s="7" t="str">
        <f>HYPERLINK("https://shopee.co.id/Olay-White-Radiance-Niacinamide-Cica-Super-Serum-Brightening-Skincare-30ML-i.11487927.6679004503", "https://shopee.co.id/Olay-White-Radiance-Niacinamide-Cica-Super-Serum-Brightening-Skincare-30ML-i.11487927.6679004503")</f>
        <v>https://shopee.co.id/Olay-White-Radiance-Niacinamide-Cica-Super-Serum-Brightening-Skincare-30ML-i.11487927.6679004503</v>
      </c>
      <c r="C820" s="6" t="s">
        <v>317</v>
      </c>
      <c r="D820" s="6" t="s">
        <v>318</v>
      </c>
      <c r="E820" s="6" t="s">
        <v>12</v>
      </c>
      <c r="F820" s="6" t="s">
        <v>13</v>
      </c>
      <c r="G820" s="6" t="s">
        <v>296</v>
      </c>
      <c r="H820" s="8" t="s">
        <v>1637</v>
      </c>
      <c r="I820" s="9">
        <v>6698100.0</v>
      </c>
      <c r="J820" s="5" t="str">
        <f t="shared" ref="J820:K820" si="820">SUBSTITUTE(H820, ",", "")</f>
        <v>43</v>
      </c>
      <c r="K820" s="5" t="str">
        <f t="shared" si="820"/>
        <v>Rp6698100</v>
      </c>
      <c r="L820" s="5" t="str">
        <f t="shared" si="3"/>
        <v>6698100</v>
      </c>
    </row>
    <row r="821">
      <c r="A821" s="6" t="s">
        <v>1645</v>
      </c>
      <c r="B821" s="7" t="str">
        <f>HYPERLINK("https://shopee.co.id/Luxcrime-Venus-Serum-Hydrating-Glowing-i.3278276.1819072253", "https://shopee.co.id/Luxcrime-Venus-Serum-Hydrating-Glowing-i.3278276.1819072253")</f>
        <v>https://shopee.co.id/Luxcrime-Venus-Serum-Hydrating-Glowing-i.3278276.1819072253</v>
      </c>
      <c r="C821" s="6" t="s">
        <v>1646</v>
      </c>
      <c r="D821" s="6" t="s">
        <v>1647</v>
      </c>
      <c r="E821" s="6" t="s">
        <v>12</v>
      </c>
      <c r="F821" s="6" t="s">
        <v>13</v>
      </c>
      <c r="G821" s="6" t="s">
        <v>98</v>
      </c>
      <c r="H821" s="8" t="s">
        <v>1637</v>
      </c>
      <c r="I821" s="9">
        <v>6171000.0</v>
      </c>
      <c r="J821" s="5" t="str">
        <f t="shared" ref="J821:K821" si="821">SUBSTITUTE(H821, ",", "")</f>
        <v>43</v>
      </c>
      <c r="K821" s="5" t="str">
        <f t="shared" si="821"/>
        <v>Rp6171000</v>
      </c>
      <c r="L821" s="5" t="str">
        <f t="shared" si="3"/>
        <v>6171000</v>
      </c>
    </row>
    <row r="822">
      <c r="A822" s="6" t="s">
        <v>1648</v>
      </c>
      <c r="B822" s="7" t="str">
        <f>HYPERLINK("https://shopee.co.id/Jarkeen-Bundling-Porcelain-Skin-Technology-Series-i.147936010.4333278266", "https://shopee.co.id/Jarkeen-Bundling-Porcelain-Skin-Technology-Series-i.147936010.4333278266")</f>
        <v>https://shopee.co.id/Jarkeen-Bundling-Porcelain-Skin-Technology-Series-i.147936010.4333278266</v>
      </c>
      <c r="C822" s="6" t="s">
        <v>738</v>
      </c>
      <c r="D822" s="6" t="s">
        <v>739</v>
      </c>
      <c r="E822" s="6" t="s">
        <v>12</v>
      </c>
      <c r="F822" s="6" t="s">
        <v>13</v>
      </c>
      <c r="G822" s="6" t="s">
        <v>241</v>
      </c>
      <c r="H822" s="8" t="s">
        <v>1637</v>
      </c>
      <c r="I822" s="9">
        <v>3827000.0</v>
      </c>
      <c r="J822" s="5" t="str">
        <f t="shared" ref="J822:K822" si="822">SUBSTITUTE(H822, ",", "")</f>
        <v>43</v>
      </c>
      <c r="K822" s="5" t="str">
        <f t="shared" si="822"/>
        <v>Rp3827000</v>
      </c>
      <c r="L822" s="5" t="str">
        <f t="shared" si="3"/>
        <v>3827000</v>
      </c>
    </row>
    <row r="823">
      <c r="A823" s="6" t="s">
        <v>1649</v>
      </c>
      <c r="B823" s="7" t="str">
        <f>HYPERLINK("https://shopee.co.id/I-Trust-Nature-Licorice-Serum-Soothing-Brightening-i.221165911.6419859793", "https://shopee.co.id/I-Trust-Nature-Licorice-Serum-Soothing-Brightening-i.221165911.6419859793")</f>
        <v>https://shopee.co.id/I-Trust-Nature-Licorice-Serum-Soothing-Brightening-i.221165911.6419859793</v>
      </c>
      <c r="C823" s="6" t="s">
        <v>1650</v>
      </c>
      <c r="D823" s="6" t="s">
        <v>1651</v>
      </c>
      <c r="E823" s="6" t="s">
        <v>12</v>
      </c>
      <c r="F823" s="6" t="s">
        <v>13</v>
      </c>
      <c r="G823" s="6" t="s">
        <v>36</v>
      </c>
      <c r="H823" s="8" t="s">
        <v>1652</v>
      </c>
      <c r="I823" s="9">
        <v>4605300.0</v>
      </c>
      <c r="J823" s="5" t="str">
        <f t="shared" ref="J823:K823" si="823">SUBSTITUTE(H823, ",", "")</f>
        <v>42</v>
      </c>
      <c r="K823" s="5" t="str">
        <f t="shared" si="823"/>
        <v>Rp4605300</v>
      </c>
      <c r="L823" s="5" t="str">
        <f t="shared" si="3"/>
        <v>4605300</v>
      </c>
    </row>
    <row r="824">
      <c r="A824" s="6" t="s">
        <v>1653</v>
      </c>
      <c r="B824" s="7" t="str">
        <f>HYPERLINK("https://shopee.co.id/Ella-Skincare-Glass-Skin-Rice-Bran-Essence-i.95154428.1913299872", "https://shopee.co.id/Ella-Skincare-Glass-Skin-Rice-Bran-Essence-i.95154428.1913299872")</f>
        <v>https://shopee.co.id/Ella-Skincare-Glass-Skin-Rice-Bran-Essence-i.95154428.1913299872</v>
      </c>
      <c r="C824" s="6" t="s">
        <v>700</v>
      </c>
      <c r="D824" s="6" t="s">
        <v>598</v>
      </c>
      <c r="E824" s="6" t="s">
        <v>12</v>
      </c>
      <c r="F824" s="6" t="s">
        <v>13</v>
      </c>
      <c r="G824" s="6" t="s">
        <v>409</v>
      </c>
      <c r="H824" s="8" t="s">
        <v>1652</v>
      </c>
      <c r="I824" s="9">
        <v>1680000.0</v>
      </c>
      <c r="J824" s="5" t="str">
        <f t="shared" ref="J824:K824" si="824">SUBSTITUTE(H824, ",", "")</f>
        <v>42</v>
      </c>
      <c r="K824" s="5" t="str">
        <f t="shared" si="824"/>
        <v>Rp1680000</v>
      </c>
      <c r="L824" s="5" t="str">
        <f t="shared" si="3"/>
        <v>1680000</v>
      </c>
    </row>
    <row r="825">
      <c r="A825" s="6" t="s">
        <v>1654</v>
      </c>
      <c r="B825" s="7" t="str">
        <f>HYPERLINK("https://shopee.co.id/NACIFIC-Day-and-Night-Set-i.238604292.6680337872", "https://shopee.co.id/NACIFIC-Day-and-Night-Set-i.238604292.6680337872")</f>
        <v>https://shopee.co.id/NACIFIC-Day-and-Night-Set-i.238604292.6680337872</v>
      </c>
      <c r="C825" s="6" t="s">
        <v>344</v>
      </c>
      <c r="D825" s="6" t="s">
        <v>918</v>
      </c>
      <c r="E825" s="6" t="s">
        <v>12</v>
      </c>
      <c r="F825" s="6" t="s">
        <v>13</v>
      </c>
      <c r="G825" s="6" t="s">
        <v>80</v>
      </c>
      <c r="H825" s="8" t="s">
        <v>1652</v>
      </c>
      <c r="I825" s="9">
        <v>4414500.0</v>
      </c>
      <c r="J825" s="5" t="str">
        <f t="shared" ref="J825:K825" si="825">SUBSTITUTE(H825, ",", "")</f>
        <v>42</v>
      </c>
      <c r="K825" s="5" t="str">
        <f t="shared" si="825"/>
        <v>Rp4414500</v>
      </c>
      <c r="L825" s="5" t="str">
        <f t="shared" si="3"/>
        <v>4414500</v>
      </c>
    </row>
    <row r="826">
      <c r="A826" s="6" t="s">
        <v>1655</v>
      </c>
      <c r="B826" s="7" t="str">
        <f>HYPERLINK("https://shopee.co.id/Nacific-Phyto-Niacin-Whitening-Essence-50ml-i.270965687.6337716678", "https://shopee.co.id/Nacific-Phyto-Niacin-Whitening-Essence-50ml-i.270965687.6337716678")</f>
        <v>https://shopee.co.id/Nacific-Phyto-Niacin-Whitening-Essence-50ml-i.270965687.6337716678</v>
      </c>
      <c r="C826" s="6" t="s">
        <v>344</v>
      </c>
      <c r="D826" s="6" t="s">
        <v>379</v>
      </c>
      <c r="E826" s="6" t="s">
        <v>12</v>
      </c>
      <c r="F826" s="6" t="s">
        <v>13</v>
      </c>
      <c r="G826" s="6" t="s">
        <v>380</v>
      </c>
      <c r="H826" s="8" t="s">
        <v>1652</v>
      </c>
      <c r="I826" s="9">
        <v>4638000.0</v>
      </c>
      <c r="J826" s="5" t="str">
        <f t="shared" ref="J826:K826" si="826">SUBSTITUTE(H826, ",", "")</f>
        <v>42</v>
      </c>
      <c r="K826" s="5" t="str">
        <f t="shared" si="826"/>
        <v>Rp4638000</v>
      </c>
      <c r="L826" s="5" t="str">
        <f t="shared" si="3"/>
        <v>4638000</v>
      </c>
    </row>
    <row r="827">
      <c r="A827" s="6" t="s">
        <v>1656</v>
      </c>
      <c r="B827" s="7" t="str">
        <f>HYPERLINK("https://shopee.co.id/NEUTROGENA-Hydro-Boost-Capsule-in-Serum-Perawatan-Wajah-30ml-i.50708029.6242963632", "https://shopee.co.id/NEUTROGENA-Hydro-Boost-Capsule-in-Serum-Perawatan-Wajah-30ml-i.50708029.6242963632")</f>
        <v>https://shopee.co.id/NEUTROGENA-Hydro-Boost-Capsule-in-Serum-Perawatan-Wajah-30ml-i.50708029.6242963632</v>
      </c>
      <c r="C827" s="6" t="s">
        <v>1499</v>
      </c>
      <c r="D827" s="6" t="s">
        <v>1500</v>
      </c>
      <c r="E827" s="6" t="s">
        <v>12</v>
      </c>
      <c r="F827" s="6" t="s">
        <v>13</v>
      </c>
      <c r="G827" s="6" t="s">
        <v>296</v>
      </c>
      <c r="H827" s="8" t="s">
        <v>1652</v>
      </c>
      <c r="I827" s="9">
        <v>5960300.0</v>
      </c>
      <c r="J827" s="5" t="str">
        <f t="shared" ref="J827:K827" si="827">SUBSTITUTE(H827, ",", "")</f>
        <v>42</v>
      </c>
      <c r="K827" s="5" t="str">
        <f t="shared" si="827"/>
        <v>Rp5960300</v>
      </c>
      <c r="L827" s="5" t="str">
        <f t="shared" si="3"/>
        <v>5960300</v>
      </c>
    </row>
    <row r="828">
      <c r="A828" s="6" t="s">
        <v>1657</v>
      </c>
      <c r="B828" s="7" t="str">
        <f>HYPERLINK("https://shopee.co.id/Iunik-Propolis-Vitamin-Synergy-Serum-50ml-i.270765534.7948917113", "https://shopee.co.id/Iunik-Propolis-Vitamin-Synergy-Serum-50ml-i.270765534.7948917113")</f>
        <v>https://shopee.co.id/Iunik-Propolis-Vitamin-Synergy-Serum-50ml-i.270765534.7948917113</v>
      </c>
      <c r="C828" s="6" t="s">
        <v>1658</v>
      </c>
      <c r="D828" s="6" t="s">
        <v>1659</v>
      </c>
      <c r="E828" s="6" t="s">
        <v>12</v>
      </c>
      <c r="F828" s="6" t="s">
        <v>13</v>
      </c>
      <c r="G828" s="6" t="s">
        <v>21</v>
      </c>
      <c r="H828" s="8" t="s">
        <v>1652</v>
      </c>
      <c r="I828" s="9">
        <v>1278400.0</v>
      </c>
      <c r="J828" s="5" t="str">
        <f t="shared" ref="J828:K828" si="828">SUBSTITUTE(H828, ",", "")</f>
        <v>42</v>
      </c>
      <c r="K828" s="5" t="str">
        <f t="shared" si="828"/>
        <v>Rp1278400</v>
      </c>
      <c r="L828" s="5" t="str">
        <f t="shared" si="3"/>
        <v>1278400</v>
      </c>
    </row>
    <row r="829">
      <c r="A829" s="6" t="s">
        <v>1660</v>
      </c>
      <c r="B829" s="7" t="str">
        <f>HYPERLINK("https://shopee.co.id/ZUZU-Brightening-Serum-i.400583963.4481452168", "https://shopee.co.id/ZUZU-Brightening-Serum-i.400583963.4481452168")</f>
        <v>https://shopee.co.id/ZUZU-Brightening-Serum-i.400583963.4481452168</v>
      </c>
      <c r="C829" s="6" t="s">
        <v>1661</v>
      </c>
      <c r="D829" s="6" t="s">
        <v>1662</v>
      </c>
      <c r="E829" s="6" t="s">
        <v>12</v>
      </c>
      <c r="F829" s="6" t="s">
        <v>13</v>
      </c>
      <c r="G829" s="6" t="s">
        <v>98</v>
      </c>
      <c r="H829" s="8" t="s">
        <v>1652</v>
      </c>
      <c r="I829" s="9">
        <v>6258000.0</v>
      </c>
      <c r="J829" s="5" t="str">
        <f t="shared" ref="J829:K829" si="829">SUBSTITUTE(H829, ",", "")</f>
        <v>42</v>
      </c>
      <c r="K829" s="5" t="str">
        <f t="shared" si="829"/>
        <v>Rp6258000</v>
      </c>
      <c r="L829" s="5" t="str">
        <f t="shared" si="3"/>
        <v>6258000</v>
      </c>
    </row>
    <row r="830">
      <c r="A830" s="6" t="s">
        <v>1663</v>
      </c>
      <c r="B830" s="7" t="str">
        <f>HYPERLINK("https://shopee.co.id/Shiseido-Vital-Perfection-LiftDefine-Radiance-Serum-40ml-i.345419471.8432305764", "https://shopee.co.id/Shiseido-Vital-Perfection-LiftDefine-Radiance-Serum-40ml-i.345419471.8432305764")</f>
        <v>https://shopee.co.id/Shiseido-Vital-Perfection-LiftDefine-Radiance-Serum-40ml-i.345419471.8432305764</v>
      </c>
      <c r="C830" s="6" t="s">
        <v>868</v>
      </c>
      <c r="D830" s="6" t="s">
        <v>869</v>
      </c>
      <c r="E830" s="6" t="s">
        <v>12</v>
      </c>
      <c r="F830" s="6" t="s">
        <v>13</v>
      </c>
      <c r="G830" s="6" t="s">
        <v>130</v>
      </c>
      <c r="H830" s="8" t="s">
        <v>1652</v>
      </c>
      <c r="I830" s="9">
        <v>1.484922E7</v>
      </c>
      <c r="J830" s="5" t="str">
        <f t="shared" ref="J830:K830" si="830">SUBSTITUTE(H830, ",", "")</f>
        <v>42</v>
      </c>
      <c r="K830" s="5" t="str">
        <f t="shared" si="830"/>
        <v>Rp14849220</v>
      </c>
      <c r="L830" s="5" t="str">
        <f t="shared" si="3"/>
        <v>14849220</v>
      </c>
    </row>
    <row r="831">
      <c r="A831" s="6" t="s">
        <v>1664</v>
      </c>
      <c r="B831" s="7" t="str">
        <f>HYPERLINK("https://shopee.co.id/Moriganic-Sunflower-Oil-Serum-Sun-Flower-30ml-BPOM-i.160415531.2622220420", "https://shopee.co.id/Moriganic-Sunflower-Oil-Serum-Sun-Flower-30ml-BPOM-i.160415531.2622220420")</f>
        <v>https://shopee.co.id/Moriganic-Sunflower-Oil-Serum-Sun-Flower-30ml-BPOM-i.160415531.2622220420</v>
      </c>
      <c r="C831" s="6" t="s">
        <v>1665</v>
      </c>
      <c r="D831" s="6" t="s">
        <v>1422</v>
      </c>
      <c r="E831" s="6" t="s">
        <v>12</v>
      </c>
      <c r="F831" s="6" t="s">
        <v>13</v>
      </c>
      <c r="G831" s="6" t="s">
        <v>21</v>
      </c>
      <c r="H831" s="8" t="s">
        <v>1666</v>
      </c>
      <c r="I831" s="9">
        <v>1.8542E7</v>
      </c>
      <c r="J831" s="5" t="str">
        <f t="shared" ref="J831:K831" si="831">SUBSTITUTE(H831, ",", "")</f>
        <v>41</v>
      </c>
      <c r="K831" s="5" t="str">
        <f t="shared" si="831"/>
        <v>Rp18542000</v>
      </c>
      <c r="L831" s="5" t="str">
        <f t="shared" si="3"/>
        <v>18542000</v>
      </c>
    </row>
    <row r="832">
      <c r="A832" s="6" t="s">
        <v>1667</v>
      </c>
      <c r="B832" s="7" t="str">
        <f>HYPERLINK("https://shopee.co.id/Roro-Mendut-Temulawak-Pore-Control-Serum-i.87869551.4267757677", "https://shopee.co.id/Roro-Mendut-Temulawak-Pore-Control-Serum-i.87869551.4267757677")</f>
        <v>https://shopee.co.id/Roro-Mendut-Temulawak-Pore-Control-Serum-i.87869551.4267757677</v>
      </c>
      <c r="C832" s="6" t="s">
        <v>1526</v>
      </c>
      <c r="D832" s="6" t="s">
        <v>1527</v>
      </c>
      <c r="E832" s="6" t="s">
        <v>12</v>
      </c>
      <c r="F832" s="6" t="s">
        <v>13</v>
      </c>
      <c r="G832" s="6" t="s">
        <v>380</v>
      </c>
      <c r="H832" s="8" t="s">
        <v>1666</v>
      </c>
      <c r="I832" s="9">
        <v>4514235.0</v>
      </c>
      <c r="J832" s="5" t="str">
        <f t="shared" ref="J832:K832" si="832">SUBSTITUTE(H832, ",", "")</f>
        <v>41</v>
      </c>
      <c r="K832" s="5" t="str">
        <f t="shared" si="832"/>
        <v>Rp4514235</v>
      </c>
      <c r="L832" s="5" t="str">
        <f t="shared" si="3"/>
        <v>4514235</v>
      </c>
    </row>
    <row r="833">
      <c r="A833" s="6" t="s">
        <v>1668</v>
      </c>
      <c r="B833" s="7" t="str">
        <f>HYPERLINK("https://shopee.co.id/YU-CHUN-MEI-Cordyceps-Serum-Whitening-Essence-30ml-i.230677444.5917849290", "https://shopee.co.id/YU-CHUN-MEI-Cordyceps-Serum-Whitening-Essence-30ml-i.230677444.5917849290")</f>
        <v>https://shopee.co.id/YU-CHUN-MEI-Cordyceps-Serum-Whitening-Essence-30ml-i.230677444.5917849290</v>
      </c>
      <c r="C833" s="6" t="s">
        <v>1669</v>
      </c>
      <c r="D833" s="6" t="s">
        <v>1670</v>
      </c>
      <c r="E833" s="6" t="s">
        <v>12</v>
      </c>
      <c r="F833" s="6" t="s">
        <v>13</v>
      </c>
      <c r="G833" s="6" t="s">
        <v>61</v>
      </c>
      <c r="H833" s="8" t="s">
        <v>1666</v>
      </c>
      <c r="I833" s="9">
        <v>8219980.0</v>
      </c>
      <c r="J833" s="5" t="str">
        <f t="shared" ref="J833:K833" si="833">SUBSTITUTE(H833, ",", "")</f>
        <v>41</v>
      </c>
      <c r="K833" s="5" t="str">
        <f t="shared" si="833"/>
        <v>Rp8219980</v>
      </c>
      <c r="L833" s="5" t="str">
        <f t="shared" si="3"/>
        <v>8219980</v>
      </c>
    </row>
    <row r="834">
      <c r="A834" s="6" t="s">
        <v>1671</v>
      </c>
      <c r="B834" s="7" t="str">
        <f>HYPERLINK("https://shopee.co.id/Yves-Rocher-White-Botanical-Youth-Essence-Anti-Dark-Spot-30-ML-i.70687187.4101474101", "https://shopee.co.id/Yves-Rocher-White-Botanical-Youth-Essence-Anti-Dark-Spot-30-ML-i.70687187.4101474101")</f>
        <v>https://shopee.co.id/Yves-Rocher-White-Botanical-Youth-Essence-Anti-Dark-Spot-30-ML-i.70687187.4101474101</v>
      </c>
      <c r="C834" s="6" t="s">
        <v>1672</v>
      </c>
      <c r="D834" s="6" t="s">
        <v>1673</v>
      </c>
      <c r="E834" s="6" t="s">
        <v>12</v>
      </c>
      <c r="F834" s="6" t="s">
        <v>13</v>
      </c>
      <c r="G834" s="6" t="s">
        <v>61</v>
      </c>
      <c r="H834" s="8" t="s">
        <v>1666</v>
      </c>
      <c r="I834" s="9">
        <v>3644550.0</v>
      </c>
      <c r="J834" s="5" t="str">
        <f t="shared" ref="J834:K834" si="834">SUBSTITUTE(H834, ",", "")</f>
        <v>41</v>
      </c>
      <c r="K834" s="5" t="str">
        <f t="shared" si="834"/>
        <v>Rp3644550</v>
      </c>
      <c r="L834" s="5" t="str">
        <f t="shared" si="3"/>
        <v>3644550</v>
      </c>
    </row>
    <row r="835">
      <c r="A835" s="6" t="s">
        <v>1674</v>
      </c>
      <c r="B835" s="7" t="str">
        <f>HYPERLINK("https://shopee.co.id/Dear-Me-Beauty-10-Lactobionic-Acid-PHA-Lime-Extract-Face-Serum-32ml-i.45495764.9848394553", "https://shopee.co.id/Dear-Me-Beauty-10-Lactobionic-Acid-PHA-Lime-Extract-Face-Serum-32ml-i.45495764.9848394553")</f>
        <v>https://shopee.co.id/Dear-Me-Beauty-10-Lactobionic-Acid-PHA-Lime-Extract-Face-Serum-32ml-i.45495764.9848394553</v>
      </c>
      <c r="C835" s="6" t="s">
        <v>70</v>
      </c>
      <c r="D835" s="6" t="s">
        <v>71</v>
      </c>
      <c r="E835" s="6" t="s">
        <v>12</v>
      </c>
      <c r="F835" s="6" t="s">
        <v>13</v>
      </c>
      <c r="G835" s="6" t="s">
        <v>61</v>
      </c>
      <c r="H835" s="8" t="s">
        <v>1666</v>
      </c>
      <c r="I835" s="9">
        <v>4634477.0</v>
      </c>
      <c r="J835" s="5" t="str">
        <f t="shared" ref="J835:K835" si="835">SUBSTITUTE(H835, ",", "")</f>
        <v>41</v>
      </c>
      <c r="K835" s="5" t="str">
        <f t="shared" si="835"/>
        <v>Rp4634477</v>
      </c>
      <c r="L835" s="5" t="str">
        <f t="shared" si="3"/>
        <v>4634477</v>
      </c>
    </row>
    <row r="836">
      <c r="A836" s="6" t="s">
        <v>1675</v>
      </c>
      <c r="B836" s="7" t="str">
        <f>HYPERLINK("https://shopee.co.id/Nacific-Real-Floral-Calendula-Essence-50g--i.238379974.8670034410", "https://shopee.co.id/Nacific-Real-Floral-Calendula-Essence-50g--i.238379974.8670034410")</f>
        <v>https://shopee.co.id/Nacific-Real-Floral-Calendula-Essence-50g--i.238379974.8670034410</v>
      </c>
      <c r="C836" s="6" t="s">
        <v>344</v>
      </c>
      <c r="D836" s="6" t="s">
        <v>345</v>
      </c>
      <c r="E836" s="6" t="s">
        <v>12</v>
      </c>
      <c r="F836" s="6" t="s">
        <v>13</v>
      </c>
      <c r="G836" s="6" t="s">
        <v>130</v>
      </c>
      <c r="H836" s="8" t="s">
        <v>1666</v>
      </c>
      <c r="I836" s="9">
        <v>2.9889E7</v>
      </c>
      <c r="J836" s="5" t="str">
        <f t="shared" ref="J836:K836" si="836">SUBSTITUTE(H836, ",", "")</f>
        <v>41</v>
      </c>
      <c r="K836" s="5" t="str">
        <f t="shared" si="836"/>
        <v>Rp29889000</v>
      </c>
      <c r="L836" s="5" t="str">
        <f t="shared" si="3"/>
        <v>29889000</v>
      </c>
    </row>
    <row r="837">
      <c r="A837" s="6" t="s">
        <v>1676</v>
      </c>
      <c r="B837" s="7" t="str">
        <f>HYPERLINK("https://shopee.co.id/ERTOS-Niacinamide-Plus-With-Aloevera-BPOM-ORIGINAL-i.23831802.9113905442", "https://shopee.co.id/ERTOS-Niacinamide-Plus-With-Aloevera-BPOM-ORIGINAL-i.23831802.9113905442")</f>
        <v>https://shopee.co.id/ERTOS-Niacinamide-Plus-With-Aloevera-BPOM-ORIGINAL-i.23831802.9113905442</v>
      </c>
      <c r="C837" s="6" t="s">
        <v>467</v>
      </c>
      <c r="D837" s="6" t="s">
        <v>1084</v>
      </c>
      <c r="E837" s="6" t="s">
        <v>12</v>
      </c>
      <c r="F837" s="6" t="s">
        <v>13</v>
      </c>
      <c r="G837" s="6" t="s">
        <v>1085</v>
      </c>
      <c r="H837" s="8" t="s">
        <v>1666</v>
      </c>
      <c r="I837" s="9">
        <v>1.47454E7</v>
      </c>
      <c r="J837" s="5" t="str">
        <f t="shared" ref="J837:K837" si="837">SUBSTITUTE(H837, ",", "")</f>
        <v>41</v>
      </c>
      <c r="K837" s="5" t="str">
        <f t="shared" si="837"/>
        <v>Rp14745400</v>
      </c>
      <c r="L837" s="5" t="str">
        <f t="shared" si="3"/>
        <v>14745400</v>
      </c>
    </row>
    <row r="838">
      <c r="A838" s="6" t="s">
        <v>1177</v>
      </c>
      <c r="B838" s="7" t="str">
        <f>HYPERLINK("https://shopee.co.id/Sulwhasoo-First-Care-Activating-Serum-60ml-i.274949344.8607362601", "https://shopee.co.id/Sulwhasoo-First-Care-Activating-Serum-60ml-i.274949344.8607362601")</f>
        <v>https://shopee.co.id/Sulwhasoo-First-Care-Activating-Serum-60ml-i.274949344.8607362601</v>
      </c>
      <c r="C838" s="6" t="s">
        <v>282</v>
      </c>
      <c r="D838" s="6" t="s">
        <v>283</v>
      </c>
      <c r="E838" s="6" t="s">
        <v>12</v>
      </c>
      <c r="F838" s="6" t="s">
        <v>13</v>
      </c>
      <c r="G838" s="6" t="s">
        <v>61</v>
      </c>
      <c r="H838" s="8" t="s">
        <v>1677</v>
      </c>
      <c r="I838" s="9">
        <v>1900000.0</v>
      </c>
      <c r="J838" s="5" t="str">
        <f t="shared" ref="J838:K838" si="838">SUBSTITUTE(H838, ",", "")</f>
        <v>40</v>
      </c>
      <c r="K838" s="5" t="str">
        <f t="shared" si="838"/>
        <v>Rp1900000</v>
      </c>
      <c r="L838" s="5" t="str">
        <f t="shared" si="3"/>
        <v>1900000</v>
      </c>
    </row>
    <row r="839">
      <c r="A839" s="6" t="s">
        <v>1678</v>
      </c>
      <c r="B839" s="7" t="str">
        <f>HYPERLINK("https://shopee.co.id/SECA-ALPHA-ARBUTIN-3-Serum-i.373749700.5393261970", "https://shopee.co.id/SECA-ALPHA-ARBUTIN-3-Serum-i.373749700.5393261970")</f>
        <v>https://shopee.co.id/SECA-ALPHA-ARBUTIN-3-Serum-i.373749700.5393261970</v>
      </c>
      <c r="C839" s="6" t="s">
        <v>1359</v>
      </c>
      <c r="D839" s="6" t="s">
        <v>986</v>
      </c>
      <c r="E839" s="6" t="s">
        <v>12</v>
      </c>
      <c r="F839" s="6" t="s">
        <v>13</v>
      </c>
      <c r="G839" s="6" t="s">
        <v>36</v>
      </c>
      <c r="H839" s="8" t="s">
        <v>1677</v>
      </c>
      <c r="I839" s="9">
        <v>6744800.0</v>
      </c>
      <c r="J839" s="5" t="str">
        <f t="shared" ref="J839:K839" si="839">SUBSTITUTE(H839, ",", "")</f>
        <v>40</v>
      </c>
      <c r="K839" s="5" t="str">
        <f t="shared" si="839"/>
        <v>Rp6744800</v>
      </c>
      <c r="L839" s="5" t="str">
        <f t="shared" si="3"/>
        <v>6744800</v>
      </c>
    </row>
    <row r="840">
      <c r="A840" s="6" t="s">
        <v>1679</v>
      </c>
      <c r="B840" s="7" t="str">
        <f>HYPERLINK("https://shopee.co.id/SOMETHINC-5-Niacinamide-Moisture-Sabi-Beet-Serum-40ml-5-sabi--i.68111.7377432234", "https://shopee.co.id/SOMETHINC-5-Niacinamide-Moisture-Sabi-Beet-Serum-40ml-5-sabi--i.68111.7377432234")</f>
        <v>https://shopee.co.id/SOMETHINC-5-Niacinamide-Moisture-Sabi-Beet-Serum-40ml-5-sabi--i.68111.7377432234</v>
      </c>
      <c r="C840" s="6" t="s">
        <v>45</v>
      </c>
      <c r="D840" s="6" t="s">
        <v>441</v>
      </c>
      <c r="E840" s="6" t="s">
        <v>12</v>
      </c>
      <c r="F840" s="6" t="s">
        <v>13</v>
      </c>
      <c r="G840" s="6" t="s">
        <v>130</v>
      </c>
      <c r="H840" s="8" t="s">
        <v>1677</v>
      </c>
      <c r="I840" s="9">
        <v>8088029.0</v>
      </c>
      <c r="J840" s="5" t="str">
        <f t="shared" ref="J840:K840" si="840">SUBSTITUTE(H840, ",", "")</f>
        <v>40</v>
      </c>
      <c r="K840" s="5" t="str">
        <f t="shared" si="840"/>
        <v>Rp8088029</v>
      </c>
      <c r="L840" s="5" t="str">
        <f t="shared" si="3"/>
        <v>8088029</v>
      </c>
    </row>
    <row r="841">
      <c r="A841" s="6" t="s">
        <v>1680</v>
      </c>
      <c r="B841" s="7" t="str">
        <f>HYPERLINK("https://shopee.co.id/Votre-Peau-Skin-Care-Bright-Clear-Package-i.46300234.3173903868", "https://shopee.co.id/Votre-Peau-Skin-Care-Bright-Clear-Package-i.46300234.3173903868")</f>
        <v>https://shopee.co.id/Votre-Peau-Skin-Care-Bright-Clear-Package-i.46300234.3173903868</v>
      </c>
      <c r="C841" s="6" t="s">
        <v>999</v>
      </c>
      <c r="D841" s="6" t="s">
        <v>472</v>
      </c>
      <c r="E841" s="6" t="s">
        <v>12</v>
      </c>
      <c r="F841" s="6" t="s">
        <v>13</v>
      </c>
      <c r="G841" s="6" t="s">
        <v>98</v>
      </c>
      <c r="H841" s="8" t="s">
        <v>1677</v>
      </c>
      <c r="I841" s="9">
        <v>2019600.0</v>
      </c>
      <c r="J841" s="5" t="str">
        <f t="shared" ref="J841:K841" si="841">SUBSTITUTE(H841, ",", "")</f>
        <v>40</v>
      </c>
      <c r="K841" s="5" t="str">
        <f t="shared" si="841"/>
        <v>Rp2019600</v>
      </c>
      <c r="L841" s="5" t="str">
        <f t="shared" si="3"/>
        <v>2019600</v>
      </c>
    </row>
    <row r="842">
      <c r="A842" s="6" t="s">
        <v>1681</v>
      </c>
      <c r="B842" s="7" t="str">
        <f>HYPERLINK("https://shopee.co.id/-Buy-1-Get-1-Bio-Essence-Bio-Gold-Gold-Water-100-Ml-i.63822287.3366720284", "https://shopee.co.id/-Buy-1-Get-1-Bio-Essence-Bio-Gold-Gold-Water-100-Ml-i.63822287.3366720284")</f>
        <v>https://shopee.co.id/-Buy-1-Get-1-Bio-Essence-Bio-Gold-Gold-Water-100-Ml-i.63822287.3366720284</v>
      </c>
      <c r="C842" s="6" t="s">
        <v>834</v>
      </c>
      <c r="D842" s="6" t="s">
        <v>835</v>
      </c>
      <c r="E842" s="6" t="s">
        <v>12</v>
      </c>
      <c r="F842" s="6" t="s">
        <v>13</v>
      </c>
      <c r="G842" s="6" t="s">
        <v>61</v>
      </c>
      <c r="H842" s="8" t="s">
        <v>1677</v>
      </c>
      <c r="I842" s="9">
        <v>6400000.0</v>
      </c>
      <c r="J842" s="5" t="str">
        <f t="shared" ref="J842:K842" si="842">SUBSTITUTE(H842, ",", "")</f>
        <v>40</v>
      </c>
      <c r="K842" s="5" t="str">
        <f t="shared" si="842"/>
        <v>Rp6400000</v>
      </c>
      <c r="L842" s="5" t="str">
        <f t="shared" si="3"/>
        <v>6400000</v>
      </c>
    </row>
    <row r="843">
      <c r="A843" s="6" t="s">
        <v>1682</v>
      </c>
      <c r="B843" s="7" t="str">
        <f>HYPERLINK("https://shopee.co.id/Frudia-Pomegranate-Nutri-Moisturizing-Serum-FREE-Frudia-Pouch-Garis-Vertikal-i.98124209.1610700520", "https://shopee.co.id/Frudia-Pomegranate-Nutri-Moisturizing-Serum-FREE-Frudia-Pouch-Garis-Vertikal-i.98124209.1610700520")</f>
        <v>https://shopee.co.id/Frudia-Pomegranate-Nutri-Moisturizing-Serum-FREE-Frudia-Pouch-Garis-Vertikal-i.98124209.1610700520</v>
      </c>
      <c r="C843" s="6" t="s">
        <v>790</v>
      </c>
      <c r="D843" s="6" t="s">
        <v>791</v>
      </c>
      <c r="E843" s="6" t="s">
        <v>12</v>
      </c>
      <c r="F843" s="6" t="s">
        <v>13</v>
      </c>
      <c r="G843" s="6" t="s">
        <v>85</v>
      </c>
      <c r="H843" s="8" t="s">
        <v>1677</v>
      </c>
      <c r="I843" s="9">
        <v>3800000.0</v>
      </c>
      <c r="J843" s="5" t="str">
        <f t="shared" ref="J843:K843" si="843">SUBSTITUTE(H843, ",", "")</f>
        <v>40</v>
      </c>
      <c r="K843" s="5" t="str">
        <f t="shared" si="843"/>
        <v>Rp3800000</v>
      </c>
      <c r="L843" s="5" t="str">
        <f t="shared" si="3"/>
        <v>3800000</v>
      </c>
    </row>
    <row r="844">
      <c r="A844" s="6" t="s">
        <v>1683</v>
      </c>
      <c r="B844" s="7" t="str">
        <f>HYPERLINK("https://shopee.co.id/Airnderm-Aesthetic-Premium-Vitamin-C-Serum-by-AIRIN-BEAUTY--i.112372548.2781872951", "https://shopee.co.id/Airnderm-Aesthetic-Premium-Vitamin-C-Serum-by-AIRIN-BEAUTY--i.112372548.2781872951")</f>
        <v>https://shopee.co.id/Airnderm-Aesthetic-Premium-Vitamin-C-Serum-by-AIRIN-BEAUTY--i.112372548.2781872951</v>
      </c>
      <c r="C844" s="6" t="s">
        <v>239</v>
      </c>
      <c r="D844" s="6" t="s">
        <v>240</v>
      </c>
      <c r="E844" s="6" t="s">
        <v>12</v>
      </c>
      <c r="F844" s="6" t="s">
        <v>13</v>
      </c>
      <c r="G844" s="6" t="s">
        <v>241</v>
      </c>
      <c r="H844" s="8" t="s">
        <v>1677</v>
      </c>
      <c r="I844" s="9">
        <v>4537000.0</v>
      </c>
      <c r="J844" s="5" t="str">
        <f t="shared" ref="J844:K844" si="844">SUBSTITUTE(H844, ",", "")</f>
        <v>40</v>
      </c>
      <c r="K844" s="5" t="str">
        <f t="shared" si="844"/>
        <v>Rp4537000</v>
      </c>
      <c r="L844" s="5" t="str">
        <f t="shared" si="3"/>
        <v>4537000</v>
      </c>
    </row>
    <row r="845">
      <c r="A845" s="6" t="s">
        <v>1684</v>
      </c>
      <c r="B845" s="7" t="str">
        <f>HYPERLINK("https://shopee.co.id/KANEBO-The-First-Serum-60ML-i.169111593.4801803781", "https://shopee.co.id/KANEBO-The-First-Serum-60ML-i.169111593.4801803781")</f>
        <v>https://shopee.co.id/KANEBO-The-First-Serum-60ML-i.169111593.4801803781</v>
      </c>
      <c r="C845" s="6" t="s">
        <v>1473</v>
      </c>
      <c r="D845" s="6" t="s">
        <v>1474</v>
      </c>
      <c r="E845" s="6" t="s">
        <v>12</v>
      </c>
      <c r="F845" s="6" t="s">
        <v>13</v>
      </c>
      <c r="G845" s="6" t="s">
        <v>532</v>
      </c>
      <c r="H845" s="8" t="s">
        <v>1685</v>
      </c>
      <c r="I845" s="9">
        <v>3416250.0</v>
      </c>
      <c r="J845" s="5" t="str">
        <f t="shared" ref="J845:K845" si="845">SUBSTITUTE(H845, ",", "")</f>
        <v>39</v>
      </c>
      <c r="K845" s="5" t="str">
        <f t="shared" si="845"/>
        <v>Rp3416250</v>
      </c>
      <c r="L845" s="5" t="str">
        <f t="shared" si="3"/>
        <v>3416250</v>
      </c>
    </row>
    <row r="846">
      <c r="A846" s="6" t="s">
        <v>1686</v>
      </c>
      <c r="B846" s="7" t="str">
        <f>HYPERLINK("https://shopee.co.id/-innisfree-Green-Tea-Seed-Serum-Bundle-i.61504589.7691561356", "https://shopee.co.id/-innisfree-Green-Tea-Seed-Serum-Bundle-i.61504589.7691561356")</f>
        <v>https://shopee.co.id/-innisfree-Green-Tea-Seed-Serum-Bundle-i.61504589.7691561356</v>
      </c>
      <c r="C846" s="6" t="s">
        <v>294</v>
      </c>
      <c r="D846" s="6" t="s">
        <v>295</v>
      </c>
      <c r="E846" s="6" t="s">
        <v>12</v>
      </c>
      <c r="F846" s="6" t="s">
        <v>13</v>
      </c>
      <c r="G846" s="6" t="s">
        <v>296</v>
      </c>
      <c r="H846" s="8" t="s">
        <v>1685</v>
      </c>
      <c r="I846" s="9">
        <v>5421000.0</v>
      </c>
      <c r="J846" s="5" t="str">
        <f t="shared" ref="J846:K846" si="846">SUBSTITUTE(H846, ",", "")</f>
        <v>39</v>
      </c>
      <c r="K846" s="5" t="str">
        <f t="shared" si="846"/>
        <v>Rp5421000</v>
      </c>
      <c r="L846" s="5" t="str">
        <f t="shared" si="3"/>
        <v>5421000</v>
      </c>
    </row>
    <row r="847">
      <c r="A847" s="6" t="s">
        <v>1687</v>
      </c>
      <c r="B847" s="7" t="str">
        <f>HYPERLINK("https://shopee.co.id/Bio-Essence-Rose-Gold-Water-Essence-30-ml-Perawatan-Wajah-Anti-Aging-i.63822287.2777201264", "https://shopee.co.id/Bio-Essence-Rose-Gold-Water-Essence-30-ml-Perawatan-Wajah-Anti-Aging-i.63822287.2777201264")</f>
        <v>https://shopee.co.id/Bio-Essence-Rose-Gold-Water-Essence-30-ml-Perawatan-Wajah-Anti-Aging-i.63822287.2777201264</v>
      </c>
      <c r="C847" s="6" t="s">
        <v>1688</v>
      </c>
      <c r="D847" s="6" t="s">
        <v>835</v>
      </c>
      <c r="E847" s="6" t="s">
        <v>12</v>
      </c>
      <c r="F847" s="6" t="s">
        <v>13</v>
      </c>
      <c r="G847" s="6" t="s">
        <v>61</v>
      </c>
      <c r="H847" s="8" t="s">
        <v>1685</v>
      </c>
      <c r="I847" s="9">
        <v>7416500.0</v>
      </c>
      <c r="J847" s="5" t="str">
        <f t="shared" ref="J847:K847" si="847">SUBSTITUTE(H847, ",", "")</f>
        <v>39</v>
      </c>
      <c r="K847" s="5" t="str">
        <f t="shared" si="847"/>
        <v>Rp7416500</v>
      </c>
      <c r="L847" s="5" t="str">
        <f t="shared" si="3"/>
        <v>7416500</v>
      </c>
    </row>
    <row r="848">
      <c r="A848" s="6" t="s">
        <v>1689</v>
      </c>
      <c r="B848" s="7" t="str">
        <f>HYPERLINK("https://shopee.co.id/Bioessence-Bio-White-Serum-Bio-White-Cleanser-i.63822287.4232969101", "https://shopee.co.id/Bioessence-Bio-White-Serum-Bio-White-Cleanser-i.63822287.4232969101")</f>
        <v>https://shopee.co.id/Bioessence-Bio-White-Serum-Bio-White-Cleanser-i.63822287.4232969101</v>
      </c>
      <c r="C848" s="6" t="s">
        <v>1254</v>
      </c>
      <c r="D848" s="6" t="s">
        <v>835</v>
      </c>
      <c r="E848" s="6" t="s">
        <v>12</v>
      </c>
      <c r="F848" s="6" t="s">
        <v>13</v>
      </c>
      <c r="G848" s="6" t="s">
        <v>61</v>
      </c>
      <c r="H848" s="8" t="s">
        <v>1685</v>
      </c>
      <c r="I848" s="9">
        <v>4504500.0</v>
      </c>
      <c r="J848" s="5" t="str">
        <f t="shared" ref="J848:K848" si="848">SUBSTITUTE(H848, ",", "")</f>
        <v>39</v>
      </c>
      <c r="K848" s="5" t="str">
        <f t="shared" si="848"/>
        <v>Rp4504500</v>
      </c>
      <c r="L848" s="5" t="str">
        <f t="shared" si="3"/>
        <v>4504500</v>
      </c>
    </row>
    <row r="849">
      <c r="A849" s="6" t="s">
        <v>1690</v>
      </c>
      <c r="B849" s="7" t="str">
        <f>HYPERLINK("https://shopee.co.id/Calysta-Serum-Whitening-i.3188555.8145905", "https://shopee.co.id/Calysta-Serum-Whitening-i.3188555.8145905")</f>
        <v>https://shopee.co.id/Calysta-Serum-Whitening-i.3188555.8145905</v>
      </c>
      <c r="C849" s="6" t="s">
        <v>1691</v>
      </c>
      <c r="D849" s="6" t="s">
        <v>1692</v>
      </c>
      <c r="E849" s="6" t="s">
        <v>12</v>
      </c>
      <c r="F849" s="6" t="s">
        <v>13</v>
      </c>
      <c r="G849" s="6" t="s">
        <v>241</v>
      </c>
      <c r="H849" s="8" t="s">
        <v>1685</v>
      </c>
      <c r="I849" s="9">
        <v>1950000.0</v>
      </c>
      <c r="J849" s="5" t="str">
        <f t="shared" ref="J849:K849" si="849">SUBSTITUTE(H849, ",", "")</f>
        <v>39</v>
      </c>
      <c r="K849" s="5" t="str">
        <f t="shared" si="849"/>
        <v>Rp1950000</v>
      </c>
      <c r="L849" s="5" t="str">
        <f t="shared" si="3"/>
        <v>1950000</v>
      </c>
    </row>
    <row r="850">
      <c r="A850" s="6" t="s">
        <v>1693</v>
      </c>
      <c r="B850" s="7" t="str">
        <f>HYPERLINK("https://shopee.co.id/D-alba-White-Truffle-First-Spray-Serum-100-ml-i.125116082.4378727765", "https://shopee.co.id/D-alba-White-Truffle-First-Spray-Serum-100-ml-i.125116082.4378727765")</f>
        <v>https://shopee.co.id/D-alba-White-Truffle-First-Spray-Serum-100-ml-i.125116082.4378727765</v>
      </c>
      <c r="C850" s="6" t="s">
        <v>1694</v>
      </c>
      <c r="D850" s="6" t="s">
        <v>713</v>
      </c>
      <c r="E850" s="6" t="s">
        <v>12</v>
      </c>
      <c r="F850" s="6" t="s">
        <v>13</v>
      </c>
      <c r="G850" s="6" t="s">
        <v>61</v>
      </c>
      <c r="H850" s="8" t="s">
        <v>1685</v>
      </c>
      <c r="I850" s="9">
        <v>2663000.0</v>
      </c>
      <c r="J850" s="5" t="str">
        <f t="shared" ref="J850:K850" si="850">SUBSTITUTE(H850, ",", "")</f>
        <v>39</v>
      </c>
      <c r="K850" s="5" t="str">
        <f t="shared" si="850"/>
        <v>Rp2663000</v>
      </c>
      <c r="L850" s="5" t="str">
        <f t="shared" si="3"/>
        <v>2663000</v>
      </c>
    </row>
    <row r="851">
      <c r="A851" s="6" t="s">
        <v>1695</v>
      </c>
      <c r="B851" s="7" t="str">
        <f>HYPERLINK("https://shopee.co.id/Crystallure-Supr-Revital-Oil-Serum-30ml-i.30736001.3736445942", "https://shopee.co.id/Crystallure-Supr-Revital-Oil-Serum-30ml-i.30736001.3736445942")</f>
        <v>https://shopee.co.id/Crystallure-Supr-Revital-Oil-Serum-30ml-i.30736001.3736445942</v>
      </c>
      <c r="C851" s="6" t="s">
        <v>1696</v>
      </c>
      <c r="D851" s="6" t="s">
        <v>335</v>
      </c>
      <c r="E851" s="6" t="s">
        <v>12</v>
      </c>
      <c r="F851" s="6" t="s">
        <v>13</v>
      </c>
      <c r="G851" s="6" t="s">
        <v>36</v>
      </c>
      <c r="H851" s="8" t="s">
        <v>1685</v>
      </c>
      <c r="I851" s="9">
        <v>1.11912E7</v>
      </c>
      <c r="J851" s="5" t="str">
        <f t="shared" ref="J851:K851" si="851">SUBSTITUTE(H851, ",", "")</f>
        <v>39</v>
      </c>
      <c r="K851" s="5" t="str">
        <f t="shared" si="851"/>
        <v>Rp11191200</v>
      </c>
      <c r="L851" s="5" t="str">
        <f t="shared" si="3"/>
        <v>11191200</v>
      </c>
    </row>
    <row r="852">
      <c r="A852" s="6" t="s">
        <v>1697</v>
      </c>
      <c r="B852" s="7" t="str">
        <f>HYPERLINK("https://shopee.co.id/Trueve-Serum-Niacinamide-10-Galactomyces-peptide-BHA-Cica-VitaminC-AHA-BHA-Eye-Gel-i.50948181.8358327841", "https://shopee.co.id/Trueve-Serum-Niacinamide-10-Galactomyces-peptide-BHA-Cica-VitaminC-AHA-BHA-Eye-Gel-i.50948181.8358327841")</f>
        <v>https://shopee.co.id/Trueve-Serum-Niacinamide-10-Galactomyces-peptide-BHA-Cica-VitaminC-AHA-BHA-Eye-Gel-i.50948181.8358327841</v>
      </c>
      <c r="C852" s="6" t="s">
        <v>34</v>
      </c>
      <c r="D852" s="6" t="s">
        <v>1129</v>
      </c>
      <c r="E852" s="6" t="s">
        <v>12</v>
      </c>
      <c r="F852" s="6" t="s">
        <v>13</v>
      </c>
      <c r="G852" s="6" t="s">
        <v>1130</v>
      </c>
      <c r="H852" s="8" t="s">
        <v>1685</v>
      </c>
      <c r="I852" s="9">
        <v>2158800.0</v>
      </c>
      <c r="J852" s="5" t="str">
        <f t="shared" ref="J852:K852" si="852">SUBSTITUTE(H852, ",", "")</f>
        <v>39</v>
      </c>
      <c r="K852" s="5" t="str">
        <f t="shared" si="852"/>
        <v>Rp2158800</v>
      </c>
      <c r="L852" s="5" t="str">
        <f t="shared" si="3"/>
        <v>2158800</v>
      </c>
    </row>
    <row r="853">
      <c r="A853" s="6" t="s">
        <v>1698</v>
      </c>
      <c r="B853" s="7" t="str">
        <f>HYPERLINK("https://shopee.co.id/MSBB-Somethinc-10-Niacinamide-Barrier-Serum-20Ml-i.288588702.8975260701", "https://shopee.co.id/MSBB-Somethinc-10-Niacinamide-Barrier-Serum-20Ml-i.288588702.8975260701")</f>
        <v>https://shopee.co.id/MSBB-Somethinc-10-Niacinamide-Barrier-Serum-20Ml-i.288588702.8975260701</v>
      </c>
      <c r="C853" s="6" t="s">
        <v>45</v>
      </c>
      <c r="D853" s="6" t="s">
        <v>79</v>
      </c>
      <c r="E853" s="6" t="s">
        <v>12</v>
      </c>
      <c r="F853" s="6" t="s">
        <v>13</v>
      </c>
      <c r="G853" s="6" t="s">
        <v>80</v>
      </c>
      <c r="H853" s="8" t="s">
        <v>1685</v>
      </c>
      <c r="I853" s="9">
        <v>6112730.0</v>
      </c>
      <c r="J853" s="5" t="str">
        <f t="shared" ref="J853:K853" si="853">SUBSTITUTE(H853, ",", "")</f>
        <v>39</v>
      </c>
      <c r="K853" s="5" t="str">
        <f t="shared" si="853"/>
        <v>Rp6112730</v>
      </c>
      <c r="L853" s="5" t="str">
        <f t="shared" si="3"/>
        <v>6112730</v>
      </c>
    </row>
    <row r="854">
      <c r="A854" s="6" t="s">
        <v>1699</v>
      </c>
      <c r="B854" s="7" t="str">
        <f>HYPERLINK("https://shopee.co.id/AXIS-Y-Artichoke-Intensive-Skin-Barrier-Ampoule-30ml-i.270965687.9987361014", "https://shopee.co.id/AXIS-Y-Artichoke-Intensive-Skin-Barrier-Ampoule-30ml-i.270965687.9987361014")</f>
        <v>https://shopee.co.id/AXIS-Y-Artichoke-Intensive-Skin-Barrier-Ampoule-30ml-i.270965687.9987361014</v>
      </c>
      <c r="C854" s="6" t="s">
        <v>710</v>
      </c>
      <c r="D854" s="6" t="s">
        <v>379</v>
      </c>
      <c r="E854" s="6" t="s">
        <v>12</v>
      </c>
      <c r="F854" s="6" t="s">
        <v>13</v>
      </c>
      <c r="G854" s="6" t="s">
        <v>380</v>
      </c>
      <c r="H854" s="8" t="s">
        <v>1685</v>
      </c>
      <c r="I854" s="9">
        <v>8850000.0</v>
      </c>
      <c r="J854" s="5" t="str">
        <f t="shared" ref="J854:K854" si="854">SUBSTITUTE(H854, ",", "")</f>
        <v>39</v>
      </c>
      <c r="K854" s="5" t="str">
        <f t="shared" si="854"/>
        <v>Rp8850000</v>
      </c>
      <c r="L854" s="5" t="str">
        <f t="shared" si="3"/>
        <v>8850000</v>
      </c>
    </row>
    <row r="855">
      <c r="A855" s="6" t="s">
        <v>1700</v>
      </c>
      <c r="B855" s="7" t="str">
        <f>HYPERLINK("https://shopee.co.id/Aizen-SymWhite-377-3-Ultra-Ampoule-Serum-Pemutih-Pencerah-Kulit-Wajah-i.89939211.8809167814", "https://shopee.co.id/Aizen-SymWhite-377-3-Ultra-Ampoule-Serum-Pemutih-Pencerah-Kulit-Wajah-i.89939211.8809167814")</f>
        <v>https://shopee.co.id/Aizen-SymWhite-377-3-Ultra-Ampoule-Serum-Pemutih-Pencerah-Kulit-Wajah-i.89939211.8809167814</v>
      </c>
      <c r="C855" s="6" t="s">
        <v>1325</v>
      </c>
      <c r="D855" s="6" t="s">
        <v>1326</v>
      </c>
      <c r="E855" s="6" t="s">
        <v>12</v>
      </c>
      <c r="F855" s="6" t="s">
        <v>13</v>
      </c>
      <c r="G855" s="6" t="s">
        <v>14</v>
      </c>
      <c r="H855" s="8" t="s">
        <v>1701</v>
      </c>
      <c r="I855" s="9">
        <v>1504200.0</v>
      </c>
      <c r="J855" s="5" t="str">
        <f t="shared" ref="J855:K855" si="855">SUBSTITUTE(H855, ",", "")</f>
        <v>38</v>
      </c>
      <c r="K855" s="5" t="str">
        <f t="shared" si="855"/>
        <v>Rp1504200</v>
      </c>
      <c r="L855" s="5" t="str">
        <f t="shared" si="3"/>
        <v>1504200</v>
      </c>
    </row>
    <row r="856">
      <c r="A856" s="6" t="s">
        <v>1702</v>
      </c>
      <c r="B856" s="7" t="str">
        <f>HYPERLINK("https://shopee.co.id/Safi-Age-Defy-Gold-Water-Essence-100ml-Twinpack-Special-i.63823668.8138754031", "https://shopee.co.id/Safi-Age-Defy-Gold-Water-Essence-100ml-Twinpack-Special-i.63823668.8138754031")</f>
        <v>https://shopee.co.id/Safi-Age-Defy-Gold-Water-Essence-100ml-Twinpack-Special-i.63823668.8138754031</v>
      </c>
      <c r="C856" s="6" t="s">
        <v>278</v>
      </c>
      <c r="D856" s="6" t="s">
        <v>279</v>
      </c>
      <c r="E856" s="6" t="s">
        <v>12</v>
      </c>
      <c r="F856" s="6" t="s">
        <v>13</v>
      </c>
      <c r="G856" s="6" t="s">
        <v>61</v>
      </c>
      <c r="H856" s="8" t="s">
        <v>1701</v>
      </c>
      <c r="I856" s="9">
        <v>5434600.0</v>
      </c>
      <c r="J856" s="5" t="str">
        <f t="shared" ref="J856:K856" si="856">SUBSTITUTE(H856, ",", "")</f>
        <v>38</v>
      </c>
      <c r="K856" s="5" t="str">
        <f t="shared" si="856"/>
        <v>Rp5434600</v>
      </c>
      <c r="L856" s="5" t="str">
        <f t="shared" si="3"/>
        <v>5434600</v>
      </c>
    </row>
    <row r="857">
      <c r="A857" s="6" t="s">
        <v>1703</v>
      </c>
      <c r="B857" s="7" t="str">
        <f>HYPERLINK("https://shopee.co.id/Real-White-AHA-BHA-Serum-i.349337394.7768902589", "https://shopee.co.id/Real-White-AHA-BHA-Serum-i.349337394.7768902589")</f>
        <v>https://shopee.co.id/Real-White-AHA-BHA-Serum-i.349337394.7768902589</v>
      </c>
      <c r="C857" s="6" t="s">
        <v>547</v>
      </c>
      <c r="D857" s="6" t="s">
        <v>548</v>
      </c>
      <c r="E857" s="6" t="s">
        <v>12</v>
      </c>
      <c r="F857" s="6" t="s">
        <v>13</v>
      </c>
      <c r="G857" s="6" t="s">
        <v>380</v>
      </c>
      <c r="H857" s="8" t="s">
        <v>1701</v>
      </c>
      <c r="I857" s="9">
        <v>1863750.0</v>
      </c>
      <c r="J857" s="5" t="str">
        <f t="shared" ref="J857:K857" si="857">SUBSTITUTE(H857, ",", "")</f>
        <v>38</v>
      </c>
      <c r="K857" s="5" t="str">
        <f t="shared" si="857"/>
        <v>Rp1863750</v>
      </c>
      <c r="L857" s="5" t="str">
        <f t="shared" si="3"/>
        <v>1863750</v>
      </c>
    </row>
    <row r="858">
      <c r="A858" s="6" t="s">
        <v>1704</v>
      </c>
      <c r="B858" s="7" t="str">
        <f>HYPERLINK("https://shopee.co.id/Safi-White-Expert-Ultimate-Essence-20ml-Twinpack-Special-i.63823668.8638764361", "https://shopee.co.id/Safi-White-Expert-Ultimate-Essence-20ml-Twinpack-Special-i.63823668.8638764361")</f>
        <v>https://shopee.co.id/Safi-White-Expert-Ultimate-Essence-20ml-Twinpack-Special-i.63823668.8638764361</v>
      </c>
      <c r="C858" s="6" t="s">
        <v>278</v>
      </c>
      <c r="D858" s="6" t="s">
        <v>279</v>
      </c>
      <c r="E858" s="6" t="s">
        <v>12</v>
      </c>
      <c r="F858" s="6" t="s">
        <v>13</v>
      </c>
      <c r="G858" s="6" t="s">
        <v>61</v>
      </c>
      <c r="H858" s="8" t="s">
        <v>1701</v>
      </c>
      <c r="I858" s="9">
        <v>4211100.0</v>
      </c>
      <c r="J858" s="5" t="str">
        <f t="shared" ref="J858:K858" si="858">SUBSTITUTE(H858, ",", "")</f>
        <v>38</v>
      </c>
      <c r="K858" s="5" t="str">
        <f t="shared" si="858"/>
        <v>Rp4211100</v>
      </c>
      <c r="L858" s="5" t="str">
        <f t="shared" si="3"/>
        <v>4211100</v>
      </c>
    </row>
    <row r="859">
      <c r="A859" s="6" t="s">
        <v>1705</v>
      </c>
      <c r="B859" s="7" t="str">
        <f>HYPERLINK("https://shopee.co.id/Nacific-Pink-Ahabha-Serum-50ml--i.238379974.11513353075", "https://shopee.co.id/Nacific-Pink-Ahabha-Serum-50ml--i.238379974.11513353075")</f>
        <v>https://shopee.co.id/Nacific-Pink-Ahabha-Serum-50ml--i.238379974.11513353075</v>
      </c>
      <c r="C859" s="6" t="s">
        <v>344</v>
      </c>
      <c r="D859" s="6" t="s">
        <v>345</v>
      </c>
      <c r="E859" s="6" t="s">
        <v>12</v>
      </c>
      <c r="F859" s="6" t="s">
        <v>13</v>
      </c>
      <c r="G859" s="6" t="s">
        <v>130</v>
      </c>
      <c r="H859" s="8" t="s">
        <v>1701</v>
      </c>
      <c r="I859" s="9">
        <v>1634000.0</v>
      </c>
      <c r="J859" s="5" t="str">
        <f t="shared" ref="J859:K859" si="859">SUBSTITUTE(H859, ",", "")</f>
        <v>38</v>
      </c>
      <c r="K859" s="5" t="str">
        <f t="shared" si="859"/>
        <v>Rp1634000</v>
      </c>
      <c r="L859" s="5" t="str">
        <f t="shared" si="3"/>
        <v>1634000</v>
      </c>
    </row>
    <row r="860">
      <c r="A860" s="6" t="s">
        <v>1706</v>
      </c>
      <c r="B860" s="7" t="str">
        <f>HYPERLINK("https://shopee.co.id/MSBB-Somethinc-10-Niacinamide-Moisture-Sabi-Beet-Max-Brightening-Serum-40Ml-i.288588702.8455094336", "https://shopee.co.id/MSBB-Somethinc-10-Niacinamide-Moisture-Sabi-Beet-Max-Brightening-Serum-40Ml-i.288588702.8455094336")</f>
        <v>https://shopee.co.id/MSBB-Somethinc-10-Niacinamide-Moisture-Sabi-Beet-Max-Brightening-Serum-40Ml-i.288588702.8455094336</v>
      </c>
      <c r="C860" s="6" t="s">
        <v>45</v>
      </c>
      <c r="D860" s="6" t="s">
        <v>79</v>
      </c>
      <c r="E860" s="6" t="s">
        <v>12</v>
      </c>
      <c r="F860" s="6" t="s">
        <v>13</v>
      </c>
      <c r="G860" s="6" t="s">
        <v>80</v>
      </c>
      <c r="H860" s="8" t="s">
        <v>1701</v>
      </c>
      <c r="I860" s="9">
        <v>2041200.0</v>
      </c>
      <c r="J860" s="5" t="str">
        <f t="shared" ref="J860:K860" si="860">SUBSTITUTE(H860, ",", "")</f>
        <v>38</v>
      </c>
      <c r="K860" s="5" t="str">
        <f t="shared" si="860"/>
        <v>Rp2041200</v>
      </c>
      <c r="L860" s="5" t="str">
        <f t="shared" si="3"/>
        <v>2041200</v>
      </c>
    </row>
    <row r="861">
      <c r="A861" s="6" t="s">
        <v>1707</v>
      </c>
      <c r="B861" s="7" t="str">
        <f>HYPERLINK("https://shopee.co.id/WARDAH-Hydra-Rose-Micro-Gel-Serum-i.30736001.9648849285", "https://shopee.co.id/WARDAH-Hydra-Rose-Micro-Gel-Serum-i.30736001.9648849285")</f>
        <v>https://shopee.co.id/WARDAH-Hydra-Rose-Micro-Gel-Serum-i.30736001.9648849285</v>
      </c>
      <c r="C861" s="6" t="s">
        <v>169</v>
      </c>
      <c r="D861" s="6" t="s">
        <v>335</v>
      </c>
      <c r="E861" s="6" t="s">
        <v>12</v>
      </c>
      <c r="F861" s="6" t="s">
        <v>13</v>
      </c>
      <c r="G861" s="6" t="s">
        <v>36</v>
      </c>
      <c r="H861" s="8" t="s">
        <v>1701</v>
      </c>
      <c r="I861" s="9">
        <v>1771200.0</v>
      </c>
      <c r="J861" s="5" t="str">
        <f t="shared" ref="J861:K861" si="861">SUBSTITUTE(H861, ",", "")</f>
        <v>38</v>
      </c>
      <c r="K861" s="5" t="str">
        <f t="shared" si="861"/>
        <v>Rp1771200</v>
      </c>
      <c r="L861" s="5" t="str">
        <f t="shared" si="3"/>
        <v>1771200</v>
      </c>
    </row>
    <row r="862">
      <c r="A862" s="6" t="s">
        <v>1708</v>
      </c>
      <c r="B862" s="7" t="str">
        <f>HYPERLINK("https://shopee.co.id/Somethinc-5-Niacinamide-Moisture-Sabi-Beet-Serum-20ml-40ml-i.50948181.9914375313", "https://shopee.co.id/Somethinc-5-Niacinamide-Moisture-Sabi-Beet-Serum-20ml-40ml-i.50948181.9914375313")</f>
        <v>https://shopee.co.id/Somethinc-5-Niacinamide-Moisture-Sabi-Beet-Serum-20ml-40ml-i.50948181.9914375313</v>
      </c>
      <c r="C862" s="6" t="s">
        <v>45</v>
      </c>
      <c r="D862" s="6" t="s">
        <v>1129</v>
      </c>
      <c r="E862" s="6" t="s">
        <v>12</v>
      </c>
      <c r="F862" s="6" t="s">
        <v>13</v>
      </c>
      <c r="G862" s="6" t="s">
        <v>1130</v>
      </c>
      <c r="H862" s="8" t="s">
        <v>1701</v>
      </c>
      <c r="I862" s="9">
        <v>2365800.0</v>
      </c>
      <c r="J862" s="5" t="str">
        <f t="shared" ref="J862:K862" si="862">SUBSTITUTE(H862, ",", "")</f>
        <v>38</v>
      </c>
      <c r="K862" s="5" t="str">
        <f t="shared" si="862"/>
        <v>Rp2365800</v>
      </c>
      <c r="L862" s="5" t="str">
        <f t="shared" si="3"/>
        <v>2365800</v>
      </c>
    </row>
    <row r="863">
      <c r="A863" s="6" t="s">
        <v>1709</v>
      </c>
      <c r="B863" s="7" t="str">
        <f>HYPERLINK("https://shopee.co.id/Purivera-Elixir-Serum-Oil-Package-Anti-Acne-Aging-Whitening-Scar-Jerawat-Mencerahkan-i.43724442.7480086237", "https://shopee.co.id/Purivera-Elixir-Serum-Oil-Package-Anti-Acne-Aging-Whitening-Scar-Jerawat-Mencerahkan-i.43724442.7480086237")</f>
        <v>https://shopee.co.id/Purivera-Elixir-Serum-Oil-Package-Anti-Acne-Aging-Whitening-Scar-Jerawat-Mencerahkan-i.43724442.7480086237</v>
      </c>
      <c r="C863" s="6" t="s">
        <v>428</v>
      </c>
      <c r="D863" s="6" t="s">
        <v>429</v>
      </c>
      <c r="E863" s="6" t="s">
        <v>12</v>
      </c>
      <c r="F863" s="6" t="s">
        <v>13</v>
      </c>
      <c r="G863" s="6" t="s">
        <v>61</v>
      </c>
      <c r="H863" s="8" t="s">
        <v>1701</v>
      </c>
      <c r="I863" s="9">
        <v>4362600.0</v>
      </c>
      <c r="J863" s="5" t="str">
        <f t="shared" ref="J863:K863" si="863">SUBSTITUTE(H863, ",", "")</f>
        <v>38</v>
      </c>
      <c r="K863" s="5" t="str">
        <f t="shared" si="863"/>
        <v>Rp4362600</v>
      </c>
      <c r="L863" s="5" t="str">
        <f t="shared" si="3"/>
        <v>4362600</v>
      </c>
    </row>
    <row r="864">
      <c r="A864" s="6" t="s">
        <v>1710</v>
      </c>
      <c r="B864" s="7" t="str">
        <f>HYPERLINK("https://shopee.co.id/Avoskin-Miraculous-Retinol-Ampoule-30ml-i.825870.6557100757", "https://shopee.co.id/Avoskin-Miraculous-Retinol-Ampoule-30ml-i.825870.6557100757")</f>
        <v>https://shopee.co.id/Avoskin-Miraculous-Retinol-Ampoule-30ml-i.825870.6557100757</v>
      </c>
      <c r="C864" s="6" t="s">
        <v>83</v>
      </c>
      <c r="D864" s="6" t="s">
        <v>1184</v>
      </c>
      <c r="E864" s="6" t="s">
        <v>12</v>
      </c>
      <c r="F864" s="6" t="s">
        <v>13</v>
      </c>
      <c r="G864" s="6" t="s">
        <v>21</v>
      </c>
      <c r="H864" s="8" t="s">
        <v>1701</v>
      </c>
      <c r="I864" s="9">
        <v>1.32971E7</v>
      </c>
      <c r="J864" s="5" t="str">
        <f t="shared" ref="J864:K864" si="864">SUBSTITUTE(H864, ",", "")</f>
        <v>38</v>
      </c>
      <c r="K864" s="5" t="str">
        <f t="shared" si="864"/>
        <v>Rp13297100</v>
      </c>
      <c r="L864" s="5" t="str">
        <f t="shared" si="3"/>
        <v>13297100</v>
      </c>
    </row>
    <row r="865">
      <c r="A865" s="6" t="s">
        <v>1711</v>
      </c>
      <c r="B865" s="7" t="str">
        <f>HYPERLINK("https://shopee.co.id/Serum-Aura-Essence-Nadfaskin--i.3087844.50496118", "https://shopee.co.id/Serum-Aura-Essence-Nadfaskin--i.3087844.50496118")</f>
        <v>https://shopee.co.id/Serum-Aura-Essence-Nadfaskin--i.3087844.50496118</v>
      </c>
      <c r="C865" s="6" t="s">
        <v>1157</v>
      </c>
      <c r="D865" s="6" t="s">
        <v>1158</v>
      </c>
      <c r="E865" s="6" t="s">
        <v>12</v>
      </c>
      <c r="F865" s="6" t="s">
        <v>13</v>
      </c>
      <c r="G865" s="6" t="s">
        <v>241</v>
      </c>
      <c r="H865" s="8" t="s">
        <v>1701</v>
      </c>
      <c r="I865" s="9">
        <v>7182000.0</v>
      </c>
      <c r="J865" s="5" t="str">
        <f t="shared" ref="J865:K865" si="865">SUBSTITUTE(H865, ",", "")</f>
        <v>38</v>
      </c>
      <c r="K865" s="5" t="str">
        <f t="shared" si="865"/>
        <v>Rp7182000</v>
      </c>
      <c r="L865" s="5" t="str">
        <f t="shared" si="3"/>
        <v>7182000</v>
      </c>
    </row>
    <row r="866">
      <c r="A866" s="6" t="s">
        <v>1712</v>
      </c>
      <c r="B866" s="7" t="str">
        <f>HYPERLINK("https://shopee.co.id/KANEBO-Lift-Serum-50ML-i.169111593.4701801423", "https://shopee.co.id/KANEBO-Lift-Serum-50ML-i.169111593.4701801423")</f>
        <v>https://shopee.co.id/KANEBO-Lift-Serum-50ML-i.169111593.4701801423</v>
      </c>
      <c r="C866" s="6" t="s">
        <v>1473</v>
      </c>
      <c r="D866" s="6" t="s">
        <v>1474</v>
      </c>
      <c r="E866" s="6" t="s">
        <v>12</v>
      </c>
      <c r="F866" s="6" t="s">
        <v>13</v>
      </c>
      <c r="G866" s="6" t="s">
        <v>532</v>
      </c>
      <c r="H866" s="8" t="s">
        <v>1701</v>
      </c>
      <c r="I866" s="9">
        <v>4389000.0</v>
      </c>
      <c r="J866" s="5" t="str">
        <f t="shared" ref="J866:K866" si="866">SUBSTITUTE(H866, ",", "")</f>
        <v>38</v>
      </c>
      <c r="K866" s="5" t="str">
        <f t="shared" si="866"/>
        <v>Rp4389000</v>
      </c>
      <c r="L866" s="5" t="str">
        <f t="shared" si="3"/>
        <v>4389000</v>
      </c>
    </row>
    <row r="867">
      <c r="A867" s="6" t="s">
        <v>1713</v>
      </c>
      <c r="B867" s="7" t="str">
        <f>HYPERLINK("https://shopee.co.id/Safi-Age-Defy-Gold-Water-Essence-30-ml-Naturals-Micellar-Water-with-Rose-100-ml-i.63823668.7643851852", "https://shopee.co.id/Safi-Age-Defy-Gold-Water-Essence-30-ml-Naturals-Micellar-Water-with-Rose-100-ml-i.63823668.7643851852")</f>
        <v>https://shopee.co.id/Safi-Age-Defy-Gold-Water-Essence-30-ml-Naturals-Micellar-Water-with-Rose-100-ml-i.63823668.7643851852</v>
      </c>
      <c r="C867" s="6" t="s">
        <v>278</v>
      </c>
      <c r="D867" s="6" t="s">
        <v>279</v>
      </c>
      <c r="E867" s="6" t="s">
        <v>12</v>
      </c>
      <c r="F867" s="6" t="s">
        <v>13</v>
      </c>
      <c r="G867" s="6" t="s">
        <v>61</v>
      </c>
      <c r="H867" s="8" t="s">
        <v>1701</v>
      </c>
      <c r="I867" s="9">
        <v>5662000.0</v>
      </c>
      <c r="J867" s="5" t="str">
        <f t="shared" ref="J867:K867" si="867">SUBSTITUTE(H867, ",", "")</f>
        <v>38</v>
      </c>
      <c r="K867" s="5" t="str">
        <f t="shared" si="867"/>
        <v>Rp5662000</v>
      </c>
      <c r="L867" s="5" t="str">
        <f t="shared" si="3"/>
        <v>5662000</v>
      </c>
    </row>
    <row r="868">
      <c r="A868" s="6" t="s">
        <v>1714</v>
      </c>
      <c r="B868" s="7" t="str">
        <f>HYPERLINK("https://shopee.co.id/NUTRISHE-Intensive-Bright-Glow-Serum-Travel-Size-20ml-i.270965687.9170075513", "https://shopee.co.id/NUTRISHE-Intensive-Bright-Glow-Serum-Travel-Size-20ml-i.270965687.9170075513")</f>
        <v>https://shopee.co.id/NUTRISHE-Intensive-Bright-Glow-Serum-Travel-Size-20ml-i.270965687.9170075513</v>
      </c>
      <c r="C868" s="6" t="s">
        <v>195</v>
      </c>
      <c r="D868" s="6" t="s">
        <v>379</v>
      </c>
      <c r="E868" s="6" t="s">
        <v>12</v>
      </c>
      <c r="F868" s="6" t="s">
        <v>13</v>
      </c>
      <c r="G868" s="6" t="s">
        <v>380</v>
      </c>
      <c r="H868" s="8" t="s">
        <v>1701</v>
      </c>
      <c r="I868" s="9">
        <v>1.245825E7</v>
      </c>
      <c r="J868" s="5" t="str">
        <f t="shared" ref="J868:K868" si="868">SUBSTITUTE(H868, ",", "")</f>
        <v>38</v>
      </c>
      <c r="K868" s="5" t="str">
        <f t="shared" si="868"/>
        <v>Rp12458250</v>
      </c>
      <c r="L868" s="5" t="str">
        <f t="shared" si="3"/>
        <v>12458250</v>
      </c>
    </row>
    <row r="869">
      <c r="A869" s="6" t="s">
        <v>1715</v>
      </c>
      <c r="B869" s="7" t="str">
        <f>HYPERLINK("https://shopee.co.id/SOMETHINC-CRIOUSLY-24K-GOLD-Essence-20-ml--i.68111.3585551144", "https://shopee.co.id/SOMETHINC-CRIOUSLY-24K-GOLD-Essence-20-ml--i.68111.3585551144")</f>
        <v>https://shopee.co.id/SOMETHINC-CRIOUSLY-24K-GOLD-Essence-20-ml--i.68111.3585551144</v>
      </c>
      <c r="C869" s="6" t="s">
        <v>45</v>
      </c>
      <c r="D869" s="6" t="s">
        <v>441</v>
      </c>
      <c r="E869" s="6" t="s">
        <v>12</v>
      </c>
      <c r="F869" s="6" t="s">
        <v>13</v>
      </c>
      <c r="G869" s="6" t="s">
        <v>130</v>
      </c>
      <c r="H869" s="8" t="s">
        <v>1716</v>
      </c>
      <c r="I869" s="9">
        <v>9911850.0</v>
      </c>
      <c r="J869" s="5" t="str">
        <f t="shared" ref="J869:K869" si="869">SUBSTITUTE(H869, ",", "")</f>
        <v>37</v>
      </c>
      <c r="K869" s="5" t="str">
        <f t="shared" si="869"/>
        <v>Rp9911850</v>
      </c>
      <c r="L869" s="5" t="str">
        <f t="shared" si="3"/>
        <v>9911850</v>
      </c>
    </row>
    <row r="870">
      <c r="A870" s="6" t="s">
        <v>1717</v>
      </c>
      <c r="B870" s="7" t="str">
        <f>HYPERLINK("https://shopee.co.id/Ponds-Age-Miracle-Double-Action-Retinol-Serum-Anti-Aging-15-mL-i.65323877.10018290137", "https://shopee.co.id/Ponds-Age-Miracle-Double-Action-Retinol-Serum-Anti-Aging-15-mL-i.65323877.10018290137")</f>
        <v>https://shopee.co.id/Ponds-Age-Miracle-Double-Action-Retinol-Serum-Anti-Aging-15-mL-i.65323877.10018290137</v>
      </c>
      <c r="C870" s="6" t="s">
        <v>325</v>
      </c>
      <c r="D870" s="6" t="s">
        <v>1600</v>
      </c>
      <c r="E870" s="6" t="s">
        <v>12</v>
      </c>
      <c r="F870" s="6" t="s">
        <v>13</v>
      </c>
      <c r="G870" s="6" t="s">
        <v>296</v>
      </c>
      <c r="H870" s="8" t="s">
        <v>1716</v>
      </c>
      <c r="I870" s="9">
        <v>4045500.0</v>
      </c>
      <c r="J870" s="5" t="str">
        <f t="shared" ref="J870:K870" si="870">SUBSTITUTE(H870, ",", "")</f>
        <v>37</v>
      </c>
      <c r="K870" s="5" t="str">
        <f t="shared" si="870"/>
        <v>Rp4045500</v>
      </c>
      <c r="L870" s="5" t="str">
        <f t="shared" si="3"/>
        <v>4045500</v>
      </c>
    </row>
    <row r="871">
      <c r="A871" s="6" t="s">
        <v>1718</v>
      </c>
      <c r="B871" s="7" t="str">
        <f>HYPERLINK("https://shopee.co.id/Bio-Essence-Bio-Gold-Day-Cream-SPF-25-40-gr-Bio-Essence-Bio-Gold-Night-Cream-40-gr-i.63822287.7761593167", "https://shopee.co.id/Bio-Essence-Bio-Gold-Day-Cream-SPF-25-40-gr-Bio-Essence-Bio-Gold-Night-Cream-40-gr-i.63822287.7761593167")</f>
        <v>https://shopee.co.id/Bio-Essence-Bio-Gold-Day-Cream-SPF-25-40-gr-Bio-Essence-Bio-Gold-Night-Cream-40-gr-i.63822287.7761593167</v>
      </c>
      <c r="C871" s="6" t="s">
        <v>834</v>
      </c>
      <c r="D871" s="6" t="s">
        <v>835</v>
      </c>
      <c r="E871" s="6" t="s">
        <v>12</v>
      </c>
      <c r="F871" s="6" t="s">
        <v>13</v>
      </c>
      <c r="G871" s="6" t="s">
        <v>61</v>
      </c>
      <c r="H871" s="8" t="s">
        <v>1716</v>
      </c>
      <c r="I871" s="9">
        <v>4420600.0</v>
      </c>
      <c r="J871" s="5" t="str">
        <f t="shared" ref="J871:K871" si="871">SUBSTITUTE(H871, ",", "")</f>
        <v>37</v>
      </c>
      <c r="K871" s="5" t="str">
        <f t="shared" si="871"/>
        <v>Rp4420600</v>
      </c>
      <c r="L871" s="5" t="str">
        <f t="shared" si="3"/>
        <v>4420600</v>
      </c>
    </row>
    <row r="872">
      <c r="A872" s="6" t="s">
        <v>1719</v>
      </c>
      <c r="B872" s="7" t="str">
        <f>HYPERLINK("https://shopee.co.id/Tuesbelle-SOMETHINC-Niacinamide-Moisture-Sabi-Beet-Max-5-10-Brightening-Niacinamide-Barrier-Serum-i.36872574.2685883471", "https://shopee.co.id/Tuesbelle-SOMETHINC-Niacinamide-Moisture-Sabi-Beet-Max-5-10-Brightening-Niacinamide-Barrier-Serum-i.36872574.2685883471")</f>
        <v>https://shopee.co.id/Tuesbelle-SOMETHINC-Niacinamide-Moisture-Sabi-Beet-Max-5-10-Brightening-Niacinamide-Barrier-Serum-i.36872574.2685883471</v>
      </c>
      <c r="C872" s="6" t="s">
        <v>45</v>
      </c>
      <c r="D872" s="6" t="s">
        <v>969</v>
      </c>
      <c r="E872" s="6" t="s">
        <v>12</v>
      </c>
      <c r="F872" s="6" t="s">
        <v>13</v>
      </c>
      <c r="G872" s="6" t="s">
        <v>115</v>
      </c>
      <c r="H872" s="8" t="s">
        <v>1716</v>
      </c>
      <c r="I872" s="9">
        <v>2301360.0</v>
      </c>
      <c r="J872" s="5" t="str">
        <f t="shared" ref="J872:K872" si="872">SUBSTITUTE(H872, ",", "")</f>
        <v>37</v>
      </c>
      <c r="K872" s="5" t="str">
        <f t="shared" si="872"/>
        <v>Rp2301360</v>
      </c>
      <c r="L872" s="5" t="str">
        <f t="shared" si="3"/>
        <v>2301360</v>
      </c>
    </row>
    <row r="873">
      <c r="A873" s="6" t="s">
        <v>1720</v>
      </c>
      <c r="B873" s="7" t="str">
        <f>HYPERLINK("https://shopee.co.id/SOMETHINC-5-Niacinamide-Moisture-Sabi-Beet-Serum-40ml-i.30736001.9935375531", "https://shopee.co.id/SOMETHINC-5-Niacinamide-Moisture-Sabi-Beet-Serum-40ml-i.30736001.9935375531")</f>
        <v>https://shopee.co.id/SOMETHINC-5-Niacinamide-Moisture-Sabi-Beet-Serum-40ml-i.30736001.9935375531</v>
      </c>
      <c r="C873" s="6" t="s">
        <v>45</v>
      </c>
      <c r="D873" s="6" t="s">
        <v>335</v>
      </c>
      <c r="E873" s="6" t="s">
        <v>12</v>
      </c>
      <c r="F873" s="6" t="s">
        <v>13</v>
      </c>
      <c r="G873" s="6" t="s">
        <v>36</v>
      </c>
      <c r="H873" s="8" t="s">
        <v>1716</v>
      </c>
      <c r="I873" s="9">
        <v>2290300.0</v>
      </c>
      <c r="J873" s="5" t="str">
        <f t="shared" ref="J873:K873" si="873">SUBSTITUTE(H873, ",", "")</f>
        <v>37</v>
      </c>
      <c r="K873" s="5" t="str">
        <f t="shared" si="873"/>
        <v>Rp2290300</v>
      </c>
      <c r="L873" s="5" t="str">
        <f t="shared" si="3"/>
        <v>2290300</v>
      </c>
    </row>
    <row r="874">
      <c r="A874" s="6" t="s">
        <v>1721</v>
      </c>
      <c r="B874" s="7" t="str">
        <f>HYPERLINK("https://shopee.co.id/Skinmee-Dualmee-Series-Youthful-i.426361756.11222025524", "https://shopee.co.id/Skinmee-Dualmee-Series-Youthful-i.426361756.11222025524")</f>
        <v>https://shopee.co.id/Skinmee-Dualmee-Series-Youthful-i.426361756.11222025524</v>
      </c>
      <c r="C874" s="6" t="s">
        <v>1141</v>
      </c>
      <c r="D874" s="6" t="s">
        <v>1142</v>
      </c>
      <c r="E874" s="6" t="s">
        <v>12</v>
      </c>
      <c r="F874" s="6" t="s">
        <v>13</v>
      </c>
      <c r="G874" s="6" t="s">
        <v>98</v>
      </c>
      <c r="H874" s="8" t="s">
        <v>1716</v>
      </c>
      <c r="I874" s="9">
        <v>5385000.0</v>
      </c>
      <c r="J874" s="5" t="str">
        <f t="shared" ref="J874:K874" si="874">SUBSTITUTE(H874, ",", "")</f>
        <v>37</v>
      </c>
      <c r="K874" s="5" t="str">
        <f t="shared" si="874"/>
        <v>Rp5385000</v>
      </c>
      <c r="L874" s="5" t="str">
        <f t="shared" si="3"/>
        <v>5385000</v>
      </c>
    </row>
    <row r="875">
      <c r="A875" s="6" t="s">
        <v>1722</v>
      </c>
      <c r="B875" s="7" t="str">
        <f>HYPERLINK("https://shopee.co.id/Nacific-Phyto-Niacin-Whitening-Essence-i.125116082.2753917429", "https://shopee.co.id/Nacific-Phyto-Niacin-Whitening-Essence-i.125116082.2753917429")</f>
        <v>https://shopee.co.id/Nacific-Phyto-Niacin-Whitening-Essence-i.125116082.2753917429</v>
      </c>
      <c r="C875" s="6" t="s">
        <v>344</v>
      </c>
      <c r="D875" s="6" t="s">
        <v>713</v>
      </c>
      <c r="E875" s="6" t="s">
        <v>12</v>
      </c>
      <c r="F875" s="6" t="s">
        <v>13</v>
      </c>
      <c r="G875" s="6" t="s">
        <v>61</v>
      </c>
      <c r="H875" s="8" t="s">
        <v>1716</v>
      </c>
      <c r="I875" s="9">
        <v>2316200.0</v>
      </c>
      <c r="J875" s="5" t="str">
        <f t="shared" ref="J875:K875" si="875">SUBSTITUTE(H875, ",", "")</f>
        <v>37</v>
      </c>
      <c r="K875" s="5" t="str">
        <f t="shared" si="875"/>
        <v>Rp2316200</v>
      </c>
      <c r="L875" s="5" t="str">
        <f t="shared" si="3"/>
        <v>2316200</v>
      </c>
    </row>
    <row r="876">
      <c r="A876" s="6" t="s">
        <v>1723</v>
      </c>
      <c r="B876" s="7" t="str">
        <f>HYPERLINK("https://shopee.co.id/Somethinc-Bakuchiol-Skinpair-Oil-Serum-20ml-i.50948181.7376393959", "https://shopee.co.id/Somethinc-Bakuchiol-Skinpair-Oil-Serum-20ml-i.50948181.7376393959")</f>
        <v>https://shopee.co.id/Somethinc-Bakuchiol-Skinpair-Oil-Serum-20ml-i.50948181.7376393959</v>
      </c>
      <c r="C876" s="6" t="s">
        <v>45</v>
      </c>
      <c r="D876" s="6" t="s">
        <v>1129</v>
      </c>
      <c r="E876" s="6" t="s">
        <v>12</v>
      </c>
      <c r="F876" s="6" t="s">
        <v>13</v>
      </c>
      <c r="G876" s="6" t="s">
        <v>1130</v>
      </c>
      <c r="H876" s="8" t="s">
        <v>1716</v>
      </c>
      <c r="I876" s="9">
        <v>1.93508E7</v>
      </c>
      <c r="J876" s="5" t="str">
        <f t="shared" ref="J876:K876" si="876">SUBSTITUTE(H876, ",", "")</f>
        <v>37</v>
      </c>
      <c r="K876" s="5" t="str">
        <f t="shared" si="876"/>
        <v>Rp19350800</v>
      </c>
      <c r="L876" s="5" t="str">
        <f t="shared" si="3"/>
        <v>19350800</v>
      </c>
    </row>
    <row r="877">
      <c r="A877" s="6" t="s">
        <v>1724</v>
      </c>
      <c r="B877" s="7" t="str">
        <f>HYPERLINK("https://shopee.co.id/Bioderma-Sebium-Global-30ml-i.30736001.6637205157", "https://shopee.co.id/Bioderma-Sebium-Global-30ml-i.30736001.6637205157")</f>
        <v>https://shopee.co.id/Bioderma-Sebium-Global-30ml-i.30736001.6637205157</v>
      </c>
      <c r="C877" s="6" t="s">
        <v>1387</v>
      </c>
      <c r="D877" s="6" t="s">
        <v>335</v>
      </c>
      <c r="E877" s="6" t="s">
        <v>12</v>
      </c>
      <c r="F877" s="6" t="s">
        <v>13</v>
      </c>
      <c r="G877" s="6" t="s">
        <v>36</v>
      </c>
      <c r="H877" s="8" t="s">
        <v>1725</v>
      </c>
      <c r="I877" s="9">
        <v>1.37562E7</v>
      </c>
      <c r="J877" s="5" t="str">
        <f t="shared" ref="J877:K877" si="877">SUBSTITUTE(H877, ",", "")</f>
        <v>36</v>
      </c>
      <c r="K877" s="5" t="str">
        <f t="shared" si="877"/>
        <v>Rp13756200</v>
      </c>
      <c r="L877" s="5" t="str">
        <f t="shared" si="3"/>
        <v>13756200</v>
      </c>
    </row>
    <row r="878">
      <c r="A878" s="6" t="s">
        <v>1726</v>
      </c>
      <c r="B878" s="7" t="str">
        <f>HYPERLINK("https://shopee.co.id/BUHOTEI-Implora-Facial-Serum-Essence-Midnight-Serum-Luminous-Brightening-Serum-i.403097854.13502543323", "https://shopee.co.id/BUHOTEI-Implora-Facial-Serum-Essence-Midnight-Serum-Luminous-Brightening-Serum-i.403097854.13502543323")</f>
        <v>https://shopee.co.id/BUHOTEI-Implora-Facial-Serum-Essence-Midnight-Serum-Luminous-Brightening-Serum-i.403097854.13502543323</v>
      </c>
      <c r="C878" s="6" t="s">
        <v>113</v>
      </c>
      <c r="D878" s="6" t="s">
        <v>1035</v>
      </c>
      <c r="E878" s="6" t="s">
        <v>12</v>
      </c>
      <c r="F878" s="6" t="s">
        <v>13</v>
      </c>
      <c r="G878" s="6" t="s">
        <v>61</v>
      </c>
      <c r="H878" s="8" t="s">
        <v>1725</v>
      </c>
      <c r="I878" s="9">
        <v>5584800.0</v>
      </c>
      <c r="J878" s="5" t="str">
        <f t="shared" ref="J878:K878" si="878">SUBSTITUTE(H878, ",", "")</f>
        <v>36</v>
      </c>
      <c r="K878" s="5" t="str">
        <f t="shared" si="878"/>
        <v>Rp5584800</v>
      </c>
      <c r="L878" s="5" t="str">
        <f t="shared" si="3"/>
        <v>5584800</v>
      </c>
    </row>
    <row r="879">
      <c r="A879" s="6" t="s">
        <v>1727</v>
      </c>
      <c r="B879" s="7" t="str">
        <f>HYPERLINK("https://shopee.co.id/Aish-Serum-Paket-10-Pcs-Bebas-Pilih-Varian-isi-di-catatan-i.406360531.9577784346", "https://shopee.co.id/Aish-Serum-Paket-10-Pcs-Bebas-Pilih-Varian-isi-di-catatan-i.406360531.9577784346")</f>
        <v>https://shopee.co.id/Aish-Serum-Paket-10-Pcs-Bebas-Pilih-Varian-isi-di-catatan-i.406360531.9577784346</v>
      </c>
      <c r="C879" s="6" t="s">
        <v>1015</v>
      </c>
      <c r="D879" s="6" t="s">
        <v>444</v>
      </c>
      <c r="E879" s="6" t="s">
        <v>12</v>
      </c>
      <c r="F879" s="6" t="s">
        <v>13</v>
      </c>
      <c r="G879" s="6" t="s">
        <v>241</v>
      </c>
      <c r="H879" s="8" t="s">
        <v>1725</v>
      </c>
      <c r="I879" s="9">
        <v>4654500.0</v>
      </c>
      <c r="J879" s="5" t="str">
        <f t="shared" ref="J879:K879" si="879">SUBSTITUTE(H879, ",", "")</f>
        <v>36</v>
      </c>
      <c r="K879" s="5" t="str">
        <f t="shared" si="879"/>
        <v>Rp4654500</v>
      </c>
      <c r="L879" s="5" t="str">
        <f t="shared" si="3"/>
        <v>4654500</v>
      </c>
    </row>
    <row r="880">
      <c r="A880" s="6" t="s">
        <v>1728</v>
      </c>
      <c r="B880" s="7" t="str">
        <f>HYPERLINK("https://shopee.co.id/Dayskin-Centella-Intensive-Brightening-Serum-i.382873530.9117785046", "https://shopee.co.id/Dayskin-Centella-Intensive-Brightening-Serum-i.382873530.9117785046")</f>
        <v>https://shopee.co.id/Dayskin-Centella-Intensive-Brightening-Serum-i.382873530.9117785046</v>
      </c>
      <c r="C880" s="6" t="s">
        <v>1729</v>
      </c>
      <c r="D880" s="6" t="s">
        <v>1730</v>
      </c>
      <c r="E880" s="6" t="s">
        <v>12</v>
      </c>
      <c r="F880" s="6" t="s">
        <v>13</v>
      </c>
      <c r="G880" s="6" t="s">
        <v>80</v>
      </c>
      <c r="H880" s="8" t="s">
        <v>1725</v>
      </c>
      <c r="I880" s="9">
        <v>8295684.0</v>
      </c>
      <c r="J880" s="5" t="str">
        <f t="shared" ref="J880:K880" si="880">SUBSTITUTE(H880, ",", "")</f>
        <v>36</v>
      </c>
      <c r="K880" s="5" t="str">
        <f t="shared" si="880"/>
        <v>Rp8295684</v>
      </c>
      <c r="L880" s="5" t="str">
        <f t="shared" si="3"/>
        <v>8295684</v>
      </c>
    </row>
    <row r="881">
      <c r="A881" s="6" t="s">
        <v>1731</v>
      </c>
      <c r="B881" s="7" t="str">
        <f>HYPERLINK("https://shopee.co.id/The-Body-Shop-Himalayan-Charcoal-Clarifying-Night-Peel-Serum-30ml-i.28053737.9251089636", "https://shopee.co.id/The-Body-Shop-Himalayan-Charcoal-Clarifying-Night-Peel-Serum-30ml-i.28053737.9251089636")</f>
        <v>https://shopee.co.id/The-Body-Shop-Himalayan-Charcoal-Clarifying-Night-Peel-Serum-30ml-i.28053737.9251089636</v>
      </c>
      <c r="C881" s="6" t="s">
        <v>221</v>
      </c>
      <c r="D881" s="6" t="s">
        <v>222</v>
      </c>
      <c r="E881" s="6" t="s">
        <v>12</v>
      </c>
      <c r="F881" s="6" t="s">
        <v>13</v>
      </c>
      <c r="G881" s="6" t="s">
        <v>80</v>
      </c>
      <c r="H881" s="8" t="s">
        <v>1725</v>
      </c>
      <c r="I881" s="9">
        <v>286300.0</v>
      </c>
      <c r="J881" s="5" t="str">
        <f t="shared" ref="J881:K881" si="881">SUBSTITUTE(H881, ",", "")</f>
        <v>36</v>
      </c>
      <c r="K881" s="5" t="str">
        <f t="shared" si="881"/>
        <v>Rp286300</v>
      </c>
      <c r="L881" s="5" t="str">
        <f t="shared" si="3"/>
        <v>286300</v>
      </c>
    </row>
    <row r="882">
      <c r="A882" s="6" t="s">
        <v>1732</v>
      </c>
      <c r="B882" s="7" t="str">
        <f>HYPERLINK("https://shopee.co.id/I-Face-Vitamin-C-Serum-10ml-Serum-Wajah-Vitamin-Wajah-Kulit-Cerah-Antioksidan-Kolagen-i.121791179.1863497482", "https://shopee.co.id/I-Face-Vitamin-C-Serum-10ml-Serum-Wajah-Vitamin-Wajah-Kulit-Cerah-Antioksidan-Kolagen-i.121791179.1863497482")</f>
        <v>https://shopee.co.id/I-Face-Vitamin-C-Serum-10ml-Serum-Wajah-Vitamin-Wajah-Kulit-Cerah-Antioksidan-Kolagen-i.121791179.1863497482</v>
      </c>
      <c r="C882" s="6" t="s">
        <v>1116</v>
      </c>
      <c r="D882" s="6" t="s">
        <v>1733</v>
      </c>
      <c r="E882" s="6" t="s">
        <v>12</v>
      </c>
      <c r="F882" s="6" t="s">
        <v>13</v>
      </c>
      <c r="G882" s="6" t="s">
        <v>36</v>
      </c>
      <c r="H882" s="8" t="s">
        <v>1725</v>
      </c>
      <c r="I882" s="9">
        <v>1.3493E7</v>
      </c>
      <c r="J882" s="5" t="str">
        <f t="shared" ref="J882:K882" si="882">SUBSTITUTE(H882, ",", "")</f>
        <v>36</v>
      </c>
      <c r="K882" s="5" t="str">
        <f t="shared" si="882"/>
        <v>Rp13493000</v>
      </c>
      <c r="L882" s="5" t="str">
        <f t="shared" si="3"/>
        <v>13493000</v>
      </c>
    </row>
    <row r="883">
      <c r="A883" s="6" t="s">
        <v>1734</v>
      </c>
      <c r="B883" s="7" t="str">
        <f>HYPERLINK("https://shopee.co.id/Scarlett-Whitening-Glowtening-Serum-15ml-i.53887195.8267921098", "https://shopee.co.id/Scarlett-Whitening-Glowtening-Serum-15ml-i.53887195.8267921098")</f>
        <v>https://shopee.co.id/Scarlett-Whitening-Glowtening-Serum-15ml-i.53887195.8267921098</v>
      </c>
      <c r="C883" s="6" t="s">
        <v>19</v>
      </c>
      <c r="D883" s="6" t="s">
        <v>1026</v>
      </c>
      <c r="E883" s="6" t="s">
        <v>12</v>
      </c>
      <c r="F883" s="6" t="s">
        <v>13</v>
      </c>
      <c r="G883" s="6" t="s">
        <v>80</v>
      </c>
      <c r="H883" s="8" t="s">
        <v>1725</v>
      </c>
      <c r="I883" s="9">
        <v>5810000.0</v>
      </c>
      <c r="J883" s="5" t="str">
        <f t="shared" ref="J883:K883" si="883">SUBSTITUTE(H883, ",", "")</f>
        <v>36</v>
      </c>
      <c r="K883" s="5" t="str">
        <f t="shared" si="883"/>
        <v>Rp5810000</v>
      </c>
      <c r="L883" s="5" t="str">
        <f t="shared" si="3"/>
        <v>5810000</v>
      </c>
    </row>
    <row r="884">
      <c r="A884" s="6" t="s">
        <v>1735</v>
      </c>
      <c r="B884" s="7" t="str">
        <f>HYPERLINK("https://shopee.co.id/SYB-Forte-Red-Jelly-Glow-Serum-i.150222332.7416583814", "https://shopee.co.id/SYB-Forte-Red-Jelly-Glow-Serum-i.150222332.7416583814")</f>
        <v>https://shopee.co.id/SYB-Forte-Red-Jelly-Glow-Serum-i.150222332.7416583814</v>
      </c>
      <c r="C884" s="6" t="s">
        <v>1736</v>
      </c>
      <c r="D884" s="6" t="s">
        <v>1737</v>
      </c>
      <c r="E884" s="6" t="s">
        <v>12</v>
      </c>
      <c r="F884" s="6" t="s">
        <v>13</v>
      </c>
      <c r="G884" s="6" t="s">
        <v>350</v>
      </c>
      <c r="H884" s="8" t="s">
        <v>1725</v>
      </c>
      <c r="I884" s="9">
        <v>3405600.0</v>
      </c>
      <c r="J884" s="5" t="str">
        <f t="shared" ref="J884:K884" si="884">SUBSTITUTE(H884, ",", "")</f>
        <v>36</v>
      </c>
      <c r="K884" s="5" t="str">
        <f t="shared" si="884"/>
        <v>Rp3405600</v>
      </c>
      <c r="L884" s="5" t="str">
        <f t="shared" si="3"/>
        <v>3405600</v>
      </c>
    </row>
    <row r="885">
      <c r="A885" s="6" t="s">
        <v>1738</v>
      </c>
      <c r="B885" s="7" t="str">
        <f>HYPERLINK("https://shopee.co.id/Sulwhasoo-First-Care-Activating-Serum-Trial-Kit-i.274949344.5852728762", "https://shopee.co.id/Sulwhasoo-First-Care-Activating-Serum-Trial-Kit-i.274949344.5852728762")</f>
        <v>https://shopee.co.id/Sulwhasoo-First-Care-Activating-Serum-Trial-Kit-i.274949344.5852728762</v>
      </c>
      <c r="C885" s="6" t="s">
        <v>282</v>
      </c>
      <c r="D885" s="6" t="s">
        <v>283</v>
      </c>
      <c r="E885" s="6" t="s">
        <v>12</v>
      </c>
      <c r="F885" s="6" t="s">
        <v>13</v>
      </c>
      <c r="G885" s="6" t="s">
        <v>61</v>
      </c>
      <c r="H885" s="8" t="s">
        <v>1739</v>
      </c>
      <c r="I885" s="9">
        <v>2275000.0</v>
      </c>
      <c r="J885" s="5" t="str">
        <f t="shared" ref="J885:K885" si="885">SUBSTITUTE(H885, ",", "")</f>
        <v>35</v>
      </c>
      <c r="K885" s="5" t="str">
        <f t="shared" si="885"/>
        <v>Rp2275000</v>
      </c>
      <c r="L885" s="5" t="str">
        <f t="shared" si="3"/>
        <v>2275000</v>
      </c>
    </row>
    <row r="886">
      <c r="A886" s="6" t="s">
        <v>1178</v>
      </c>
      <c r="B886" s="7" t="str">
        <f>HYPERLINK("https://shopee.co.id/Viva-Queen-Whitening-Advanced-Face-Serum-i.233711658.3444048621", "https://shopee.co.id/Viva-Queen-Whitening-Advanced-Face-Serum-i.233711658.3444048621")</f>
        <v>https://shopee.co.id/Viva-Queen-Whitening-Advanced-Face-Serum-i.233711658.3444048621</v>
      </c>
      <c r="C886" s="6" t="s">
        <v>647</v>
      </c>
      <c r="D886" s="6" t="s">
        <v>1740</v>
      </c>
      <c r="E886" s="6" t="s">
        <v>12</v>
      </c>
      <c r="F886" s="6" t="s">
        <v>13</v>
      </c>
      <c r="G886" s="6" t="s">
        <v>1741</v>
      </c>
      <c r="H886" s="8" t="s">
        <v>1739</v>
      </c>
      <c r="I886" s="9">
        <v>9489525.0</v>
      </c>
      <c r="J886" s="5" t="str">
        <f t="shared" ref="J886:K886" si="886">SUBSTITUTE(H886, ",", "")</f>
        <v>35</v>
      </c>
      <c r="K886" s="5" t="str">
        <f t="shared" si="886"/>
        <v>Rp9489525</v>
      </c>
      <c r="L886" s="5" t="str">
        <f t="shared" si="3"/>
        <v>9489525</v>
      </c>
    </row>
    <row r="887">
      <c r="A887" s="6" t="s">
        <v>1742</v>
      </c>
      <c r="B887" s="7" t="str">
        <f>HYPERLINK("https://shopee.co.id/THE-AUBREE-Centella-Herb-Serum-UNSCENTED-30ml-i.270965687.7776018673", "https://shopee.co.id/THE-AUBREE-Centella-Herb-Serum-UNSCENTED-30ml-i.270965687.7776018673")</f>
        <v>https://shopee.co.id/THE-AUBREE-Centella-Herb-Serum-UNSCENTED-30ml-i.270965687.7776018673</v>
      </c>
      <c r="C887" s="6" t="s">
        <v>772</v>
      </c>
      <c r="D887" s="6" t="s">
        <v>379</v>
      </c>
      <c r="E887" s="6" t="s">
        <v>12</v>
      </c>
      <c r="F887" s="6" t="s">
        <v>13</v>
      </c>
      <c r="G887" s="6" t="s">
        <v>380</v>
      </c>
      <c r="H887" s="8" t="s">
        <v>1739</v>
      </c>
      <c r="I887" s="9">
        <v>4865000.0</v>
      </c>
      <c r="J887" s="5" t="str">
        <f t="shared" ref="J887:K887" si="887">SUBSTITUTE(H887, ",", "")</f>
        <v>35</v>
      </c>
      <c r="K887" s="5" t="str">
        <f t="shared" si="887"/>
        <v>Rp4865000</v>
      </c>
      <c r="L887" s="5" t="str">
        <f t="shared" si="3"/>
        <v>4865000</v>
      </c>
    </row>
    <row r="888">
      <c r="A888" s="6" t="s">
        <v>1743</v>
      </c>
      <c r="B888" s="7" t="str">
        <f>HYPERLINK("https://shopee.co.id/BIOAQUA-Bioaqua-24K-Gold-Skin-Brightening-Serum-Wajah-Essence-Cream-i.297682305.8834962096", "https://shopee.co.id/BIOAQUA-Bioaqua-24K-Gold-Skin-Brightening-Serum-Wajah-Essence-Cream-i.297682305.8834962096")</f>
        <v>https://shopee.co.id/BIOAQUA-Bioaqua-24K-Gold-Skin-Brightening-Serum-Wajah-Essence-Cream-i.297682305.8834962096</v>
      </c>
      <c r="C888" s="6" t="s">
        <v>1744</v>
      </c>
      <c r="D888" s="6" t="s">
        <v>1745</v>
      </c>
      <c r="E888" s="6" t="s">
        <v>12</v>
      </c>
      <c r="F888" s="6" t="s">
        <v>13</v>
      </c>
      <c r="G888" s="6" t="s">
        <v>61</v>
      </c>
      <c r="H888" s="8" t="s">
        <v>1739</v>
      </c>
      <c r="I888" s="9">
        <v>683200.0</v>
      </c>
      <c r="J888" s="5" t="str">
        <f t="shared" ref="J888:K888" si="888">SUBSTITUTE(H888, ",", "")</f>
        <v>35</v>
      </c>
      <c r="K888" s="5" t="str">
        <f t="shared" si="888"/>
        <v>Rp683200</v>
      </c>
      <c r="L888" s="5" t="str">
        <f t="shared" si="3"/>
        <v>683200</v>
      </c>
    </row>
    <row r="889">
      <c r="A889" s="6" t="s">
        <v>1746</v>
      </c>
      <c r="B889" s="7" t="str">
        <f>HYPERLINK("https://shopee.co.id/Sk-Ii-R-N-A-Power-Radical-New-Age-Essence-i.339725786.7587794454", "https://shopee.co.id/Sk-Ii-R-N-A-Power-Radical-New-Age-Essence-i.339725786.7587794454")</f>
        <v>https://shopee.co.id/Sk-Ii-R-N-A-Power-Radical-New-Age-Essence-i.339725786.7587794454</v>
      </c>
      <c r="C889" s="6" t="s">
        <v>1372</v>
      </c>
      <c r="D889" s="6" t="s">
        <v>1373</v>
      </c>
      <c r="E889" s="6" t="s">
        <v>12</v>
      </c>
      <c r="F889" s="6" t="s">
        <v>13</v>
      </c>
      <c r="G889" s="6" t="s">
        <v>98</v>
      </c>
      <c r="H889" s="8" t="s">
        <v>1739</v>
      </c>
      <c r="I889" s="9">
        <v>1396500.0</v>
      </c>
      <c r="J889" s="5" t="str">
        <f t="shared" ref="J889:K889" si="889">SUBSTITUTE(H889, ",", "")</f>
        <v>35</v>
      </c>
      <c r="K889" s="5" t="str">
        <f t="shared" si="889"/>
        <v>Rp1396500</v>
      </c>
      <c r="L889" s="5" t="str">
        <f t="shared" si="3"/>
        <v>1396500</v>
      </c>
    </row>
    <row r="890">
      <c r="A890" s="6" t="s">
        <v>1747</v>
      </c>
      <c r="B890" s="7" t="str">
        <f>HYPERLINK("https://shopee.co.id/KLAIRS-Freshly-Juiced-Vitamin-Drop-35ml-i.68111.315854887", "https://shopee.co.id/KLAIRS-Freshly-Juiced-Vitamin-Drop-35ml-i.68111.315854887")</f>
        <v>https://shopee.co.id/KLAIRS-Freshly-Juiced-Vitamin-Drop-35ml-i.68111.315854887</v>
      </c>
      <c r="C890" s="6" t="s">
        <v>432</v>
      </c>
      <c r="D890" s="6" t="s">
        <v>441</v>
      </c>
      <c r="E890" s="6" t="s">
        <v>12</v>
      </c>
      <c r="F890" s="6" t="s">
        <v>13</v>
      </c>
      <c r="G890" s="6" t="s">
        <v>130</v>
      </c>
      <c r="H890" s="8" t="s">
        <v>1739</v>
      </c>
      <c r="I890" s="9">
        <v>4780200.0</v>
      </c>
      <c r="J890" s="5" t="str">
        <f t="shared" ref="J890:K890" si="890">SUBSTITUTE(H890, ",", "")</f>
        <v>35</v>
      </c>
      <c r="K890" s="5" t="str">
        <f t="shared" si="890"/>
        <v>Rp4780200</v>
      </c>
      <c r="L890" s="5" t="str">
        <f t="shared" si="3"/>
        <v>4780200</v>
      </c>
    </row>
    <row r="891">
      <c r="A891" s="6" t="s">
        <v>1748</v>
      </c>
      <c r="B891" s="7" t="str">
        <f>HYPERLINK("https://shopee.co.id/Adleeva-BUNDLING-2-pcs-Serum-Flawless-Brightening-Serum-Acne-Fighter-Serum--i.180408602.13008416669", "https://shopee.co.id/Adleeva-BUNDLING-2-pcs-Serum-Flawless-Brightening-Serum-Acne-Fighter-Serum--i.180408602.13008416669")</f>
        <v>https://shopee.co.id/Adleeva-BUNDLING-2-pcs-Serum-Flawless-Brightening-Serum-Acne-Fighter-Serum--i.180408602.13008416669</v>
      </c>
      <c r="C891" s="6" t="s">
        <v>539</v>
      </c>
      <c r="D891" s="6" t="s">
        <v>540</v>
      </c>
      <c r="E891" s="6" t="s">
        <v>12</v>
      </c>
      <c r="F891" s="6" t="s">
        <v>13</v>
      </c>
      <c r="G891" s="6" t="s">
        <v>541</v>
      </c>
      <c r="H891" s="8" t="s">
        <v>1739</v>
      </c>
      <c r="I891" s="9">
        <v>4800000.0</v>
      </c>
      <c r="J891" s="5" t="str">
        <f t="shared" ref="J891:K891" si="891">SUBSTITUTE(H891, ",", "")</f>
        <v>35</v>
      </c>
      <c r="K891" s="5" t="str">
        <f t="shared" si="891"/>
        <v>Rp4800000</v>
      </c>
      <c r="L891" s="5" t="str">
        <f t="shared" si="3"/>
        <v>4800000</v>
      </c>
    </row>
    <row r="892">
      <c r="A892" s="6" t="s">
        <v>1749</v>
      </c>
      <c r="B892" s="7" t="str">
        <f>HYPERLINK("https://shopee.co.id/Illuminare-Brightening-Serum-30gr-Serum-Pencerah-Serum-Whitening-Skin-Care-Flek-Hitam-i.121791179.1863497497", "https://shopee.co.id/Illuminare-Brightening-Serum-30gr-Serum-Pencerah-Serum-Whitening-Skin-Care-Flek-Hitam-i.121791179.1863497497")</f>
        <v>https://shopee.co.id/Illuminare-Brightening-Serum-30gr-Serum-Pencerah-Serum-Whitening-Skin-Care-Flek-Hitam-i.121791179.1863497497</v>
      </c>
      <c r="C892" s="6" t="s">
        <v>1750</v>
      </c>
      <c r="D892" s="6" t="s">
        <v>1733</v>
      </c>
      <c r="E892" s="6" t="s">
        <v>12</v>
      </c>
      <c r="F892" s="6" t="s">
        <v>13</v>
      </c>
      <c r="G892" s="6" t="s">
        <v>36</v>
      </c>
      <c r="H892" s="8" t="s">
        <v>1739</v>
      </c>
      <c r="I892" s="9">
        <v>2.0214E7</v>
      </c>
      <c r="J892" s="5" t="str">
        <f t="shared" ref="J892:K892" si="892">SUBSTITUTE(H892, ",", "")</f>
        <v>35</v>
      </c>
      <c r="K892" s="5" t="str">
        <f t="shared" si="892"/>
        <v>Rp20214000</v>
      </c>
      <c r="L892" s="5" t="str">
        <f t="shared" si="3"/>
        <v>20214000</v>
      </c>
    </row>
    <row r="893">
      <c r="A893" s="6" t="s">
        <v>119</v>
      </c>
      <c r="B893" s="7" t="str">
        <f>HYPERLINK("https://shopee.co.id/Phyto-Power-Essence-Biobeautylab-50ml-i.110573301.8438754192", "https://shopee.co.id/Phyto-Power-Essence-Biobeautylab-50ml-i.110573301.8438754192")</f>
        <v>https://shopee.co.id/Phyto-Power-Essence-Biobeautylab-50ml-i.110573301.8438754192</v>
      </c>
      <c r="C893" s="6" t="s">
        <v>120</v>
      </c>
      <c r="D893" s="6" t="s">
        <v>227</v>
      </c>
      <c r="E893" s="6" t="s">
        <v>12</v>
      </c>
      <c r="F893" s="6" t="s">
        <v>13</v>
      </c>
      <c r="G893" s="6" t="s">
        <v>61</v>
      </c>
      <c r="H893" s="8" t="s">
        <v>1739</v>
      </c>
      <c r="I893" s="9">
        <v>3775000.0</v>
      </c>
      <c r="J893" s="5" t="str">
        <f t="shared" ref="J893:K893" si="893">SUBSTITUTE(H893, ",", "")</f>
        <v>35</v>
      </c>
      <c r="K893" s="5" t="str">
        <f t="shared" si="893"/>
        <v>Rp3775000</v>
      </c>
      <c r="L893" s="5" t="str">
        <f t="shared" si="3"/>
        <v>3775000</v>
      </c>
    </row>
    <row r="894">
      <c r="A894" s="6" t="s">
        <v>1751</v>
      </c>
      <c r="B894" s="7" t="str">
        <f>HYPERLINK("https://shopee.co.id/Natasha-by-dr-Fredi-Setyawan-Renewal-Diamond-Caviar-Serum-i.40121814.7937709056", "https://shopee.co.id/Natasha-by-dr-Fredi-Setyawan-Renewal-Diamond-Caviar-Serum-i.40121814.7937709056")</f>
        <v>https://shopee.co.id/Natasha-by-dr-Fredi-Setyawan-Renewal-Diamond-Caviar-Serum-i.40121814.7937709056</v>
      </c>
      <c r="C894" s="6" t="s">
        <v>1752</v>
      </c>
      <c r="D894" s="6" t="s">
        <v>794</v>
      </c>
      <c r="E894" s="6" t="s">
        <v>12</v>
      </c>
      <c r="F894" s="6" t="s">
        <v>13</v>
      </c>
      <c r="G894" s="6" t="s">
        <v>380</v>
      </c>
      <c r="H894" s="8" t="s">
        <v>1739</v>
      </c>
      <c r="I894" s="9">
        <v>3675000.0</v>
      </c>
      <c r="J894" s="5" t="str">
        <f t="shared" ref="J894:K894" si="894">SUBSTITUTE(H894, ",", "")</f>
        <v>35</v>
      </c>
      <c r="K894" s="5" t="str">
        <f t="shared" si="894"/>
        <v>Rp3675000</v>
      </c>
      <c r="L894" s="5" t="str">
        <f t="shared" si="3"/>
        <v>3675000</v>
      </c>
    </row>
    <row r="895">
      <c r="A895" s="6" t="s">
        <v>1753</v>
      </c>
      <c r="B895" s="7" t="str">
        <f>HYPERLINK("https://shopee.co.id/ZUZU-Darkspot-Serum-i.400583963.3481553898", "https://shopee.co.id/ZUZU-Darkspot-Serum-i.400583963.3481553898")</f>
        <v>https://shopee.co.id/ZUZU-Darkspot-Serum-i.400583963.3481553898</v>
      </c>
      <c r="C895" s="6" t="s">
        <v>1661</v>
      </c>
      <c r="D895" s="6" t="s">
        <v>1662</v>
      </c>
      <c r="E895" s="6" t="s">
        <v>12</v>
      </c>
      <c r="F895" s="6" t="s">
        <v>13</v>
      </c>
      <c r="G895" s="6" t="s">
        <v>98</v>
      </c>
      <c r="H895" s="8" t="s">
        <v>1739</v>
      </c>
      <c r="I895" s="9">
        <v>3339000.0</v>
      </c>
      <c r="J895" s="5" t="str">
        <f t="shared" ref="J895:K895" si="895">SUBSTITUTE(H895, ",", "")</f>
        <v>35</v>
      </c>
      <c r="K895" s="5" t="str">
        <f t="shared" si="895"/>
        <v>Rp3339000</v>
      </c>
      <c r="L895" s="5" t="str">
        <f t="shared" si="3"/>
        <v>3339000</v>
      </c>
    </row>
    <row r="896">
      <c r="A896" s="6" t="s">
        <v>1754</v>
      </c>
      <c r="B896" s="7" t="str">
        <f>HYPERLINK("https://shopee.co.id/NATURE-REPUBLIC-Good-Skin-Ampoule-TEA-TREE-i.78838801.4565332124", "https://shopee.co.id/NATURE-REPUBLIC-Good-Skin-Ampoule-TEA-TREE-i.78838801.4565332124")</f>
        <v>https://shopee.co.id/NATURE-REPUBLIC-Good-Skin-Ampoule-TEA-TREE-i.78838801.4565332124</v>
      </c>
      <c r="C896" s="6" t="s">
        <v>1079</v>
      </c>
      <c r="D896" s="6" t="s">
        <v>1080</v>
      </c>
      <c r="E896" s="6" t="s">
        <v>12</v>
      </c>
      <c r="F896" s="6" t="s">
        <v>13</v>
      </c>
      <c r="G896" s="6" t="s">
        <v>532</v>
      </c>
      <c r="H896" s="8" t="s">
        <v>1739</v>
      </c>
      <c r="I896" s="9">
        <v>3465000.0</v>
      </c>
      <c r="J896" s="5" t="str">
        <f t="shared" ref="J896:K896" si="896">SUBSTITUTE(H896, ",", "")</f>
        <v>35</v>
      </c>
      <c r="K896" s="5" t="str">
        <f t="shared" si="896"/>
        <v>Rp3465000</v>
      </c>
      <c r="L896" s="5" t="str">
        <f t="shared" si="3"/>
        <v>3465000</v>
      </c>
    </row>
    <row r="897">
      <c r="A897" s="6" t="s">
        <v>1755</v>
      </c>
      <c r="B897" s="7" t="str">
        <f>HYPERLINK("https://shopee.co.id/Somethinc-10-Niacinamide-Moisture-Sabi-Beet-Brightening-Serum-20ml-40ml-i.50948181.4338901890", "https://shopee.co.id/Somethinc-10-Niacinamide-Moisture-Sabi-Beet-Brightening-Serum-20ml-40ml-i.50948181.4338901890")</f>
        <v>https://shopee.co.id/Somethinc-10-Niacinamide-Moisture-Sabi-Beet-Brightening-Serum-20ml-40ml-i.50948181.4338901890</v>
      </c>
      <c r="C897" s="6" t="s">
        <v>45</v>
      </c>
      <c r="D897" s="6" t="s">
        <v>1129</v>
      </c>
      <c r="E897" s="6" t="s">
        <v>12</v>
      </c>
      <c r="F897" s="6" t="s">
        <v>13</v>
      </c>
      <c r="G897" s="6" t="s">
        <v>1130</v>
      </c>
      <c r="H897" s="8" t="s">
        <v>1739</v>
      </c>
      <c r="I897" s="9">
        <v>7185850.0</v>
      </c>
      <c r="J897" s="5" t="str">
        <f t="shared" ref="J897:K897" si="897">SUBSTITUTE(H897, ",", "")</f>
        <v>35</v>
      </c>
      <c r="K897" s="5" t="str">
        <f t="shared" si="897"/>
        <v>Rp7185850</v>
      </c>
      <c r="L897" s="5" t="str">
        <f t="shared" si="3"/>
        <v>7185850</v>
      </c>
    </row>
    <row r="898">
      <c r="A898" s="6" t="s">
        <v>1756</v>
      </c>
      <c r="B898" s="7" t="str">
        <f>HYPERLINK("https://shopee.co.id/ERTOS-DARK-SPOT-15ML-SERUM-PENCERAH-WAJAH-PENGHILANG-FLEK-ERTO-S-i.23831802.2039801949", "https://shopee.co.id/ERTOS-DARK-SPOT-15ML-SERUM-PENCERAH-WAJAH-PENGHILANG-FLEK-ERTO-S-i.23831802.2039801949")</f>
        <v>https://shopee.co.id/ERTOS-DARK-SPOT-15ML-SERUM-PENCERAH-WAJAH-PENGHILANG-FLEK-ERTO-S-i.23831802.2039801949</v>
      </c>
      <c r="C898" s="6" t="s">
        <v>467</v>
      </c>
      <c r="D898" s="6" t="s">
        <v>1084</v>
      </c>
      <c r="E898" s="6" t="s">
        <v>12</v>
      </c>
      <c r="F898" s="6" t="s">
        <v>13</v>
      </c>
      <c r="G898" s="6" t="s">
        <v>1085</v>
      </c>
      <c r="H898" s="8" t="s">
        <v>1739</v>
      </c>
      <c r="I898" s="9">
        <v>1.041E7</v>
      </c>
      <c r="J898" s="5" t="str">
        <f t="shared" ref="J898:K898" si="898">SUBSTITUTE(H898, ",", "")</f>
        <v>35</v>
      </c>
      <c r="K898" s="5" t="str">
        <f t="shared" si="898"/>
        <v>Rp10410000</v>
      </c>
      <c r="L898" s="5" t="str">
        <f t="shared" si="3"/>
        <v>10410000</v>
      </c>
    </row>
    <row r="899">
      <c r="A899" s="6" t="s">
        <v>1757</v>
      </c>
      <c r="B899" s="7" t="str">
        <f>HYPERLINK("https://shopee.co.id/ElsheSkin-Active-Rejuvenating-Night-Serum-X-ElsheSkin-Sebum-Reducer-Serum-i.9035345.6849121232", "https://shopee.co.id/ElsheSkin-Active-Rejuvenating-Night-Serum-X-ElsheSkin-Sebum-Reducer-Serum-i.9035345.6849121232")</f>
        <v>https://shopee.co.id/ElsheSkin-Active-Rejuvenating-Night-Serum-X-ElsheSkin-Sebum-Reducer-Serum-i.9035345.6849121232</v>
      </c>
      <c r="C899" s="6" t="s">
        <v>135</v>
      </c>
      <c r="D899" s="6" t="s">
        <v>136</v>
      </c>
      <c r="E899" s="6" t="s">
        <v>12</v>
      </c>
      <c r="F899" s="6" t="s">
        <v>13</v>
      </c>
      <c r="G899" s="6" t="s">
        <v>80</v>
      </c>
      <c r="H899" s="8" t="s">
        <v>1739</v>
      </c>
      <c r="I899" s="9">
        <v>3374300.0</v>
      </c>
      <c r="J899" s="5" t="str">
        <f t="shared" ref="J899:K899" si="899">SUBSTITUTE(H899, ",", "")</f>
        <v>35</v>
      </c>
      <c r="K899" s="5" t="str">
        <f t="shared" si="899"/>
        <v>Rp3374300</v>
      </c>
      <c r="L899" s="5" t="str">
        <f t="shared" si="3"/>
        <v>3374300</v>
      </c>
    </row>
    <row r="900">
      <c r="A900" s="6" t="s">
        <v>1758</v>
      </c>
      <c r="B900" s="7" t="str">
        <f>HYPERLINK("https://shopee.co.id/-SPECIAL-SET-Nacific-Lip-Tint-Phyto-Niacin-Whitening-Essence-i.238379974.11115338425", "https://shopee.co.id/-SPECIAL-SET-Nacific-Lip-Tint-Phyto-Niacin-Whitening-Essence-i.238379974.11115338425")</f>
        <v>https://shopee.co.id/-SPECIAL-SET-Nacific-Lip-Tint-Phyto-Niacin-Whitening-Essence-i.238379974.11115338425</v>
      </c>
      <c r="C900" s="6" t="s">
        <v>344</v>
      </c>
      <c r="D900" s="6" t="s">
        <v>345</v>
      </c>
      <c r="E900" s="6" t="s">
        <v>12</v>
      </c>
      <c r="F900" s="6" t="s">
        <v>13</v>
      </c>
      <c r="G900" s="6" t="s">
        <v>130</v>
      </c>
      <c r="H900" s="8" t="s">
        <v>1739</v>
      </c>
      <c r="I900" s="9">
        <v>1715000.0</v>
      </c>
      <c r="J900" s="5" t="str">
        <f t="shared" ref="J900:K900" si="900">SUBSTITUTE(H900, ",", "")</f>
        <v>35</v>
      </c>
      <c r="K900" s="5" t="str">
        <f t="shared" si="900"/>
        <v>Rp1715000</v>
      </c>
      <c r="L900" s="5" t="str">
        <f t="shared" si="3"/>
        <v>1715000</v>
      </c>
    </row>
    <row r="901">
      <c r="A901" s="6" t="s">
        <v>1759</v>
      </c>
      <c r="B901" s="7" t="str">
        <f>HYPERLINK("https://shopee.co.id/COSRX-Hydrium-Centella-Aqua-Soothing-Ampoule-40-ml-Ampul-untuk-Menenangkan-Skincare-i.224957239.5731551144", "https://shopee.co.id/COSRX-Hydrium-Centella-Aqua-Soothing-Ampoule-40-ml-Ampul-untuk-Menenangkan-Skincare-i.224957239.5731551144")</f>
        <v>https://shopee.co.id/COSRX-Hydrium-Centella-Aqua-Soothing-Ampoule-40-ml-Ampul-untuk-Menenangkan-Skincare-i.224957239.5731551144</v>
      </c>
      <c r="C901" s="6" t="s">
        <v>305</v>
      </c>
      <c r="D901" s="6" t="s">
        <v>492</v>
      </c>
      <c r="E901" s="6" t="s">
        <v>12</v>
      </c>
      <c r="F901" s="6" t="s">
        <v>13</v>
      </c>
      <c r="G901" s="6" t="s">
        <v>21</v>
      </c>
      <c r="H901" s="8" t="s">
        <v>1739</v>
      </c>
      <c r="I901" s="9">
        <v>5801250.0</v>
      </c>
      <c r="J901" s="5" t="str">
        <f t="shared" ref="J901:K901" si="901">SUBSTITUTE(H901, ",", "")</f>
        <v>35</v>
      </c>
      <c r="K901" s="5" t="str">
        <f t="shared" si="901"/>
        <v>Rp5801250</v>
      </c>
      <c r="L901" s="5" t="str">
        <f t="shared" si="3"/>
        <v>5801250</v>
      </c>
    </row>
    <row r="902">
      <c r="A902" s="6" t="s">
        <v>1760</v>
      </c>
      <c r="B902" s="7" t="str">
        <f>HYPERLINK("https://shopee.co.id/La-Tulipe-Essential-Whitening-Serum-i.131133483.2090030038", "https://shopee.co.id/La-Tulipe-Essential-Whitening-Serum-i.131133483.2090030038")</f>
        <v>https://shopee.co.id/La-Tulipe-Essential-Whitening-Serum-i.131133483.2090030038</v>
      </c>
      <c r="C902" s="6" t="s">
        <v>1761</v>
      </c>
      <c r="D902" s="6" t="s">
        <v>1762</v>
      </c>
      <c r="E902" s="6" t="s">
        <v>12</v>
      </c>
      <c r="F902" s="6" t="s">
        <v>13</v>
      </c>
      <c r="G902" s="6" t="s">
        <v>61</v>
      </c>
      <c r="H902" s="8" t="s">
        <v>1763</v>
      </c>
      <c r="I902" s="9">
        <v>1.2717E7</v>
      </c>
      <c r="J902" s="5" t="str">
        <f t="shared" ref="J902:K902" si="902">SUBSTITUTE(H902, ",", "")</f>
        <v>34</v>
      </c>
      <c r="K902" s="5" t="str">
        <f t="shared" si="902"/>
        <v>Rp12717000</v>
      </c>
      <c r="L902" s="5" t="str">
        <f t="shared" si="3"/>
        <v>12717000</v>
      </c>
    </row>
    <row r="903">
      <c r="A903" s="6" t="s">
        <v>1764</v>
      </c>
      <c r="B903" s="7" t="str">
        <f>HYPERLINK("https://shopee.co.id/SOMETHINC-Bakuchiol-Skinrepair-Oil-Serum-i.270965687.3177265098", "https://shopee.co.id/SOMETHINC-Bakuchiol-Skinrepair-Oil-Serum-i.270965687.3177265098")</f>
        <v>https://shopee.co.id/SOMETHINC-Bakuchiol-Skinrepair-Oil-Serum-i.270965687.3177265098</v>
      </c>
      <c r="C903" s="6" t="s">
        <v>45</v>
      </c>
      <c r="D903" s="6" t="s">
        <v>379</v>
      </c>
      <c r="E903" s="6" t="s">
        <v>12</v>
      </c>
      <c r="F903" s="6" t="s">
        <v>13</v>
      </c>
      <c r="G903" s="6" t="s">
        <v>380</v>
      </c>
      <c r="H903" s="8" t="s">
        <v>1763</v>
      </c>
      <c r="I903" s="9">
        <v>1.6848E7</v>
      </c>
      <c r="J903" s="5" t="str">
        <f t="shared" ref="J903:K903" si="903">SUBSTITUTE(H903, ",", "")</f>
        <v>34</v>
      </c>
      <c r="K903" s="5" t="str">
        <f t="shared" si="903"/>
        <v>Rp16848000</v>
      </c>
      <c r="L903" s="5" t="str">
        <f t="shared" si="3"/>
        <v>16848000</v>
      </c>
    </row>
    <row r="904">
      <c r="A904" s="6" t="s">
        <v>1765</v>
      </c>
      <c r="B904" s="7" t="str">
        <f>HYPERLINK("https://shopee.co.id/THE-AUBREE-Centella-Herb-Serum-Centella-Asiatica-Niacinamide-Salicylic-Acid-30ml-i.270965687.8514125098", "https://shopee.co.id/THE-AUBREE-Centella-Herb-Serum-Centella-Asiatica-Niacinamide-Salicylic-Acid-30ml-i.270965687.8514125098")</f>
        <v>https://shopee.co.id/THE-AUBREE-Centella-Herb-Serum-Centella-Asiatica-Niacinamide-Salicylic-Acid-30ml-i.270965687.8514125098</v>
      </c>
      <c r="C904" s="6" t="s">
        <v>772</v>
      </c>
      <c r="D904" s="6" t="s">
        <v>379</v>
      </c>
      <c r="E904" s="6" t="s">
        <v>12</v>
      </c>
      <c r="F904" s="6" t="s">
        <v>13</v>
      </c>
      <c r="G904" s="6" t="s">
        <v>380</v>
      </c>
      <c r="H904" s="8" t="s">
        <v>1763</v>
      </c>
      <c r="I904" s="9">
        <v>1.10925E7</v>
      </c>
      <c r="J904" s="5" t="str">
        <f t="shared" ref="J904:K904" si="904">SUBSTITUTE(H904, ",", "")</f>
        <v>34</v>
      </c>
      <c r="K904" s="5" t="str">
        <f t="shared" si="904"/>
        <v>Rp11092500</v>
      </c>
      <c r="L904" s="5" t="str">
        <f t="shared" si="3"/>
        <v>11092500</v>
      </c>
    </row>
    <row r="905">
      <c r="A905" s="6" t="s">
        <v>1766</v>
      </c>
      <c r="B905" s="7" t="str">
        <f>HYPERLINK("https://shopee.co.id/WHITELAB-Brightening-Face-Serum-20ml-i.270965687.7981760254", "https://shopee.co.id/WHITELAB-Brightening-Face-Serum-20ml-i.270965687.7981760254")</f>
        <v>https://shopee.co.id/WHITELAB-Brightening-Face-Serum-20ml-i.270965687.7981760254</v>
      </c>
      <c r="C905" s="6" t="s">
        <v>59</v>
      </c>
      <c r="D905" s="6" t="s">
        <v>379</v>
      </c>
      <c r="E905" s="6" t="s">
        <v>12</v>
      </c>
      <c r="F905" s="6" t="s">
        <v>13</v>
      </c>
      <c r="G905" s="6" t="s">
        <v>380</v>
      </c>
      <c r="H905" s="8" t="s">
        <v>1763</v>
      </c>
      <c r="I905" s="9">
        <v>3954990.0</v>
      </c>
      <c r="J905" s="5" t="str">
        <f t="shared" ref="J905:K905" si="905">SUBSTITUTE(H905, ",", "")</f>
        <v>34</v>
      </c>
      <c r="K905" s="5" t="str">
        <f t="shared" si="905"/>
        <v>Rp3954990</v>
      </c>
      <c r="L905" s="5" t="str">
        <f t="shared" si="3"/>
        <v>3954990</v>
      </c>
    </row>
    <row r="906">
      <c r="A906" s="6" t="s">
        <v>1767</v>
      </c>
      <c r="B906" s="7" t="str">
        <f>HYPERLINK("https://shopee.co.id/Bio-Beauty-Lab-Phyto-Power-Essence-50-mL-i.65323877.11319056403", "https://shopee.co.id/Bio-Beauty-Lab-Phyto-Power-Essence-50-mL-i.65323877.11319056403")</f>
        <v>https://shopee.co.id/Bio-Beauty-Lab-Phyto-Power-Essence-50-mL-i.65323877.11319056403</v>
      </c>
      <c r="C906" s="6" t="s">
        <v>120</v>
      </c>
      <c r="D906" s="6" t="s">
        <v>1600</v>
      </c>
      <c r="E906" s="6" t="s">
        <v>12</v>
      </c>
      <c r="F906" s="6" t="s">
        <v>13</v>
      </c>
      <c r="G906" s="6" t="s">
        <v>296</v>
      </c>
      <c r="H906" s="8" t="s">
        <v>1763</v>
      </c>
      <c r="I906" s="9">
        <v>5729100.0</v>
      </c>
      <c r="J906" s="5" t="str">
        <f t="shared" ref="J906:K906" si="906">SUBSTITUTE(H906, ",", "")</f>
        <v>34</v>
      </c>
      <c r="K906" s="5" t="str">
        <f t="shared" si="906"/>
        <v>Rp5729100</v>
      </c>
      <c r="L906" s="5" t="str">
        <f t="shared" si="3"/>
        <v>5729100</v>
      </c>
    </row>
    <row r="907">
      <c r="A907" s="6" t="s">
        <v>1768</v>
      </c>
      <c r="B907" s="7" t="str">
        <f>HYPERLINK("https://shopee.co.id/Avoskin-Your-Skin-Bae-Niacinamide-12-Centella-Asiatica-30ml-i.825870.9563515980", "https://shopee.co.id/Avoskin-Your-Skin-Bae-Niacinamide-12-Centella-Asiatica-30ml-i.825870.9563515980")</f>
        <v>https://shopee.co.id/Avoskin-Your-Skin-Bae-Niacinamide-12-Centella-Asiatica-30ml-i.825870.9563515980</v>
      </c>
      <c r="C907" s="6" t="s">
        <v>83</v>
      </c>
      <c r="D907" s="6" t="s">
        <v>1184</v>
      </c>
      <c r="E907" s="6" t="s">
        <v>12</v>
      </c>
      <c r="F907" s="6" t="s">
        <v>13</v>
      </c>
      <c r="G907" s="6" t="s">
        <v>21</v>
      </c>
      <c r="H907" s="8" t="s">
        <v>1763</v>
      </c>
      <c r="I907" s="9">
        <v>4420000.0</v>
      </c>
      <c r="J907" s="5" t="str">
        <f t="shared" ref="J907:K907" si="907">SUBSTITUTE(H907, ",", "")</f>
        <v>34</v>
      </c>
      <c r="K907" s="5" t="str">
        <f t="shared" si="907"/>
        <v>Rp4420000</v>
      </c>
      <c r="L907" s="5" t="str">
        <f t="shared" si="3"/>
        <v>4420000</v>
      </c>
    </row>
    <row r="908">
      <c r="A908" s="6" t="s">
        <v>1769</v>
      </c>
      <c r="B908" s="7" t="str">
        <f>HYPERLINK("https://shopee.co.id/GF-TRILOGY-CERTIFIED-ORGANIC-RHO-5ML-i.53497038.6268869426", "https://shopee.co.id/GF-TRILOGY-CERTIFIED-ORGANIC-RHO-5ML-i.53497038.6268869426")</f>
        <v>https://shopee.co.id/GF-TRILOGY-CERTIFIED-ORGANIC-RHO-5ML-i.53497038.6268869426</v>
      </c>
      <c r="C908" s="6" t="s">
        <v>906</v>
      </c>
      <c r="D908" s="6" t="s">
        <v>907</v>
      </c>
      <c r="E908" s="6" t="s">
        <v>12</v>
      </c>
      <c r="F908" s="6" t="s">
        <v>13</v>
      </c>
      <c r="G908" s="6" t="s">
        <v>61</v>
      </c>
      <c r="H908" s="8" t="s">
        <v>1763</v>
      </c>
      <c r="I908" s="9">
        <v>764000.0</v>
      </c>
      <c r="J908" s="5" t="str">
        <f t="shared" ref="J908:K908" si="908">SUBSTITUTE(H908, ",", "")</f>
        <v>34</v>
      </c>
      <c r="K908" s="5" t="str">
        <f t="shared" si="908"/>
        <v>Rp764000</v>
      </c>
      <c r="L908" s="5" t="str">
        <f t="shared" si="3"/>
        <v>764000</v>
      </c>
    </row>
    <row r="909">
      <c r="A909" s="6" t="s">
        <v>1770</v>
      </c>
      <c r="B909" s="7" t="str">
        <f>HYPERLINK("https://shopee.co.id/Ertos-Astaxanthine-Whitening-Essence-Cream-by-Erto-s-Skincare-i.23831802.1593243113", "https://shopee.co.id/Ertos-Astaxanthine-Whitening-Essence-Cream-by-Erto-s-Skincare-i.23831802.1593243113")</f>
        <v>https://shopee.co.id/Ertos-Astaxanthine-Whitening-Essence-Cream-by-Erto-s-Skincare-i.23831802.1593243113</v>
      </c>
      <c r="C909" s="6" t="s">
        <v>467</v>
      </c>
      <c r="D909" s="6" t="s">
        <v>1084</v>
      </c>
      <c r="E909" s="6" t="s">
        <v>12</v>
      </c>
      <c r="F909" s="6" t="s">
        <v>13</v>
      </c>
      <c r="G909" s="6" t="s">
        <v>1085</v>
      </c>
      <c r="H909" s="8" t="s">
        <v>1763</v>
      </c>
      <c r="I909" s="9">
        <v>3317400.0</v>
      </c>
      <c r="J909" s="5" t="str">
        <f t="shared" ref="J909:K909" si="909">SUBSTITUTE(H909, ",", "")</f>
        <v>34</v>
      </c>
      <c r="K909" s="5" t="str">
        <f t="shared" si="909"/>
        <v>Rp3317400</v>
      </c>
      <c r="L909" s="5" t="str">
        <f t="shared" si="3"/>
        <v>3317400</v>
      </c>
    </row>
    <row r="910">
      <c r="A910" s="6" t="s">
        <v>1771</v>
      </c>
      <c r="B910" s="7" t="str">
        <f>HYPERLINK("https://shopee.co.id/For-Skin-s-Sake-FSS-Retinol-Serum-i.99513899.1620707254", "https://shopee.co.id/For-Skin-s-Sake-FSS-Retinol-Serum-i.99513899.1620707254")</f>
        <v>https://shopee.co.id/For-Skin-s-Sake-FSS-Retinol-Serum-i.99513899.1620707254</v>
      </c>
      <c r="C910" s="6" t="s">
        <v>1772</v>
      </c>
      <c r="D910" s="6" t="s">
        <v>1773</v>
      </c>
      <c r="E910" s="6" t="s">
        <v>12</v>
      </c>
      <c r="F910" s="6" t="s">
        <v>13</v>
      </c>
      <c r="G910" s="6" t="s">
        <v>130</v>
      </c>
      <c r="H910" s="8" t="s">
        <v>1763</v>
      </c>
      <c r="I910" s="9">
        <v>4190400.0</v>
      </c>
      <c r="J910" s="5" t="str">
        <f t="shared" ref="J910:K910" si="910">SUBSTITUTE(H910, ",", "")</f>
        <v>34</v>
      </c>
      <c r="K910" s="5" t="str">
        <f t="shared" si="910"/>
        <v>Rp4190400</v>
      </c>
      <c r="L910" s="5" t="str">
        <f t="shared" si="3"/>
        <v>4190400</v>
      </c>
    </row>
    <row r="911">
      <c r="A911" s="6" t="s">
        <v>1774</v>
      </c>
      <c r="B911" s="7" t="str">
        <f>HYPERLINK("https://shopee.co.id/Sbcskin-Vit-C-15-Skin-Booster-And-Antioxidant-Serum-i.229435322.6644664616", "https://shopee.co.id/Sbcskin-Vit-C-15-Skin-Booster-And-Antioxidant-Serum-i.229435322.6644664616")</f>
        <v>https://shopee.co.id/Sbcskin-Vit-C-15-Skin-Booster-And-Antioxidant-Serum-i.229435322.6644664616</v>
      </c>
      <c r="C911" s="6" t="s">
        <v>1775</v>
      </c>
      <c r="D911" s="6" t="s">
        <v>1776</v>
      </c>
      <c r="E911" s="6" t="s">
        <v>12</v>
      </c>
      <c r="F911" s="6" t="s">
        <v>13</v>
      </c>
      <c r="G911" s="6" t="s">
        <v>1777</v>
      </c>
      <c r="H911" s="8" t="s">
        <v>1763</v>
      </c>
      <c r="I911" s="9">
        <v>647900.0</v>
      </c>
      <c r="J911" s="5" t="str">
        <f t="shared" ref="J911:K911" si="911">SUBSTITUTE(H911, ",", "")</f>
        <v>34</v>
      </c>
      <c r="K911" s="5" t="str">
        <f t="shared" si="911"/>
        <v>Rp647900</v>
      </c>
      <c r="L911" s="5" t="str">
        <f t="shared" si="3"/>
        <v>647900</v>
      </c>
    </row>
    <row r="912">
      <c r="A912" s="6" t="s">
        <v>1778</v>
      </c>
      <c r="B912" s="7" t="str">
        <f>HYPERLINK("https://shopee.co.id/Benton-Fermentation-Essence-100ml-i.180415888.6503961567", "https://shopee.co.id/Benton-Fermentation-Essence-100ml-i.180415888.6503961567")</f>
        <v>https://shopee.co.id/Benton-Fermentation-Essence-100ml-i.180415888.6503961567</v>
      </c>
      <c r="C912" s="6" t="s">
        <v>456</v>
      </c>
      <c r="D912" s="6" t="s">
        <v>457</v>
      </c>
      <c r="E912" s="6" t="s">
        <v>12</v>
      </c>
      <c r="F912" s="6" t="s">
        <v>13</v>
      </c>
      <c r="G912" s="6" t="s">
        <v>80</v>
      </c>
      <c r="H912" s="8" t="s">
        <v>1763</v>
      </c>
      <c r="I912" s="9">
        <v>7442600.0</v>
      </c>
      <c r="J912" s="5" t="str">
        <f t="shared" ref="J912:K912" si="912">SUBSTITUTE(H912, ",", "")</f>
        <v>34</v>
      </c>
      <c r="K912" s="5" t="str">
        <f t="shared" si="912"/>
        <v>Rp7442600</v>
      </c>
      <c r="L912" s="5" t="str">
        <f t="shared" si="3"/>
        <v>7442600</v>
      </c>
    </row>
    <row r="913">
      <c r="A913" s="6" t="s">
        <v>1779</v>
      </c>
      <c r="B913" s="7" t="str">
        <f>HYPERLINK("https://shopee.co.id/KKV-GET-VOUCHER-Avoskin-Miraculous-Refining-Serum-AHA-BHA-Niacinamide-i.313431312.8986463533", "https://shopee.co.id/KKV-GET-VOUCHER-Avoskin-Miraculous-Refining-Serum-AHA-BHA-Niacinamide-i.313431312.8986463533")</f>
        <v>https://shopee.co.id/KKV-GET-VOUCHER-Avoskin-Miraculous-Refining-Serum-AHA-BHA-Niacinamide-i.313431312.8986463533</v>
      </c>
      <c r="C913" s="6" t="s">
        <v>83</v>
      </c>
      <c r="D913" s="6" t="s">
        <v>1524</v>
      </c>
      <c r="E913" s="6" t="s">
        <v>12</v>
      </c>
      <c r="F913" s="6" t="s">
        <v>13</v>
      </c>
      <c r="G913" s="6" t="s">
        <v>21</v>
      </c>
      <c r="H913" s="8" t="s">
        <v>1763</v>
      </c>
      <c r="I913" s="9">
        <v>8250200.0</v>
      </c>
      <c r="J913" s="5" t="str">
        <f t="shared" ref="J913:K913" si="913">SUBSTITUTE(H913, ",", "")</f>
        <v>34</v>
      </c>
      <c r="K913" s="5" t="str">
        <f t="shared" si="913"/>
        <v>Rp8250200</v>
      </c>
      <c r="L913" s="5" t="str">
        <f t="shared" si="3"/>
        <v>8250200</v>
      </c>
    </row>
    <row r="914">
      <c r="A914" s="6" t="s">
        <v>1780</v>
      </c>
      <c r="B914" s="7" t="str">
        <f>HYPERLINK("https://shopee.co.id/Nature-Reaction-Serum-Wajah-Glowing-Putih-Bersih-Bebas-Jerawat-Kusam-Bintik-Hitam-Terdaftar-BPOM-i.375565670.10807783029", "https://shopee.co.id/Nature-Reaction-Serum-Wajah-Glowing-Putih-Bersih-Bebas-Jerawat-Kusam-Bintik-Hitam-Terdaftar-BPOM-i.375565670.10807783029")</f>
        <v>https://shopee.co.id/Nature-Reaction-Serum-Wajah-Glowing-Putih-Bersih-Bebas-Jerawat-Kusam-Bintik-Hitam-Terdaftar-BPOM-i.375565670.10807783029</v>
      </c>
      <c r="C914" s="6" t="s">
        <v>530</v>
      </c>
      <c r="D914" s="6" t="s">
        <v>531</v>
      </c>
      <c r="E914" s="6" t="s">
        <v>12</v>
      </c>
      <c r="F914" s="6" t="s">
        <v>13</v>
      </c>
      <c r="G914" s="6" t="s">
        <v>532</v>
      </c>
      <c r="H914" s="8" t="s">
        <v>1763</v>
      </c>
      <c r="I914" s="9">
        <v>8004600.0</v>
      </c>
      <c r="J914" s="5" t="str">
        <f t="shared" ref="J914:K914" si="914">SUBSTITUTE(H914, ",", "")</f>
        <v>34</v>
      </c>
      <c r="K914" s="5" t="str">
        <f t="shared" si="914"/>
        <v>Rp8004600</v>
      </c>
      <c r="L914" s="5" t="str">
        <f t="shared" si="3"/>
        <v>8004600</v>
      </c>
    </row>
    <row r="915">
      <c r="A915" s="6" t="s">
        <v>1781</v>
      </c>
      <c r="B915" s="7" t="str">
        <f>HYPERLINK("https://shopee.co.id/Purivera-Double-Treat-Whitening-Chromabright-Niacinamide-5-As-Kojic-Acid-Vitamin-C-Alternative-i.43724442.8518738150", "https://shopee.co.id/Purivera-Double-Treat-Whitening-Chromabright-Niacinamide-5-As-Kojic-Acid-Vitamin-C-Alternative-i.43724442.8518738150")</f>
        <v>https://shopee.co.id/Purivera-Double-Treat-Whitening-Chromabright-Niacinamide-5-As-Kojic-Acid-Vitamin-C-Alternative-i.43724442.8518738150</v>
      </c>
      <c r="C915" s="6" t="s">
        <v>428</v>
      </c>
      <c r="D915" s="6" t="s">
        <v>429</v>
      </c>
      <c r="E915" s="6" t="s">
        <v>12</v>
      </c>
      <c r="F915" s="6" t="s">
        <v>13</v>
      </c>
      <c r="G915" s="6" t="s">
        <v>61</v>
      </c>
      <c r="H915" s="8" t="s">
        <v>1782</v>
      </c>
      <c r="I915" s="9">
        <v>1.3785E7</v>
      </c>
      <c r="J915" s="5" t="str">
        <f t="shared" ref="J915:K915" si="915">SUBSTITUTE(H915, ",", "")</f>
        <v>33</v>
      </c>
      <c r="K915" s="5" t="str">
        <f t="shared" si="915"/>
        <v>Rp13785000</v>
      </c>
      <c r="L915" s="5" t="str">
        <f t="shared" si="3"/>
        <v>13785000</v>
      </c>
    </row>
    <row r="916">
      <c r="A916" s="6" t="s">
        <v>1783</v>
      </c>
      <c r="B916" s="7" t="str">
        <f>HYPERLINK("https://shopee.co.id/BREYLEE-SETS-of-SERUM-A-Mencerahkan-Mengencangkan-Wajah-2pcs--i.324706771.3768902792", "https://shopee.co.id/BREYLEE-SETS-of-SERUM-A-Mencerahkan-Mengencangkan-Wajah-2pcs--i.324706771.3768902792")</f>
        <v>https://shopee.co.id/BREYLEE-SETS-of-SERUM-A-Mencerahkan-Mengencangkan-Wajah-2pcs--i.324706771.3768902792</v>
      </c>
      <c r="C916" s="6" t="s">
        <v>852</v>
      </c>
      <c r="D916" s="6" t="s">
        <v>853</v>
      </c>
      <c r="E916" s="6" t="s">
        <v>12</v>
      </c>
      <c r="F916" s="6" t="s">
        <v>13</v>
      </c>
      <c r="G916" s="6" t="s">
        <v>532</v>
      </c>
      <c r="H916" s="8" t="s">
        <v>1782</v>
      </c>
      <c r="I916" s="9">
        <v>1.30956E7</v>
      </c>
      <c r="J916" s="5" t="str">
        <f t="shared" ref="J916:K916" si="916">SUBSTITUTE(H916, ",", "")</f>
        <v>33</v>
      </c>
      <c r="K916" s="5" t="str">
        <f t="shared" si="916"/>
        <v>Rp13095600</v>
      </c>
      <c r="L916" s="5" t="str">
        <f t="shared" si="3"/>
        <v>13095600</v>
      </c>
    </row>
    <row r="917">
      <c r="A917" s="6" t="s">
        <v>1784</v>
      </c>
      <c r="B917" s="7" t="str">
        <f>HYPERLINK("https://shopee.co.id/Somethinc-Bakuchiol-Skinpair-Oil-Serum-20ml-i.136011044.9510593172", "https://shopee.co.id/Somethinc-Bakuchiol-Skinpair-Oil-Serum-20ml-i.136011044.9510593172")</f>
        <v>https://shopee.co.id/Somethinc-Bakuchiol-Skinpair-Oil-Serum-20ml-i.136011044.9510593172</v>
      </c>
      <c r="C917" s="6" t="s">
        <v>45</v>
      </c>
      <c r="D917" s="6" t="s">
        <v>632</v>
      </c>
      <c r="E917" s="6" t="s">
        <v>12</v>
      </c>
      <c r="F917" s="6" t="s">
        <v>13</v>
      </c>
      <c r="G917" s="6" t="s">
        <v>21</v>
      </c>
      <c r="H917" s="8" t="s">
        <v>1782</v>
      </c>
      <c r="I917" s="9">
        <v>3577200.0</v>
      </c>
      <c r="J917" s="5" t="str">
        <f t="shared" ref="J917:K917" si="917">SUBSTITUTE(H917, ",", "")</f>
        <v>33</v>
      </c>
      <c r="K917" s="5" t="str">
        <f t="shared" si="917"/>
        <v>Rp3577200</v>
      </c>
      <c r="L917" s="5" t="str">
        <f t="shared" si="3"/>
        <v>3577200</v>
      </c>
    </row>
    <row r="918">
      <c r="A918" s="6" t="s">
        <v>1785</v>
      </c>
      <c r="B918" s="7" t="str">
        <f>HYPERLINK("https://shopee.co.id/KF-Skin-Serum-Silky-i.298365554.4652071583", "https://shopee.co.id/KF-Skin-Serum-Silky-i.298365554.4652071583")</f>
        <v>https://shopee.co.id/KF-Skin-Serum-Silky-i.298365554.4652071583</v>
      </c>
      <c r="C918" s="6" t="s">
        <v>1290</v>
      </c>
      <c r="D918" s="6" t="s">
        <v>1291</v>
      </c>
      <c r="E918" s="6" t="s">
        <v>12</v>
      </c>
      <c r="F918" s="6" t="s">
        <v>13</v>
      </c>
      <c r="G918" s="6" t="s">
        <v>1292</v>
      </c>
      <c r="H918" s="8" t="s">
        <v>1782</v>
      </c>
      <c r="I918" s="9">
        <v>3400800.0</v>
      </c>
      <c r="J918" s="5" t="str">
        <f t="shared" ref="J918:K918" si="918">SUBSTITUTE(H918, ",", "")</f>
        <v>33</v>
      </c>
      <c r="K918" s="5" t="str">
        <f t="shared" si="918"/>
        <v>Rp3400800</v>
      </c>
      <c r="L918" s="5" t="str">
        <f t="shared" si="3"/>
        <v>3400800</v>
      </c>
    </row>
    <row r="919">
      <c r="A919" s="6" t="s">
        <v>1786</v>
      </c>
      <c r="B919" s="7" t="str">
        <f>HYPERLINK("https://shopee.co.id/-ONLY-9-12-SEPT-Ultimune-Power-Infusing-Concentrate-Serum-3-0-30-ml-i.345419471.4595401664", "https://shopee.co.id/-ONLY-9-12-SEPT-Ultimune-Power-Infusing-Concentrate-Serum-3-0-30-ml-i.345419471.4595401664")</f>
        <v>https://shopee.co.id/-ONLY-9-12-SEPT-Ultimune-Power-Infusing-Concentrate-Serum-3-0-30-ml-i.345419471.4595401664</v>
      </c>
      <c r="C919" s="6" t="s">
        <v>868</v>
      </c>
      <c r="D919" s="6" t="s">
        <v>869</v>
      </c>
      <c r="E919" s="6" t="s">
        <v>12</v>
      </c>
      <c r="F919" s="6" t="s">
        <v>13</v>
      </c>
      <c r="G919" s="6" t="s">
        <v>130</v>
      </c>
      <c r="H919" s="8" t="s">
        <v>1782</v>
      </c>
      <c r="I919" s="9">
        <v>7079200.0</v>
      </c>
      <c r="J919" s="5" t="str">
        <f t="shared" ref="J919:K919" si="919">SUBSTITUTE(H919, ",", "")</f>
        <v>33</v>
      </c>
      <c r="K919" s="5" t="str">
        <f t="shared" si="919"/>
        <v>Rp7079200</v>
      </c>
      <c r="L919" s="5" t="str">
        <f t="shared" si="3"/>
        <v>7079200</v>
      </c>
    </row>
    <row r="920">
      <c r="A920" s="6" t="s">
        <v>1787</v>
      </c>
      <c r="B920" s="7" t="str">
        <f>HYPERLINK("https://shopee.co.id/BREYLEE-Cleaning-Acne-Treatment-Serum-Set-3-pcs--i.324706771.9867511969", "https://shopee.co.id/BREYLEE-Cleaning-Acne-Treatment-Serum-Set-3-pcs--i.324706771.9867511969")</f>
        <v>https://shopee.co.id/BREYLEE-Cleaning-Acne-Treatment-Serum-Set-3-pcs--i.324706771.9867511969</v>
      </c>
      <c r="C920" s="6" t="s">
        <v>852</v>
      </c>
      <c r="D920" s="6" t="s">
        <v>853</v>
      </c>
      <c r="E920" s="6" t="s">
        <v>12</v>
      </c>
      <c r="F920" s="6" t="s">
        <v>13</v>
      </c>
      <c r="G920" s="6" t="s">
        <v>532</v>
      </c>
      <c r="H920" s="8" t="s">
        <v>1782</v>
      </c>
      <c r="I920" s="9">
        <v>6160100.0</v>
      </c>
      <c r="J920" s="5" t="str">
        <f t="shared" ref="J920:K920" si="920">SUBSTITUTE(H920, ",", "")</f>
        <v>33</v>
      </c>
      <c r="K920" s="5" t="str">
        <f t="shared" si="920"/>
        <v>Rp6160100</v>
      </c>
      <c r="L920" s="5" t="str">
        <f t="shared" si="3"/>
        <v>6160100</v>
      </c>
    </row>
    <row r="921">
      <c r="A921" s="6" t="s">
        <v>1788</v>
      </c>
      <c r="B921" s="7" t="str">
        <f>HYPERLINK("https://shopee.co.id/KANEBO-Smoothing-Serum-100ML-i.169111593.5701802312", "https://shopee.co.id/KANEBO-Smoothing-Serum-100ML-i.169111593.5701802312")</f>
        <v>https://shopee.co.id/KANEBO-Smoothing-Serum-100ML-i.169111593.5701802312</v>
      </c>
      <c r="C921" s="6" t="s">
        <v>1473</v>
      </c>
      <c r="D921" s="6" t="s">
        <v>1474</v>
      </c>
      <c r="E921" s="6" t="s">
        <v>12</v>
      </c>
      <c r="F921" s="6" t="s">
        <v>13</v>
      </c>
      <c r="G921" s="6" t="s">
        <v>532</v>
      </c>
      <c r="H921" s="8" t="s">
        <v>1782</v>
      </c>
      <c r="I921" s="9">
        <v>5148000.0</v>
      </c>
      <c r="J921" s="5" t="str">
        <f t="shared" ref="J921:K921" si="921">SUBSTITUTE(H921, ",", "")</f>
        <v>33</v>
      </c>
      <c r="K921" s="5" t="str">
        <f t="shared" si="921"/>
        <v>Rp5148000</v>
      </c>
      <c r="L921" s="5" t="str">
        <f t="shared" si="3"/>
        <v>5148000</v>
      </c>
    </row>
    <row r="922">
      <c r="A922" s="6" t="s">
        <v>1789</v>
      </c>
      <c r="B922" s="7" t="str">
        <f>HYPERLINK("https://shopee.co.id/Avoskin-Perfect-Hydrating-Treatment-Essence-100-ml--i.110573301.9202995515", "https://shopee.co.id/Avoskin-Perfect-Hydrating-Treatment-Essence-100-ml--i.110573301.9202995515")</f>
        <v>https://shopee.co.id/Avoskin-Perfect-Hydrating-Treatment-Essence-100-ml--i.110573301.9202995515</v>
      </c>
      <c r="C922" s="6" t="s">
        <v>83</v>
      </c>
      <c r="D922" s="6" t="s">
        <v>227</v>
      </c>
      <c r="E922" s="6" t="s">
        <v>12</v>
      </c>
      <c r="F922" s="6" t="s">
        <v>13</v>
      </c>
      <c r="G922" s="6" t="s">
        <v>61</v>
      </c>
      <c r="H922" s="8" t="s">
        <v>1782</v>
      </c>
      <c r="I922" s="9">
        <v>1650000.0</v>
      </c>
      <c r="J922" s="5" t="str">
        <f t="shared" ref="J922:K922" si="922">SUBSTITUTE(H922, ",", "")</f>
        <v>33</v>
      </c>
      <c r="K922" s="5" t="str">
        <f t="shared" si="922"/>
        <v>Rp1650000</v>
      </c>
      <c r="L922" s="5" t="str">
        <f t="shared" si="3"/>
        <v>1650000</v>
      </c>
    </row>
    <row r="923">
      <c r="A923" s="6" t="s">
        <v>1790</v>
      </c>
      <c r="B923" s="7" t="str">
        <f>HYPERLINK("https://shopee.co.id/Le-d-Olla-Nuovo-Caviar-Ginseng-Essence-i.300470589.5748751111", "https://shopee.co.id/Le-d-Olla-Nuovo-Caviar-Ginseng-Essence-i.300470589.5748751111")</f>
        <v>https://shopee.co.id/Le-d-Olla-Nuovo-Caviar-Ginseng-Essence-i.300470589.5748751111</v>
      </c>
      <c r="C923" s="6" t="s">
        <v>1791</v>
      </c>
      <c r="D923" s="6" t="s">
        <v>1792</v>
      </c>
      <c r="E923" s="6" t="s">
        <v>12</v>
      </c>
      <c r="F923" s="6" t="s">
        <v>13</v>
      </c>
      <c r="G923" s="6" t="s">
        <v>98</v>
      </c>
      <c r="H923" s="8" t="s">
        <v>1782</v>
      </c>
      <c r="I923" s="9">
        <v>3444000.0</v>
      </c>
      <c r="J923" s="5" t="str">
        <f t="shared" ref="J923:K923" si="923">SUBSTITUTE(H923, ",", "")</f>
        <v>33</v>
      </c>
      <c r="K923" s="5" t="str">
        <f t="shared" si="923"/>
        <v>Rp3444000</v>
      </c>
      <c r="L923" s="5" t="str">
        <f t="shared" si="3"/>
        <v>3444000</v>
      </c>
    </row>
    <row r="924">
      <c r="A924" s="6" t="s">
        <v>1793</v>
      </c>
      <c r="B924" s="7" t="str">
        <f>HYPERLINK("https://shopee.co.id/L-OREAL-Revitalift-Micro-Essence-Water-Skin-Care-130ml-i.30736001.5859034854", "https://shopee.co.id/L-OREAL-Revitalift-Micro-Essence-Water-Skin-Care-130ml-i.30736001.5859034854")</f>
        <v>https://shopee.co.id/L-OREAL-Revitalift-Micro-Essence-Water-Skin-Care-130ml-i.30736001.5859034854</v>
      </c>
      <c r="C924" s="6" t="s">
        <v>105</v>
      </c>
      <c r="D924" s="6" t="s">
        <v>335</v>
      </c>
      <c r="E924" s="6" t="s">
        <v>12</v>
      </c>
      <c r="F924" s="6" t="s">
        <v>13</v>
      </c>
      <c r="G924" s="6" t="s">
        <v>36</v>
      </c>
      <c r="H924" s="8" t="s">
        <v>1782</v>
      </c>
      <c r="I924" s="9">
        <v>4950000.0</v>
      </c>
      <c r="J924" s="5" t="str">
        <f t="shared" ref="J924:K924" si="924">SUBSTITUTE(H924, ",", "")</f>
        <v>33</v>
      </c>
      <c r="K924" s="5" t="str">
        <f t="shared" si="924"/>
        <v>Rp4950000</v>
      </c>
      <c r="L924" s="5" t="str">
        <f t="shared" si="3"/>
        <v>4950000</v>
      </c>
    </row>
    <row r="925">
      <c r="A925" s="6" t="s">
        <v>1794</v>
      </c>
      <c r="B925" s="7" t="str">
        <f>HYPERLINK("https://shopee.co.id/Joylab-Skinotic-Probiotic-Package-Water-Essence-Moisture-Gel--i.127604258.4932125364", "https://shopee.co.id/Joylab-Skinotic-Probiotic-Package-Water-Essence-Moisture-Gel--i.127604258.4932125364")</f>
        <v>https://shopee.co.id/Joylab-Skinotic-Probiotic-Package-Water-Essence-Moisture-Gel--i.127604258.4932125364</v>
      </c>
      <c r="C925" s="6" t="s">
        <v>1795</v>
      </c>
      <c r="D925" s="6" t="s">
        <v>1796</v>
      </c>
      <c r="E925" s="6" t="s">
        <v>12</v>
      </c>
      <c r="F925" s="6" t="s">
        <v>13</v>
      </c>
      <c r="G925" s="6" t="s">
        <v>98</v>
      </c>
      <c r="H925" s="8" t="s">
        <v>1782</v>
      </c>
      <c r="I925" s="9">
        <v>9907000.0</v>
      </c>
      <c r="J925" s="5" t="str">
        <f t="shared" ref="J925:K925" si="925">SUBSTITUTE(H925, ",", "")</f>
        <v>33</v>
      </c>
      <c r="K925" s="5" t="str">
        <f t="shared" si="925"/>
        <v>Rp9907000</v>
      </c>
      <c r="L925" s="5" t="str">
        <f t="shared" si="3"/>
        <v>9907000</v>
      </c>
    </row>
    <row r="926">
      <c r="A926" s="6" t="s">
        <v>1797</v>
      </c>
      <c r="B926" s="7" t="str">
        <f>HYPERLINK("https://shopee.co.id/Buy-1-Get-1-Bio-Essence-Bio-White-Advanced-Whitening-Serum-30-ml-i.63822287.10843981884", "https://shopee.co.id/Buy-1-Get-1-Bio-Essence-Bio-White-Advanced-Whitening-Serum-30-ml-i.63822287.10843981884")</f>
        <v>https://shopee.co.id/Buy-1-Get-1-Bio-Essence-Bio-White-Advanced-Whitening-Serum-30-ml-i.63822287.10843981884</v>
      </c>
      <c r="C926" s="6" t="s">
        <v>1254</v>
      </c>
      <c r="D926" s="6" t="s">
        <v>835</v>
      </c>
      <c r="E926" s="6" t="s">
        <v>12</v>
      </c>
      <c r="F926" s="6" t="s">
        <v>13</v>
      </c>
      <c r="G926" s="6" t="s">
        <v>61</v>
      </c>
      <c r="H926" s="8" t="s">
        <v>1782</v>
      </c>
      <c r="I926" s="9">
        <v>1926000.0</v>
      </c>
      <c r="J926" s="5" t="str">
        <f t="shared" ref="J926:K926" si="926">SUBSTITUTE(H926, ",", "")</f>
        <v>33</v>
      </c>
      <c r="K926" s="5" t="str">
        <f t="shared" si="926"/>
        <v>Rp1926000</v>
      </c>
      <c r="L926" s="5" t="str">
        <f t="shared" si="3"/>
        <v>1926000</v>
      </c>
    </row>
    <row r="927">
      <c r="A927" s="6" t="s">
        <v>1798</v>
      </c>
      <c r="B927" s="7" t="str">
        <f>HYPERLINK("https://shopee.co.id/TRUEVE-Vitamin-C-Ceramide-Brightening-Serum-30ml-i.270965687.9422970518", "https://shopee.co.id/TRUEVE-Vitamin-C-Ceramide-Brightening-Serum-30ml-i.270965687.9422970518")</f>
        <v>https://shopee.co.id/TRUEVE-Vitamin-C-Ceramide-Brightening-Serum-30ml-i.270965687.9422970518</v>
      </c>
      <c r="C927" s="6" t="s">
        <v>34</v>
      </c>
      <c r="D927" s="6" t="s">
        <v>379</v>
      </c>
      <c r="E927" s="6" t="s">
        <v>12</v>
      </c>
      <c r="F927" s="6" t="s">
        <v>13</v>
      </c>
      <c r="G927" s="6" t="s">
        <v>380</v>
      </c>
      <c r="H927" s="8" t="s">
        <v>1782</v>
      </c>
      <c r="I927" s="9">
        <v>1.0008E7</v>
      </c>
      <c r="J927" s="5" t="str">
        <f t="shared" ref="J927:K927" si="927">SUBSTITUTE(H927, ",", "")</f>
        <v>33</v>
      </c>
      <c r="K927" s="5" t="str">
        <f t="shared" si="927"/>
        <v>Rp10008000</v>
      </c>
      <c r="L927" s="5" t="str">
        <f t="shared" si="3"/>
        <v>10008000</v>
      </c>
    </row>
    <row r="928">
      <c r="A928" s="6" t="s">
        <v>1799</v>
      </c>
      <c r="B928" s="7" t="str">
        <f>HYPERLINK("https://shopee.co.id/Niacid-50ml-By-Slurp-All-In-One-Anti-Acne-Serum-i.136011044.9258309276", "https://shopee.co.id/Niacid-50ml-By-Slurp-All-In-One-Anti-Acne-Serum-i.136011044.9258309276")</f>
        <v>https://shopee.co.id/Niacid-50ml-By-Slurp-All-In-One-Anti-Acne-Serum-i.136011044.9258309276</v>
      </c>
      <c r="C928" s="6" t="s">
        <v>244</v>
      </c>
      <c r="D928" s="6" t="s">
        <v>632</v>
      </c>
      <c r="E928" s="6" t="s">
        <v>12</v>
      </c>
      <c r="F928" s="6" t="s">
        <v>13</v>
      </c>
      <c r="G928" s="6" t="s">
        <v>21</v>
      </c>
      <c r="H928" s="8" t="s">
        <v>1782</v>
      </c>
      <c r="I928" s="9">
        <v>4587000.0</v>
      </c>
      <c r="J928" s="5" t="str">
        <f t="shared" ref="J928:K928" si="928">SUBSTITUTE(H928, ",", "")</f>
        <v>33</v>
      </c>
      <c r="K928" s="5" t="str">
        <f t="shared" si="928"/>
        <v>Rp4587000</v>
      </c>
      <c r="L928" s="5" t="str">
        <f t="shared" si="3"/>
        <v>4587000</v>
      </c>
    </row>
    <row r="929">
      <c r="A929" s="6" t="s">
        <v>1800</v>
      </c>
      <c r="B929" s="7" t="str">
        <f>HYPERLINK("https://shopee.co.id/Pixy-White-Aqua-Hydra-Moist-Essence-Netto-100-ML-i.168693892.2900798565", "https://shopee.co.id/Pixy-White-Aqua-Hydra-Moist-Essence-Netto-100-ML-i.168693892.2900798565")</f>
        <v>https://shopee.co.id/Pixy-White-Aqua-Hydra-Moist-Essence-Netto-100-ML-i.168693892.2900798565</v>
      </c>
      <c r="C929" s="6" t="s">
        <v>1398</v>
      </c>
      <c r="D929" s="6" t="s">
        <v>1399</v>
      </c>
      <c r="E929" s="6" t="s">
        <v>12</v>
      </c>
      <c r="F929" s="6" t="s">
        <v>13</v>
      </c>
      <c r="G929" s="6" t="s">
        <v>61</v>
      </c>
      <c r="H929" s="8" t="s">
        <v>1782</v>
      </c>
      <c r="I929" s="9">
        <v>2776950.0</v>
      </c>
      <c r="J929" s="5" t="str">
        <f t="shared" ref="J929:K929" si="929">SUBSTITUTE(H929, ",", "")</f>
        <v>33</v>
      </c>
      <c r="K929" s="5" t="str">
        <f t="shared" si="929"/>
        <v>Rp2776950</v>
      </c>
      <c r="L929" s="5" t="str">
        <f t="shared" si="3"/>
        <v>2776950</v>
      </c>
    </row>
    <row r="930">
      <c r="A930" s="6" t="s">
        <v>1801</v>
      </c>
      <c r="B930" s="7" t="str">
        <f>HYPERLINK("https://shopee.co.id/-Buy-1-Get-1-Bio-Water-Soothing-Cleansing-Gel-150ml-i.63822287.4066639805", "https://shopee.co.id/-Buy-1-Get-1-Bio-Water-Soothing-Cleansing-Gel-150ml-i.63822287.4066639805")</f>
        <v>https://shopee.co.id/-Buy-1-Get-1-Bio-Water-Soothing-Cleansing-Gel-150ml-i.63822287.4066639805</v>
      </c>
      <c r="C930" s="6" t="s">
        <v>1254</v>
      </c>
      <c r="D930" s="6" t="s">
        <v>835</v>
      </c>
      <c r="E930" s="6" t="s">
        <v>12</v>
      </c>
      <c r="F930" s="6" t="s">
        <v>13</v>
      </c>
      <c r="G930" s="6" t="s">
        <v>61</v>
      </c>
      <c r="H930" s="8" t="s">
        <v>1802</v>
      </c>
      <c r="I930" s="9">
        <v>4657400.0</v>
      </c>
      <c r="J930" s="5" t="str">
        <f t="shared" ref="J930:K930" si="930">SUBSTITUTE(H930, ",", "")</f>
        <v>32</v>
      </c>
      <c r="K930" s="5" t="str">
        <f t="shared" si="930"/>
        <v>Rp4657400</v>
      </c>
      <c r="L930" s="5" t="str">
        <f t="shared" si="3"/>
        <v>4657400</v>
      </c>
    </row>
    <row r="931">
      <c r="A931" s="6" t="s">
        <v>1803</v>
      </c>
      <c r="B931" s="7" t="str">
        <f>HYPERLINK("https://shopee.co.id/DERMALUZ-Lucem-Smothees-Power-Serum-with-Galactomyces-i.43690338.3169811722", "https://shopee.co.id/DERMALUZ-Lucem-Smothees-Power-Serum-with-Galactomyces-i.43690338.3169811722")</f>
        <v>https://shopee.co.id/DERMALUZ-Lucem-Smothees-Power-Serum-with-Galactomyces-i.43690338.3169811722</v>
      </c>
      <c r="C931" s="6" t="s">
        <v>1064</v>
      </c>
      <c r="D931" s="6" t="s">
        <v>1065</v>
      </c>
      <c r="E931" s="6" t="s">
        <v>12</v>
      </c>
      <c r="F931" s="6" t="s">
        <v>13</v>
      </c>
      <c r="G931" s="6" t="s">
        <v>241</v>
      </c>
      <c r="H931" s="8" t="s">
        <v>1802</v>
      </c>
      <c r="I931" s="9">
        <v>5904000.0</v>
      </c>
      <c r="J931" s="5" t="str">
        <f t="shared" ref="J931:K931" si="931">SUBSTITUTE(H931, ",", "")</f>
        <v>32</v>
      </c>
      <c r="K931" s="5" t="str">
        <f t="shared" si="931"/>
        <v>Rp5904000</v>
      </c>
      <c r="L931" s="5" t="str">
        <f t="shared" si="3"/>
        <v>5904000</v>
      </c>
    </row>
    <row r="932">
      <c r="A932" s="6" t="s">
        <v>1804</v>
      </c>
      <c r="B932" s="7" t="str">
        <f>HYPERLINK("https://shopee.co.id/-innisfree-Wrinkle-Science-Spot-Treatment-40ML-i.61504589.7104074626", "https://shopee.co.id/-innisfree-Wrinkle-Science-Spot-Treatment-40ML-i.61504589.7104074626")</f>
        <v>https://shopee.co.id/-innisfree-Wrinkle-Science-Spot-Treatment-40ML-i.61504589.7104074626</v>
      </c>
      <c r="C932" s="6" t="s">
        <v>294</v>
      </c>
      <c r="D932" s="6" t="s">
        <v>295</v>
      </c>
      <c r="E932" s="6" t="s">
        <v>12</v>
      </c>
      <c r="F932" s="6" t="s">
        <v>13</v>
      </c>
      <c r="G932" s="6" t="s">
        <v>296</v>
      </c>
      <c r="H932" s="8" t="s">
        <v>1802</v>
      </c>
      <c r="I932" s="9">
        <v>4448000.0</v>
      </c>
      <c r="J932" s="5" t="str">
        <f t="shared" ref="J932:K932" si="932">SUBSTITUTE(H932, ",", "")</f>
        <v>32</v>
      </c>
      <c r="K932" s="5" t="str">
        <f t="shared" si="932"/>
        <v>Rp4448000</v>
      </c>
      <c r="L932" s="5" t="str">
        <f t="shared" si="3"/>
        <v>4448000</v>
      </c>
    </row>
    <row r="933">
      <c r="A933" s="6" t="s">
        <v>1805</v>
      </c>
      <c r="B933" s="7" t="str">
        <f>HYPERLINK("https://shopee.co.id/Wardah-C-Defense-Serum-17Ml-i.30736001.962659726", "https://shopee.co.id/Wardah-C-Defense-Serum-17Ml-i.30736001.962659726")</f>
        <v>https://shopee.co.id/Wardah-C-Defense-Serum-17Ml-i.30736001.962659726</v>
      </c>
      <c r="C933" s="6" t="s">
        <v>169</v>
      </c>
      <c r="D933" s="6" t="s">
        <v>335</v>
      </c>
      <c r="E933" s="6" t="s">
        <v>12</v>
      </c>
      <c r="F933" s="6" t="s">
        <v>13</v>
      </c>
      <c r="G933" s="6" t="s">
        <v>36</v>
      </c>
      <c r="H933" s="8" t="s">
        <v>1802</v>
      </c>
      <c r="I933" s="9">
        <v>784000.0</v>
      </c>
      <c r="J933" s="5" t="str">
        <f t="shared" ref="J933:K933" si="933">SUBSTITUTE(H933, ",", "")</f>
        <v>32</v>
      </c>
      <c r="K933" s="5" t="str">
        <f t="shared" si="933"/>
        <v>Rp784000</v>
      </c>
      <c r="L933" s="5" t="str">
        <f t="shared" si="3"/>
        <v>784000</v>
      </c>
    </row>
    <row r="934">
      <c r="A934" s="6" t="s">
        <v>1806</v>
      </c>
      <c r="B934" s="7" t="str">
        <f>HYPERLINK("https://shopee.co.id/Kalonea-Skincare-Triple-Brightening-Serum-BPOM-i.199590923.6020479586", "https://shopee.co.id/Kalonea-Skincare-Triple-Brightening-Serum-BPOM-i.199590923.6020479586")</f>
        <v>https://shopee.co.id/Kalonea-Skincare-Triple-Brightening-Serum-BPOM-i.199590923.6020479586</v>
      </c>
      <c r="C934" s="6" t="s">
        <v>1807</v>
      </c>
      <c r="D934" s="6" t="s">
        <v>1808</v>
      </c>
      <c r="E934" s="6" t="s">
        <v>12</v>
      </c>
      <c r="F934" s="6" t="s">
        <v>13</v>
      </c>
      <c r="G934" s="6" t="s">
        <v>1048</v>
      </c>
      <c r="H934" s="8" t="s">
        <v>1802</v>
      </c>
      <c r="I934" s="9">
        <v>929250.0</v>
      </c>
      <c r="J934" s="5" t="str">
        <f t="shared" ref="J934:K934" si="934">SUBSTITUTE(H934, ",", "")</f>
        <v>32</v>
      </c>
      <c r="K934" s="5" t="str">
        <f t="shared" si="934"/>
        <v>Rp929250</v>
      </c>
      <c r="L934" s="5" t="str">
        <f t="shared" si="3"/>
        <v>929250</v>
      </c>
    </row>
    <row r="935">
      <c r="A935" s="6" t="s">
        <v>1809</v>
      </c>
      <c r="B935" s="7" t="str">
        <f>HYPERLINK("https://shopee.co.id/Somethinc-Niacinamide-Moisture-Beet-Hyaluronic-B5-Aha-Bha-Pha-Peeling-Solution-Serum-20-Ml-i.53887195.5574048745", "https://shopee.co.id/Somethinc-Niacinamide-Moisture-Beet-Hyaluronic-B5-Aha-Bha-Pha-Peeling-Solution-Serum-20-Ml-i.53887195.5574048745")</f>
        <v>https://shopee.co.id/Somethinc-Niacinamide-Moisture-Beet-Hyaluronic-B5-Aha-Bha-Pha-Peeling-Solution-Serum-20-Ml-i.53887195.5574048745</v>
      </c>
      <c r="C935" s="6" t="s">
        <v>45</v>
      </c>
      <c r="D935" s="6" t="s">
        <v>1026</v>
      </c>
      <c r="E935" s="6" t="s">
        <v>12</v>
      </c>
      <c r="F935" s="6" t="s">
        <v>13</v>
      </c>
      <c r="G935" s="6" t="s">
        <v>80</v>
      </c>
      <c r="H935" s="8" t="s">
        <v>1802</v>
      </c>
      <c r="I935" s="9">
        <v>9224150.0</v>
      </c>
      <c r="J935" s="5" t="str">
        <f t="shared" ref="J935:K935" si="935">SUBSTITUTE(H935, ",", "")</f>
        <v>32</v>
      </c>
      <c r="K935" s="5" t="str">
        <f t="shared" si="935"/>
        <v>Rp9224150</v>
      </c>
      <c r="L935" s="5" t="str">
        <f t="shared" si="3"/>
        <v>9224150</v>
      </c>
    </row>
    <row r="936">
      <c r="A936" s="6" t="s">
        <v>1810</v>
      </c>
      <c r="B936" s="7" t="str">
        <f>HYPERLINK("https://shopee.co.id/SERUM-MOISTURIZER-BTX-ELLA-SKIN-CARE-i.95154428.10931563122", "https://shopee.co.id/SERUM-MOISTURIZER-BTX-ELLA-SKIN-CARE-i.95154428.10931563122")</f>
        <v>https://shopee.co.id/SERUM-MOISTURIZER-BTX-ELLA-SKIN-CARE-i.95154428.10931563122</v>
      </c>
      <c r="C936" s="6" t="s">
        <v>700</v>
      </c>
      <c r="D936" s="6" t="s">
        <v>598</v>
      </c>
      <c r="E936" s="6" t="s">
        <v>12</v>
      </c>
      <c r="F936" s="6" t="s">
        <v>13</v>
      </c>
      <c r="G936" s="6" t="s">
        <v>409</v>
      </c>
      <c r="H936" s="8" t="s">
        <v>1802</v>
      </c>
      <c r="I936" s="9">
        <v>8803300.0</v>
      </c>
      <c r="J936" s="5" t="str">
        <f t="shared" ref="J936:K936" si="936">SUBSTITUTE(H936, ",", "")</f>
        <v>32</v>
      </c>
      <c r="K936" s="5" t="str">
        <f t="shared" si="936"/>
        <v>Rp8803300</v>
      </c>
      <c r="L936" s="5" t="str">
        <f t="shared" si="3"/>
        <v>8803300</v>
      </c>
    </row>
    <row r="937">
      <c r="A937" s="6" t="s">
        <v>1811</v>
      </c>
      <c r="B937" s="7" t="str">
        <f>HYPERLINK("https://shopee.co.id/MISSHA-Misa-Yei-Hyun-Emulsion-140ml--i.37557990.3882448622", "https://shopee.co.id/MISSHA-Misa-Yei-Hyun-Emulsion-140ml--i.37557990.3882448622")</f>
        <v>https://shopee.co.id/MISSHA-Misa-Yei-Hyun-Emulsion-140ml--i.37557990.3882448622</v>
      </c>
      <c r="C937" s="6" t="s">
        <v>695</v>
      </c>
      <c r="D937" s="6" t="s">
        <v>696</v>
      </c>
      <c r="E937" s="6" t="s">
        <v>12</v>
      </c>
      <c r="F937" s="6" t="s">
        <v>13</v>
      </c>
      <c r="G937" s="6" t="s">
        <v>80</v>
      </c>
      <c r="H937" s="8" t="s">
        <v>1802</v>
      </c>
      <c r="I937" s="9">
        <v>5855500.0</v>
      </c>
      <c r="J937" s="5" t="str">
        <f t="shared" ref="J937:K937" si="937">SUBSTITUTE(H937, ",", "")</f>
        <v>32</v>
      </c>
      <c r="K937" s="5" t="str">
        <f t="shared" si="937"/>
        <v>Rp5855500</v>
      </c>
      <c r="L937" s="5" t="str">
        <f t="shared" si="3"/>
        <v>5855500</v>
      </c>
    </row>
    <row r="938">
      <c r="A938" s="6" t="s">
        <v>1812</v>
      </c>
      <c r="B938" s="7" t="str">
        <f>HYPERLINK("https://shopee.co.id/MSBB-Somethinc-Bakuchiol-Skinpair-Oil-Serum-20ml-i.288588702.3183137237", "https://shopee.co.id/MSBB-Somethinc-Bakuchiol-Skinpair-Oil-Serum-20ml-i.288588702.3183137237")</f>
        <v>https://shopee.co.id/MSBB-Somethinc-Bakuchiol-Skinpair-Oil-Serum-20ml-i.288588702.3183137237</v>
      </c>
      <c r="C938" s="6" t="s">
        <v>45</v>
      </c>
      <c r="D938" s="6" t="s">
        <v>79</v>
      </c>
      <c r="E938" s="6" t="s">
        <v>12</v>
      </c>
      <c r="F938" s="6" t="s">
        <v>13</v>
      </c>
      <c r="G938" s="6" t="s">
        <v>80</v>
      </c>
      <c r="H938" s="8" t="s">
        <v>1802</v>
      </c>
      <c r="I938" s="9">
        <v>1.5968E7</v>
      </c>
      <c r="J938" s="5" t="str">
        <f t="shared" ref="J938:K938" si="938">SUBSTITUTE(H938, ",", "")</f>
        <v>32</v>
      </c>
      <c r="K938" s="5" t="str">
        <f t="shared" si="938"/>
        <v>Rp15968000</v>
      </c>
      <c r="L938" s="5" t="str">
        <f t="shared" si="3"/>
        <v>15968000</v>
      </c>
    </row>
    <row r="939">
      <c r="A939" s="6" t="s">
        <v>1813</v>
      </c>
      <c r="B939" s="7" t="str">
        <f>HYPERLINK("https://shopee.co.id/Dr-Jart-Vital-Hydra-Solution-Biome-Essence-with-Intensive-Blue-Shot-150-ml-i.126014132.4420408484", "https://shopee.co.id/Dr-Jart-Vital-Hydra-Solution-Biome-Essence-with-Intensive-Blue-Shot-150-ml-i.126014132.4420408484")</f>
        <v>https://shopee.co.id/Dr-Jart-Vital-Hydra-Solution-Biome-Essence-with-Intensive-Blue-Shot-150-ml-i.126014132.4420408484</v>
      </c>
      <c r="C939" s="6" t="s">
        <v>1814</v>
      </c>
      <c r="D939" s="6" t="s">
        <v>640</v>
      </c>
      <c r="E939" s="6" t="s">
        <v>12</v>
      </c>
      <c r="F939" s="6" t="s">
        <v>13</v>
      </c>
      <c r="G939" s="6" t="s">
        <v>61</v>
      </c>
      <c r="H939" s="8" t="s">
        <v>1802</v>
      </c>
      <c r="I939" s="9">
        <v>2272875.0</v>
      </c>
      <c r="J939" s="5" t="str">
        <f t="shared" ref="J939:K939" si="939">SUBSTITUTE(H939, ",", "")</f>
        <v>32</v>
      </c>
      <c r="K939" s="5" t="str">
        <f t="shared" si="939"/>
        <v>Rp2272875</v>
      </c>
      <c r="L939" s="5" t="str">
        <f t="shared" si="3"/>
        <v>2272875</v>
      </c>
    </row>
    <row r="940">
      <c r="A940" s="6" t="s">
        <v>1815</v>
      </c>
      <c r="B940" s="7" t="str">
        <f>HYPERLINK("https://shopee.co.id/AVOSKIN-YOUR-SKIN-BAE-SERIES-LACTIC-ACID-10-KIWI-EXTRACT-5-NIACINAMIDE-2-5-SERUM-30-ML-i.50972887.3782807532", "https://shopee.co.id/AVOSKIN-YOUR-SKIN-BAE-SERIES-LACTIC-ACID-10-KIWI-EXTRACT-5-NIACINAMIDE-2-5-SERUM-30-ML-i.50972887.3782807532")</f>
        <v>https://shopee.co.id/AVOSKIN-YOUR-SKIN-BAE-SERIES-LACTIC-ACID-10-KIWI-EXTRACT-5-NIACINAMIDE-2-5-SERUM-30-ML-i.50972887.3782807532</v>
      </c>
      <c r="C940" s="6" t="s">
        <v>83</v>
      </c>
      <c r="D940" s="6" t="s">
        <v>552</v>
      </c>
      <c r="E940" s="6" t="s">
        <v>12</v>
      </c>
      <c r="F940" s="6" t="s">
        <v>13</v>
      </c>
      <c r="G940" s="6" t="s">
        <v>61</v>
      </c>
      <c r="H940" s="8" t="s">
        <v>1802</v>
      </c>
      <c r="I940" s="9">
        <v>2145000.0</v>
      </c>
      <c r="J940" s="5" t="str">
        <f t="shared" ref="J940:K940" si="940">SUBSTITUTE(H940, ",", "")</f>
        <v>32</v>
      </c>
      <c r="K940" s="5" t="str">
        <f t="shared" si="940"/>
        <v>Rp2145000</v>
      </c>
      <c r="L940" s="5" t="str">
        <f t="shared" si="3"/>
        <v>2145000</v>
      </c>
    </row>
    <row r="941">
      <c r="A941" s="6" t="s">
        <v>1816</v>
      </c>
      <c r="B941" s="7" t="str">
        <f>HYPERLINK("https://shopee.co.id/Babor-Lifting-Cellular-Collagen-Infusion-28ML-i.131188140.1971037790", "https://shopee.co.id/Babor-Lifting-Cellular-Collagen-Infusion-28ML-i.131188140.1971037790")</f>
        <v>https://shopee.co.id/Babor-Lifting-Cellular-Collagen-Infusion-28ML-i.131188140.1971037790</v>
      </c>
      <c r="C941" s="6" t="s">
        <v>1433</v>
      </c>
      <c r="D941" s="6" t="s">
        <v>1434</v>
      </c>
      <c r="E941" s="6" t="s">
        <v>12</v>
      </c>
      <c r="F941" s="6" t="s">
        <v>13</v>
      </c>
      <c r="G941" s="6" t="s">
        <v>61</v>
      </c>
      <c r="H941" s="8" t="s">
        <v>1802</v>
      </c>
      <c r="I941" s="9">
        <v>2285250.0</v>
      </c>
      <c r="J941" s="5" t="str">
        <f t="shared" ref="J941:K941" si="941">SUBSTITUTE(H941, ",", "")</f>
        <v>32</v>
      </c>
      <c r="K941" s="5" t="str">
        <f t="shared" si="941"/>
        <v>Rp2285250</v>
      </c>
      <c r="L941" s="5" t="str">
        <f t="shared" si="3"/>
        <v>2285250</v>
      </c>
    </row>
    <row r="942">
      <c r="A942" s="6" t="s">
        <v>1817</v>
      </c>
      <c r="B942" s="7" t="str">
        <f>HYPERLINK("https://shopee.co.id/MD-Glowing-Brightening-Face-Serum-Pencerah-Wajah-Muka--i.98061713.1738185494", "https://shopee.co.id/MD-Glowing-Brightening-Face-Serum-Pencerah-Wajah-Muka--i.98061713.1738185494")</f>
        <v>https://shopee.co.id/MD-Glowing-Brightening-Face-Serum-Pencerah-Wajah-Muka--i.98061713.1738185494</v>
      </c>
      <c r="C942" s="6" t="s">
        <v>1353</v>
      </c>
      <c r="D942" s="6" t="s">
        <v>1354</v>
      </c>
      <c r="E942" s="6" t="s">
        <v>12</v>
      </c>
      <c r="F942" s="6" t="s">
        <v>13</v>
      </c>
      <c r="G942" s="6" t="s">
        <v>370</v>
      </c>
      <c r="H942" s="8" t="s">
        <v>1802</v>
      </c>
      <c r="I942" s="9">
        <v>3335400.0</v>
      </c>
      <c r="J942" s="5" t="str">
        <f t="shared" ref="J942:K942" si="942">SUBSTITUTE(H942, ",", "")</f>
        <v>32</v>
      </c>
      <c r="K942" s="5" t="str">
        <f t="shared" si="942"/>
        <v>Rp3335400</v>
      </c>
      <c r="L942" s="5" t="str">
        <f t="shared" si="3"/>
        <v>3335400</v>
      </c>
    </row>
    <row r="943">
      <c r="A943" s="6" t="s">
        <v>1818</v>
      </c>
      <c r="B943" s="7" t="str">
        <f>HYPERLINK("https://shopee.co.id/Revlon-Evivesse-Face-Essence-30-ml-i.167409897.3933376027", "https://shopee.co.id/Revlon-Evivesse-Face-Essence-30-ml-i.167409897.3933376027")</f>
        <v>https://shopee.co.id/Revlon-Evivesse-Face-Essence-30-ml-i.167409897.3933376027</v>
      </c>
      <c r="C943" s="6" t="s">
        <v>1819</v>
      </c>
      <c r="D943" s="6" t="s">
        <v>1820</v>
      </c>
      <c r="E943" s="6" t="s">
        <v>12</v>
      </c>
      <c r="F943" s="6" t="s">
        <v>13</v>
      </c>
      <c r="G943" s="6" t="s">
        <v>469</v>
      </c>
      <c r="H943" s="8" t="s">
        <v>1802</v>
      </c>
      <c r="I943" s="9">
        <v>9246100.0</v>
      </c>
      <c r="J943" s="5" t="str">
        <f t="shared" ref="J943:K943" si="943">SUBSTITUTE(H943, ",", "")</f>
        <v>32</v>
      </c>
      <c r="K943" s="5" t="str">
        <f t="shared" si="943"/>
        <v>Rp9246100</v>
      </c>
      <c r="L943" s="5" t="str">
        <f t="shared" si="3"/>
        <v>9246100</v>
      </c>
    </row>
    <row r="944">
      <c r="A944" s="6" t="s">
        <v>1821</v>
      </c>
      <c r="B944" s="7" t="str">
        <f>HYPERLINK("https://shopee.co.id/Silver-Moon-Calming-Serum-Haple-i.26944218.9446263905", "https://shopee.co.id/Silver-Moon-Calming-Serum-Haple-i.26944218.9446263905")</f>
        <v>https://shopee.co.id/Silver-Moon-Calming-Serum-Haple-i.26944218.9446263905</v>
      </c>
      <c r="C944" s="6" t="s">
        <v>1415</v>
      </c>
      <c r="D944" s="6" t="s">
        <v>1416</v>
      </c>
      <c r="E944" s="6" t="s">
        <v>12</v>
      </c>
      <c r="F944" s="6" t="s">
        <v>13</v>
      </c>
      <c r="G944" s="6" t="s">
        <v>21</v>
      </c>
      <c r="H944" s="8" t="s">
        <v>1802</v>
      </c>
      <c r="I944" s="9">
        <v>2400000.0</v>
      </c>
      <c r="J944" s="5" t="str">
        <f t="shared" ref="J944:K944" si="944">SUBSTITUTE(H944, ",", "")</f>
        <v>32</v>
      </c>
      <c r="K944" s="5" t="str">
        <f t="shared" si="944"/>
        <v>Rp2400000</v>
      </c>
      <c r="L944" s="5" t="str">
        <f t="shared" si="3"/>
        <v>2400000</v>
      </c>
    </row>
    <row r="945">
      <c r="A945" s="6" t="s">
        <v>1822</v>
      </c>
      <c r="B945" s="7" t="str">
        <f>HYPERLINK("https://shopee.co.id/DR-Rochelle-Serum-15-Ml-i.85459574.1758114343", "https://shopee.co.id/DR-Rochelle-Serum-15-Ml-i.85459574.1758114343")</f>
        <v>https://shopee.co.id/DR-Rochelle-Serum-15-Ml-i.85459574.1758114343</v>
      </c>
      <c r="C945" s="6" t="s">
        <v>1823</v>
      </c>
      <c r="D945" s="6" t="s">
        <v>1824</v>
      </c>
      <c r="E945" s="6" t="s">
        <v>12</v>
      </c>
      <c r="F945" s="6" t="s">
        <v>13</v>
      </c>
      <c r="G945" s="6" t="s">
        <v>532</v>
      </c>
      <c r="H945" s="8" t="s">
        <v>1802</v>
      </c>
      <c r="I945" s="9">
        <v>5244800.0</v>
      </c>
      <c r="J945" s="5" t="str">
        <f t="shared" ref="J945:K945" si="945">SUBSTITUTE(H945, ",", "")</f>
        <v>32</v>
      </c>
      <c r="K945" s="5" t="str">
        <f t="shared" si="945"/>
        <v>Rp5244800</v>
      </c>
      <c r="L945" s="5" t="str">
        <f t="shared" si="3"/>
        <v>5244800</v>
      </c>
    </row>
    <row r="946">
      <c r="A946" s="6" t="s">
        <v>1825</v>
      </c>
      <c r="B946" s="7" t="str">
        <f>HYPERLINK("https://shopee.co.id/Votre-Peau-Skin-Care-Bye-Bye-Wrinkles-Package-i.46300234.7277393145", "https://shopee.co.id/Votre-Peau-Skin-Care-Bye-Bye-Wrinkles-Package-i.46300234.7277393145")</f>
        <v>https://shopee.co.id/Votre-Peau-Skin-Care-Bye-Bye-Wrinkles-Package-i.46300234.7277393145</v>
      </c>
      <c r="C946" s="6" t="s">
        <v>999</v>
      </c>
      <c r="D946" s="6" t="s">
        <v>472</v>
      </c>
      <c r="E946" s="6" t="s">
        <v>12</v>
      </c>
      <c r="F946" s="6" t="s">
        <v>13</v>
      </c>
      <c r="G946" s="6" t="s">
        <v>98</v>
      </c>
      <c r="H946" s="8" t="s">
        <v>1826</v>
      </c>
      <c r="I946" s="9">
        <v>1932242.0</v>
      </c>
      <c r="J946" s="5" t="str">
        <f t="shared" ref="J946:K946" si="946">SUBSTITUTE(H946, ",", "")</f>
        <v>31</v>
      </c>
      <c r="K946" s="5" t="str">
        <f t="shared" si="946"/>
        <v>Rp1932242</v>
      </c>
      <c r="L946" s="5" t="str">
        <f t="shared" si="3"/>
        <v>1932242</v>
      </c>
    </row>
    <row r="947">
      <c r="A947" s="6" t="s">
        <v>1827</v>
      </c>
      <c r="B947" s="7" t="str">
        <f>HYPERLINK("https://shopee.co.id/Tea-Tree-Serum-20ml-Nadfaskin--i.3087844.197147091", "https://shopee.co.id/Tea-Tree-Serum-20ml-Nadfaskin--i.3087844.197147091")</f>
        <v>https://shopee.co.id/Tea-Tree-Serum-20ml-Nadfaskin--i.3087844.197147091</v>
      </c>
      <c r="C947" s="6" t="s">
        <v>1157</v>
      </c>
      <c r="D947" s="6" t="s">
        <v>1158</v>
      </c>
      <c r="E947" s="6" t="s">
        <v>12</v>
      </c>
      <c r="F947" s="6" t="s">
        <v>13</v>
      </c>
      <c r="G947" s="6" t="s">
        <v>241</v>
      </c>
      <c r="H947" s="8" t="s">
        <v>1826</v>
      </c>
      <c r="I947" s="9">
        <v>1.9866E7</v>
      </c>
      <c r="J947" s="5" t="str">
        <f t="shared" ref="J947:K947" si="947">SUBSTITUTE(H947, ",", "")</f>
        <v>31</v>
      </c>
      <c r="K947" s="5" t="str">
        <f t="shared" si="947"/>
        <v>Rp19866000</v>
      </c>
      <c r="L947" s="5" t="str">
        <f t="shared" si="3"/>
        <v>19866000</v>
      </c>
    </row>
    <row r="948">
      <c r="A948" s="6" t="s">
        <v>1657</v>
      </c>
      <c r="B948" s="7" t="str">
        <f>HYPERLINK("https://shopee.co.id/Iunik-Propolis-Vitamin-Synergy-Serum-50ml-i.110573301.4518679208", "https://shopee.co.id/Iunik-Propolis-Vitamin-Synergy-Serum-50ml-i.110573301.4518679208")</f>
        <v>https://shopee.co.id/Iunik-Propolis-Vitamin-Synergy-Serum-50ml-i.110573301.4518679208</v>
      </c>
      <c r="C948" s="6" t="s">
        <v>1658</v>
      </c>
      <c r="D948" s="6" t="s">
        <v>227</v>
      </c>
      <c r="E948" s="6" t="s">
        <v>12</v>
      </c>
      <c r="F948" s="6" t="s">
        <v>13</v>
      </c>
      <c r="G948" s="6" t="s">
        <v>61</v>
      </c>
      <c r="H948" s="8" t="s">
        <v>1826</v>
      </c>
      <c r="I948" s="9">
        <v>6880810.0</v>
      </c>
      <c r="J948" s="5" t="str">
        <f t="shared" ref="J948:K948" si="948">SUBSTITUTE(H948, ",", "")</f>
        <v>31</v>
      </c>
      <c r="K948" s="5" t="str">
        <f t="shared" si="948"/>
        <v>Rp6880810</v>
      </c>
      <c r="L948" s="5" t="str">
        <f t="shared" si="3"/>
        <v>6880810</v>
      </c>
    </row>
    <row r="949">
      <c r="A949" s="6" t="s">
        <v>1828</v>
      </c>
      <c r="B949" s="7" t="str">
        <f>HYPERLINK("https://shopee.co.id/Somethinc-10-Niacinamide-Barrier-Serum-20-ml-i.110573301.5495763290", "https://shopee.co.id/Somethinc-10-Niacinamide-Barrier-Serum-20-ml-i.110573301.5495763290")</f>
        <v>https://shopee.co.id/Somethinc-10-Niacinamide-Barrier-Serum-20-ml-i.110573301.5495763290</v>
      </c>
      <c r="C949" s="6" t="s">
        <v>45</v>
      </c>
      <c r="D949" s="6" t="s">
        <v>227</v>
      </c>
      <c r="E949" s="6" t="s">
        <v>12</v>
      </c>
      <c r="F949" s="6" t="s">
        <v>13</v>
      </c>
      <c r="G949" s="6" t="s">
        <v>61</v>
      </c>
      <c r="H949" s="8" t="s">
        <v>1826</v>
      </c>
      <c r="I949" s="9">
        <v>4309000.0</v>
      </c>
      <c r="J949" s="5" t="str">
        <f t="shared" ref="J949:K949" si="949">SUBSTITUTE(H949, ",", "")</f>
        <v>31</v>
      </c>
      <c r="K949" s="5" t="str">
        <f t="shared" si="949"/>
        <v>Rp4309000</v>
      </c>
      <c r="L949" s="5" t="str">
        <f t="shared" si="3"/>
        <v>4309000</v>
      </c>
    </row>
    <row r="950">
      <c r="A950" s="6" t="s">
        <v>1829</v>
      </c>
      <c r="B950" s="7" t="str">
        <f>HYPERLINK("https://shopee.co.id/ElsheSkin-Active-Rejuvenating-Serum-X-ElsheSkin-Smoothing-Serum-For-Acne-Skin-i.9035345.7649123051", "https://shopee.co.id/ElsheSkin-Active-Rejuvenating-Serum-X-ElsheSkin-Smoothing-Serum-For-Acne-Skin-i.9035345.7649123051")</f>
        <v>https://shopee.co.id/ElsheSkin-Active-Rejuvenating-Serum-X-ElsheSkin-Smoothing-Serum-For-Acne-Skin-i.9035345.7649123051</v>
      </c>
      <c r="C950" s="6" t="s">
        <v>135</v>
      </c>
      <c r="D950" s="6" t="s">
        <v>136</v>
      </c>
      <c r="E950" s="6" t="s">
        <v>12</v>
      </c>
      <c r="F950" s="6" t="s">
        <v>13</v>
      </c>
      <c r="G950" s="6" t="s">
        <v>80</v>
      </c>
      <c r="H950" s="8" t="s">
        <v>1826</v>
      </c>
      <c r="I950" s="9">
        <v>5425000.0</v>
      </c>
      <c r="J950" s="5" t="str">
        <f t="shared" ref="J950:K950" si="950">SUBSTITUTE(H950, ",", "")</f>
        <v>31</v>
      </c>
      <c r="K950" s="5" t="str">
        <f t="shared" si="950"/>
        <v>Rp5425000</v>
      </c>
      <c r="L950" s="5" t="str">
        <f t="shared" si="3"/>
        <v>5425000</v>
      </c>
    </row>
    <row r="951">
      <c r="A951" s="6" t="s">
        <v>1830</v>
      </c>
      <c r="B951" s="7" t="str">
        <f>HYPERLINK("https://shopee.co.id/AVOSKIN-Perfect-Hydrating-Treatment-Essence-Valentine-Special-Edition-100ml-i.68111.5581975750", "https://shopee.co.id/AVOSKIN-Perfect-Hydrating-Treatment-Essence-Valentine-Special-Edition-100ml-i.68111.5581975750")</f>
        <v>https://shopee.co.id/AVOSKIN-Perfect-Hydrating-Treatment-Essence-Valentine-Special-Edition-100ml-i.68111.5581975750</v>
      </c>
      <c r="C951" s="6" t="s">
        <v>83</v>
      </c>
      <c r="D951" s="6" t="s">
        <v>441</v>
      </c>
      <c r="E951" s="6" t="s">
        <v>12</v>
      </c>
      <c r="F951" s="6" t="s">
        <v>13</v>
      </c>
      <c r="G951" s="6" t="s">
        <v>130</v>
      </c>
      <c r="H951" s="8" t="s">
        <v>1826</v>
      </c>
      <c r="I951" s="9">
        <v>2635000.0</v>
      </c>
      <c r="J951" s="5" t="str">
        <f t="shared" ref="J951:K951" si="951">SUBSTITUTE(H951, ",", "")</f>
        <v>31</v>
      </c>
      <c r="K951" s="5" t="str">
        <f t="shared" si="951"/>
        <v>Rp2635000</v>
      </c>
      <c r="L951" s="5" t="str">
        <f t="shared" si="3"/>
        <v>2635000</v>
      </c>
    </row>
    <row r="952">
      <c r="A952" s="6" t="s">
        <v>1831</v>
      </c>
      <c r="B952" s="7" t="str">
        <f>HYPERLINK("https://shopee.co.id/Humphrey-Niacinamide-10-Hyaluronic-Acid-Serum-i.83349.1989686892", "https://shopee.co.id/Humphrey-Niacinamide-10-Hyaluronic-Acid-Serum-i.83349.1989686892")</f>
        <v>https://shopee.co.id/Humphrey-Niacinamide-10-Hyaluronic-Acid-Serum-i.83349.1989686892</v>
      </c>
      <c r="C952" s="6" t="s">
        <v>1832</v>
      </c>
      <c r="D952" s="6" t="s">
        <v>1833</v>
      </c>
      <c r="E952" s="6" t="s">
        <v>12</v>
      </c>
      <c r="F952" s="6" t="s">
        <v>13</v>
      </c>
      <c r="G952" s="6" t="s">
        <v>21</v>
      </c>
      <c r="H952" s="8" t="s">
        <v>1826</v>
      </c>
      <c r="I952" s="9">
        <v>7462000.0</v>
      </c>
      <c r="J952" s="5" t="str">
        <f t="shared" ref="J952:K952" si="952">SUBSTITUTE(H952, ",", "")</f>
        <v>31</v>
      </c>
      <c r="K952" s="5" t="str">
        <f t="shared" si="952"/>
        <v>Rp7462000</v>
      </c>
      <c r="L952" s="5" t="str">
        <f t="shared" si="3"/>
        <v>7462000</v>
      </c>
    </row>
    <row r="953">
      <c r="A953" s="6" t="s">
        <v>1834</v>
      </c>
      <c r="B953" s="7" t="str">
        <f>HYPERLINK("https://shopee.co.id/MSBB-Somethinc-HYALuronic9-Advanced-B5-Serum-20Ml-i.288588702.4793783229", "https://shopee.co.id/MSBB-Somethinc-HYALuronic9-Advanced-B5-Serum-20Ml-i.288588702.4793783229")</f>
        <v>https://shopee.co.id/MSBB-Somethinc-HYALuronic9-Advanced-B5-Serum-20Ml-i.288588702.4793783229</v>
      </c>
      <c r="C953" s="6" t="s">
        <v>45</v>
      </c>
      <c r="D953" s="6" t="s">
        <v>79</v>
      </c>
      <c r="E953" s="6" t="s">
        <v>12</v>
      </c>
      <c r="F953" s="6" t="s">
        <v>13</v>
      </c>
      <c r="G953" s="6" t="s">
        <v>80</v>
      </c>
      <c r="H953" s="8" t="s">
        <v>1826</v>
      </c>
      <c r="I953" s="9">
        <v>9934500.0</v>
      </c>
      <c r="J953" s="5" t="str">
        <f t="shared" ref="J953:K953" si="953">SUBSTITUTE(H953, ",", "")</f>
        <v>31</v>
      </c>
      <c r="K953" s="5" t="str">
        <f t="shared" si="953"/>
        <v>Rp9934500</v>
      </c>
      <c r="L953" s="5" t="str">
        <f t="shared" si="3"/>
        <v>9934500</v>
      </c>
    </row>
    <row r="954">
      <c r="A954" s="6" t="s">
        <v>1835</v>
      </c>
      <c r="B954" s="7" t="str">
        <f>HYPERLINK("https://shopee.co.id/Somethinc-Level-1-Retinol-20ml-i.136011044.3764241259", "https://shopee.co.id/Somethinc-Level-1-Retinol-20ml-i.136011044.3764241259")</f>
        <v>https://shopee.co.id/Somethinc-Level-1-Retinol-20ml-i.136011044.3764241259</v>
      </c>
      <c r="C954" s="6" t="s">
        <v>45</v>
      </c>
      <c r="D954" s="6" t="s">
        <v>632</v>
      </c>
      <c r="E954" s="6" t="s">
        <v>12</v>
      </c>
      <c r="F954" s="6" t="s">
        <v>13</v>
      </c>
      <c r="G954" s="6" t="s">
        <v>21</v>
      </c>
      <c r="H954" s="8" t="s">
        <v>1826</v>
      </c>
      <c r="I954" s="9">
        <v>2480000.0</v>
      </c>
      <c r="J954" s="5" t="str">
        <f t="shared" ref="J954:K954" si="954">SUBSTITUTE(H954, ",", "")</f>
        <v>31</v>
      </c>
      <c r="K954" s="5" t="str">
        <f t="shared" si="954"/>
        <v>Rp2480000</v>
      </c>
      <c r="L954" s="5" t="str">
        <f t="shared" si="3"/>
        <v>2480000</v>
      </c>
    </row>
    <row r="955">
      <c r="A955" s="6" t="s">
        <v>1836</v>
      </c>
      <c r="B955" s="7" t="str">
        <f>HYPERLINK("https://shopee.co.id/SOMETHINC-Salmon-DNA-Marine-Collagen-Elixir-20ml-i.68111.9351981744", "https://shopee.co.id/SOMETHINC-Salmon-DNA-Marine-Collagen-Elixir-20ml-i.68111.9351981744")</f>
        <v>https://shopee.co.id/SOMETHINC-Salmon-DNA-Marine-Collagen-Elixir-20ml-i.68111.9351981744</v>
      </c>
      <c r="C955" s="6" t="s">
        <v>45</v>
      </c>
      <c r="D955" s="6" t="s">
        <v>441</v>
      </c>
      <c r="E955" s="6" t="s">
        <v>12</v>
      </c>
      <c r="F955" s="6" t="s">
        <v>13</v>
      </c>
      <c r="G955" s="6" t="s">
        <v>130</v>
      </c>
      <c r="H955" s="8" t="s">
        <v>1826</v>
      </c>
      <c r="I955" s="9">
        <v>3714072.0</v>
      </c>
      <c r="J955" s="5" t="str">
        <f t="shared" ref="J955:K955" si="955">SUBSTITUTE(H955, ",", "")</f>
        <v>31</v>
      </c>
      <c r="K955" s="5" t="str">
        <f t="shared" si="955"/>
        <v>Rp3714072</v>
      </c>
      <c r="L955" s="5" t="str">
        <f t="shared" si="3"/>
        <v>3714072</v>
      </c>
    </row>
    <row r="956">
      <c r="A956" s="6" t="s">
        <v>1837</v>
      </c>
      <c r="B956" s="7" t="str">
        <f>HYPERLINK("https://shopee.co.id/Bio-Essence-Rose-Gold-Water-Essence-100ml-Perawatan-Wajah-Anti-Aging-i.63822287.1671468805", "https://shopee.co.id/Bio-Essence-Rose-Gold-Water-Essence-100ml-Perawatan-Wajah-Anti-Aging-i.63822287.1671468805")</f>
        <v>https://shopee.co.id/Bio-Essence-Rose-Gold-Water-Essence-100ml-Perawatan-Wajah-Anti-Aging-i.63822287.1671468805</v>
      </c>
      <c r="C956" s="6" t="s">
        <v>1688</v>
      </c>
      <c r="D956" s="6" t="s">
        <v>835</v>
      </c>
      <c r="E956" s="6" t="s">
        <v>12</v>
      </c>
      <c r="F956" s="6" t="s">
        <v>13</v>
      </c>
      <c r="G956" s="6" t="s">
        <v>61</v>
      </c>
      <c r="H956" s="8" t="s">
        <v>1826</v>
      </c>
      <c r="I956" s="9">
        <v>1.80487E7</v>
      </c>
      <c r="J956" s="5" t="str">
        <f t="shared" ref="J956:K956" si="956">SUBSTITUTE(H956, ",", "")</f>
        <v>31</v>
      </c>
      <c r="K956" s="5" t="str">
        <f t="shared" si="956"/>
        <v>Rp18048700</v>
      </c>
      <c r="L956" s="5" t="str">
        <f t="shared" si="3"/>
        <v>18048700</v>
      </c>
    </row>
    <row r="957">
      <c r="A957" s="6" t="s">
        <v>1838</v>
      </c>
      <c r="B957" s="7" t="str">
        <f>HYPERLINK("https://shopee.co.id/Hanasui-Acne-Spot-Gel-i.129681299.9639377299", "https://shopee.co.id/Hanasui-Acne-Spot-Gel-i.129681299.9639377299")</f>
        <v>https://shopee.co.id/Hanasui-Acne-Spot-Gel-i.129681299.9639377299</v>
      </c>
      <c r="C957" s="6" t="s">
        <v>784</v>
      </c>
      <c r="D957" s="6" t="s">
        <v>785</v>
      </c>
      <c r="E957" s="6" t="s">
        <v>12</v>
      </c>
      <c r="F957" s="6" t="s">
        <v>13</v>
      </c>
      <c r="G957" s="6" t="s">
        <v>36</v>
      </c>
      <c r="H957" s="8" t="s">
        <v>1826</v>
      </c>
      <c r="I957" s="9">
        <v>4309000.0</v>
      </c>
      <c r="J957" s="5" t="str">
        <f t="shared" ref="J957:K957" si="957">SUBSTITUTE(H957, ",", "")</f>
        <v>31</v>
      </c>
      <c r="K957" s="5" t="str">
        <f t="shared" si="957"/>
        <v>Rp4309000</v>
      </c>
      <c r="L957" s="5" t="str">
        <f t="shared" si="3"/>
        <v>4309000</v>
      </c>
    </row>
    <row r="958">
      <c r="A958" s="6" t="s">
        <v>1839</v>
      </c>
      <c r="B958" s="7" t="str">
        <f>HYPERLINK("https://shopee.co.id/Dr-Jart-Cryo-Rubber-with-Brightening-Vitamin-C-i.126014132.7457921655", "https://shopee.co.id/Dr-Jart-Cryo-Rubber-with-Brightening-Vitamin-C-i.126014132.7457921655")</f>
        <v>https://shopee.co.id/Dr-Jart-Cryo-Rubber-with-Brightening-Vitamin-C-i.126014132.7457921655</v>
      </c>
      <c r="C958" s="6" t="s">
        <v>639</v>
      </c>
      <c r="D958" s="6" t="s">
        <v>640</v>
      </c>
      <c r="E958" s="6" t="s">
        <v>12</v>
      </c>
      <c r="F958" s="6" t="s">
        <v>13</v>
      </c>
      <c r="G958" s="6" t="s">
        <v>61</v>
      </c>
      <c r="H958" s="8" t="s">
        <v>1826</v>
      </c>
      <c r="I958" s="9">
        <v>3627000.0</v>
      </c>
      <c r="J958" s="5" t="str">
        <f t="shared" ref="J958:K958" si="958">SUBSTITUTE(H958, ",", "")</f>
        <v>31</v>
      </c>
      <c r="K958" s="5" t="str">
        <f t="shared" si="958"/>
        <v>Rp3627000</v>
      </c>
      <c r="L958" s="5" t="str">
        <f t="shared" si="3"/>
        <v>3627000</v>
      </c>
    </row>
    <row r="959">
      <c r="A959" s="6" t="s">
        <v>1840</v>
      </c>
      <c r="B959" s="7" t="str">
        <f>HYPERLINK("https://shopee.co.id/SERUM-SEOUL-ORGANIC-SERUM-WAJAH-WHITENING-ORGANIK-DAN-SERUM-ANTI-ACNE-JERAWAT-i.23831802.8114301545", "https://shopee.co.id/SERUM-SEOUL-ORGANIC-SERUM-WAJAH-WHITENING-ORGANIK-DAN-SERUM-ANTI-ACNE-JERAWAT-i.23831802.8114301545")</f>
        <v>https://shopee.co.id/SERUM-SEOUL-ORGANIC-SERUM-WAJAH-WHITENING-ORGANIK-DAN-SERUM-ANTI-ACNE-JERAWAT-i.23831802.8114301545</v>
      </c>
      <c r="C959" s="6" t="s">
        <v>1841</v>
      </c>
      <c r="D959" s="6" t="s">
        <v>1084</v>
      </c>
      <c r="E959" s="6" t="s">
        <v>12</v>
      </c>
      <c r="F959" s="6" t="s">
        <v>13</v>
      </c>
      <c r="G959" s="6" t="s">
        <v>1085</v>
      </c>
      <c r="H959" s="8" t="s">
        <v>1826</v>
      </c>
      <c r="I959" s="9">
        <v>3557250.0</v>
      </c>
      <c r="J959" s="5" t="str">
        <f t="shared" ref="J959:K959" si="959">SUBSTITUTE(H959, ",", "")</f>
        <v>31</v>
      </c>
      <c r="K959" s="5" t="str">
        <f t="shared" si="959"/>
        <v>Rp3557250</v>
      </c>
      <c r="L959" s="5" t="str">
        <f t="shared" si="3"/>
        <v>3557250</v>
      </c>
    </row>
    <row r="960">
      <c r="A960" s="6" t="s">
        <v>1842</v>
      </c>
      <c r="B960" s="7" t="str">
        <f>HYPERLINK("https://shopee.co.id/Aizen-Bakuchiol-10-Ultra-Ampoule-Serum-Anti-Aging-Perbaikan-Kulit-Wajah-i.89939211.6775351705", "https://shopee.co.id/Aizen-Bakuchiol-10-Ultra-Ampoule-Serum-Anti-Aging-Perbaikan-Kulit-Wajah-i.89939211.6775351705")</f>
        <v>https://shopee.co.id/Aizen-Bakuchiol-10-Ultra-Ampoule-Serum-Anti-Aging-Perbaikan-Kulit-Wajah-i.89939211.6775351705</v>
      </c>
      <c r="C960" s="6" t="s">
        <v>1325</v>
      </c>
      <c r="D960" s="6" t="s">
        <v>1326</v>
      </c>
      <c r="E960" s="6" t="s">
        <v>12</v>
      </c>
      <c r="F960" s="6" t="s">
        <v>13</v>
      </c>
      <c r="G960" s="6" t="s">
        <v>14</v>
      </c>
      <c r="H960" s="8" t="s">
        <v>1826</v>
      </c>
      <c r="I960" s="9">
        <v>4554000.0</v>
      </c>
      <c r="J960" s="5" t="str">
        <f t="shared" ref="J960:K960" si="960">SUBSTITUTE(H960, ",", "")</f>
        <v>31</v>
      </c>
      <c r="K960" s="5" t="str">
        <f t="shared" si="960"/>
        <v>Rp4554000</v>
      </c>
      <c r="L960" s="5" t="str">
        <f t="shared" si="3"/>
        <v>4554000</v>
      </c>
    </row>
    <row r="961">
      <c r="A961" s="6" t="s">
        <v>1843</v>
      </c>
      <c r="B961" s="7" t="str">
        <f>HYPERLINK("https://shopee.co.id/Haum-LCID-Salicylic-Acid-2-Serum-28ml-i.825870.5811001250", "https://shopee.co.id/Haum-LCID-Salicylic-Acid-2-Serum-28ml-i.825870.5811001250")</f>
        <v>https://shopee.co.id/Haum-LCID-Salicylic-Acid-2-Serum-28ml-i.825870.5811001250</v>
      </c>
      <c r="C961" s="6" t="s">
        <v>1144</v>
      </c>
      <c r="D961" s="6" t="s">
        <v>1184</v>
      </c>
      <c r="E961" s="6" t="s">
        <v>12</v>
      </c>
      <c r="F961" s="6" t="s">
        <v>13</v>
      </c>
      <c r="G961" s="6" t="s">
        <v>21</v>
      </c>
      <c r="H961" s="8" t="s">
        <v>1826</v>
      </c>
      <c r="I961" s="9">
        <v>8370000.0</v>
      </c>
      <c r="J961" s="5" t="str">
        <f t="shared" ref="J961:K961" si="961">SUBSTITUTE(H961, ",", "")</f>
        <v>31</v>
      </c>
      <c r="K961" s="5" t="str">
        <f t="shared" si="961"/>
        <v>Rp8370000</v>
      </c>
      <c r="L961" s="5" t="str">
        <f t="shared" si="3"/>
        <v>8370000</v>
      </c>
    </row>
    <row r="962">
      <c r="A962" s="6" t="s">
        <v>1844</v>
      </c>
      <c r="B962" s="7" t="str">
        <f>HYPERLINK("https://shopee.co.id/Garnier-Light-Complete-Booster-Serum-15ml-Micellar-Oil-400ml-Untuk-Kulit-Cerah-Bebas-Makeup--i.62583853.9814775418", "https://shopee.co.id/Garnier-Light-Complete-Booster-Serum-15ml-Micellar-Oil-400ml-Untuk-Kulit-Cerah-Bebas-Makeup--i.62583853.9814775418")</f>
        <v>https://shopee.co.id/Garnier-Light-Complete-Booster-Serum-15ml-Micellar-Oil-400ml-Untuk-Kulit-Cerah-Bebas-Makeup--i.62583853.9814775418</v>
      </c>
      <c r="C962" s="6" t="s">
        <v>74</v>
      </c>
      <c r="D962" s="6" t="s">
        <v>75</v>
      </c>
      <c r="E962" s="6" t="s">
        <v>12</v>
      </c>
      <c r="F962" s="6" t="s">
        <v>13</v>
      </c>
      <c r="G962" s="6" t="s">
        <v>61</v>
      </c>
      <c r="H962" s="8" t="s">
        <v>1845</v>
      </c>
      <c r="I962" s="9">
        <v>4.20569E7</v>
      </c>
      <c r="J962" s="5" t="str">
        <f t="shared" ref="J962:K962" si="962">SUBSTITUTE(H962, ",", "")</f>
        <v>30</v>
      </c>
      <c r="K962" s="5" t="str">
        <f t="shared" si="962"/>
        <v>Rp42056900</v>
      </c>
      <c r="L962" s="5" t="str">
        <f t="shared" si="3"/>
        <v>42056900</v>
      </c>
    </row>
    <row r="963">
      <c r="A963" s="6" t="s">
        <v>1846</v>
      </c>
      <c r="B963" s="7" t="str">
        <f>HYPERLINK("https://shopee.co.id/Glowmy-The-Ultimate-Centella-Acne-Serum-20ml--i.324394758.5686641616", "https://shopee.co.id/Glowmy-The-Ultimate-Centella-Acne-Serum-20ml--i.324394758.5686641616")</f>
        <v>https://shopee.co.id/Glowmy-The-Ultimate-Centella-Acne-Serum-20ml--i.324394758.5686641616</v>
      </c>
      <c r="C963" s="6" t="s">
        <v>1595</v>
      </c>
      <c r="D963" s="6" t="s">
        <v>1596</v>
      </c>
      <c r="E963" s="6" t="s">
        <v>12</v>
      </c>
      <c r="F963" s="6" t="s">
        <v>13</v>
      </c>
      <c r="G963" s="6" t="s">
        <v>21</v>
      </c>
      <c r="H963" s="8" t="s">
        <v>1845</v>
      </c>
      <c r="I963" s="9">
        <v>1.946E7</v>
      </c>
      <c r="J963" s="5" t="str">
        <f t="shared" ref="J963:K963" si="963">SUBSTITUTE(H963, ",", "")</f>
        <v>30</v>
      </c>
      <c r="K963" s="5" t="str">
        <f t="shared" si="963"/>
        <v>Rp19460000</v>
      </c>
      <c r="L963" s="5" t="str">
        <f t="shared" si="3"/>
        <v>19460000</v>
      </c>
    </row>
    <row r="964">
      <c r="A964" s="6" t="s">
        <v>1847</v>
      </c>
      <c r="B964" s="7" t="str">
        <f>HYPERLINK("https://shopee.co.id/Ikigai-Galactomyces-Serum-i.39919260.3813960246", "https://shopee.co.id/Ikigai-Galactomyces-Serum-i.39919260.3813960246")</f>
        <v>https://shopee.co.id/Ikigai-Galactomyces-Serum-i.39919260.3813960246</v>
      </c>
      <c r="C964" s="6" t="s">
        <v>1848</v>
      </c>
      <c r="D964" s="6" t="s">
        <v>1849</v>
      </c>
      <c r="E964" s="6" t="s">
        <v>12</v>
      </c>
      <c r="F964" s="6" t="s">
        <v>13</v>
      </c>
      <c r="G964" s="6" t="s">
        <v>21</v>
      </c>
      <c r="H964" s="8" t="s">
        <v>1845</v>
      </c>
      <c r="I964" s="9">
        <v>3962995.0</v>
      </c>
      <c r="J964" s="5" t="str">
        <f t="shared" ref="J964:K964" si="964">SUBSTITUTE(H964, ",", "")</f>
        <v>30</v>
      </c>
      <c r="K964" s="5" t="str">
        <f t="shared" si="964"/>
        <v>Rp3962995</v>
      </c>
      <c r="L964" s="5" t="str">
        <f t="shared" si="3"/>
        <v>3962995</v>
      </c>
    </row>
    <row r="965">
      <c r="A965" s="6" t="s">
        <v>1850</v>
      </c>
      <c r="B965" s="7" t="str">
        <f>HYPERLINK("https://shopee.co.id/Nutrishe-Intensive-Bright-Glow-Serum-30ml-i.68111.5556142272", "https://shopee.co.id/Nutrishe-Intensive-Bright-Glow-Serum-30ml-i.68111.5556142272")</f>
        <v>https://shopee.co.id/Nutrishe-Intensive-Bright-Glow-Serum-30ml-i.68111.5556142272</v>
      </c>
      <c r="C965" s="6" t="s">
        <v>195</v>
      </c>
      <c r="D965" s="6" t="s">
        <v>441</v>
      </c>
      <c r="E965" s="6" t="s">
        <v>12</v>
      </c>
      <c r="F965" s="6" t="s">
        <v>13</v>
      </c>
      <c r="G965" s="6" t="s">
        <v>130</v>
      </c>
      <c r="H965" s="8" t="s">
        <v>1845</v>
      </c>
      <c r="I965" s="9">
        <v>1512000.0</v>
      </c>
      <c r="J965" s="5" t="str">
        <f t="shared" ref="J965:K965" si="965">SUBSTITUTE(H965, ",", "")</f>
        <v>30</v>
      </c>
      <c r="K965" s="5" t="str">
        <f t="shared" si="965"/>
        <v>Rp1512000</v>
      </c>
      <c r="L965" s="5" t="str">
        <f t="shared" si="3"/>
        <v>1512000</v>
      </c>
    </row>
    <row r="966">
      <c r="A966" s="6" t="s">
        <v>1851</v>
      </c>
      <c r="B966" s="7" t="str">
        <f>HYPERLINK("https://shopee.co.id/SOMETHINC-10-Niacinamide-Barrier-Serum-i.68111.7190892313", "https://shopee.co.id/SOMETHINC-10-Niacinamide-Barrier-Serum-i.68111.7190892313")</f>
        <v>https://shopee.co.id/SOMETHINC-10-Niacinamide-Barrier-Serum-i.68111.7190892313</v>
      </c>
      <c r="C966" s="6" t="s">
        <v>45</v>
      </c>
      <c r="D966" s="6" t="s">
        <v>441</v>
      </c>
      <c r="E966" s="6" t="s">
        <v>12</v>
      </c>
      <c r="F966" s="6" t="s">
        <v>13</v>
      </c>
      <c r="G966" s="6" t="s">
        <v>130</v>
      </c>
      <c r="H966" s="8" t="s">
        <v>1845</v>
      </c>
      <c r="I966" s="9">
        <v>907300.0</v>
      </c>
      <c r="J966" s="5" t="str">
        <f t="shared" ref="J966:K966" si="966">SUBSTITUTE(H966, ",", "")</f>
        <v>30</v>
      </c>
      <c r="K966" s="5" t="str">
        <f t="shared" si="966"/>
        <v>Rp907300</v>
      </c>
      <c r="L966" s="5" t="str">
        <f t="shared" si="3"/>
        <v>907300</v>
      </c>
    </row>
    <row r="967">
      <c r="A967" s="6" t="s">
        <v>1852</v>
      </c>
      <c r="B967" s="7" t="str">
        <f>HYPERLINK("https://shopee.co.id/Safi-Age-Defy-Anti-Aging-Skin-Booster-Face-Mist-75ml-Perawatan-Wajah-i.63823668.4901598341", "https://shopee.co.id/Safi-Age-Defy-Anti-Aging-Skin-Booster-Face-Mist-75ml-Perawatan-Wajah-i.63823668.4901598341")</f>
        <v>https://shopee.co.id/Safi-Age-Defy-Anti-Aging-Skin-Booster-Face-Mist-75ml-Perawatan-Wajah-i.63823668.4901598341</v>
      </c>
      <c r="C967" s="6" t="s">
        <v>278</v>
      </c>
      <c r="D967" s="6" t="s">
        <v>279</v>
      </c>
      <c r="E967" s="6" t="s">
        <v>12</v>
      </c>
      <c r="F967" s="6" t="s">
        <v>13</v>
      </c>
      <c r="G967" s="6" t="s">
        <v>61</v>
      </c>
      <c r="H967" s="8" t="s">
        <v>1845</v>
      </c>
      <c r="I967" s="9">
        <v>4061900.0</v>
      </c>
      <c r="J967" s="5" t="str">
        <f t="shared" ref="J967:K967" si="967">SUBSTITUTE(H967, ",", "")</f>
        <v>30</v>
      </c>
      <c r="K967" s="5" t="str">
        <f t="shared" si="967"/>
        <v>Rp4061900</v>
      </c>
      <c r="L967" s="5" t="str">
        <f t="shared" si="3"/>
        <v>4061900</v>
      </c>
    </row>
    <row r="968">
      <c r="A968" s="6" t="s">
        <v>1853</v>
      </c>
      <c r="B968" s="7" t="str">
        <f>HYPERLINK("https://shopee.co.id/HISTOIRE-NATURELLE-Lactobacillus-Refine-Serum-I-30ml--i.315746431.5755199023", "https://shopee.co.id/HISTOIRE-NATURELLE-Lactobacillus-Refine-Serum-I-30ml--i.315746431.5755199023")</f>
        <v>https://shopee.co.id/HISTOIRE-NATURELLE-Lactobacillus-Refine-Serum-I-30ml--i.315746431.5755199023</v>
      </c>
      <c r="C968" s="6" t="s">
        <v>1854</v>
      </c>
      <c r="D968" s="6" t="s">
        <v>1855</v>
      </c>
      <c r="E968" s="6" t="s">
        <v>12</v>
      </c>
      <c r="F968" s="6" t="s">
        <v>13</v>
      </c>
      <c r="G968" s="6" t="s">
        <v>130</v>
      </c>
      <c r="H968" s="8" t="s">
        <v>1845</v>
      </c>
      <c r="I968" s="9">
        <v>8136000.0</v>
      </c>
      <c r="J968" s="5" t="str">
        <f t="shared" ref="J968:K968" si="968">SUBSTITUTE(H968, ",", "")</f>
        <v>30</v>
      </c>
      <c r="K968" s="5" t="str">
        <f t="shared" si="968"/>
        <v>Rp8136000</v>
      </c>
      <c r="L968" s="5" t="str">
        <f t="shared" si="3"/>
        <v>8136000</v>
      </c>
    </row>
    <row r="969">
      <c r="A969" s="6" t="s">
        <v>1856</v>
      </c>
      <c r="B969" s="7" t="str">
        <f>HYPERLINK("https://shopee.co.id/Somethinc-5-Niacinamide-Moisture-Sabi-Beet-Serum-20-mL-i.65323877.8879230898", "https://shopee.co.id/Somethinc-5-Niacinamide-Moisture-Sabi-Beet-Serum-20-mL-i.65323877.8879230898")</f>
        <v>https://shopee.co.id/Somethinc-5-Niacinamide-Moisture-Sabi-Beet-Serum-20-mL-i.65323877.8879230898</v>
      </c>
      <c r="C969" s="6" t="s">
        <v>45</v>
      </c>
      <c r="D969" s="6" t="s">
        <v>1600</v>
      </c>
      <c r="E969" s="6" t="s">
        <v>12</v>
      </c>
      <c r="F969" s="6" t="s">
        <v>13</v>
      </c>
      <c r="G969" s="6" t="s">
        <v>296</v>
      </c>
      <c r="H969" s="8" t="s">
        <v>1845</v>
      </c>
      <c r="I969" s="9">
        <v>2670000.0</v>
      </c>
      <c r="J969" s="5" t="str">
        <f t="shared" ref="J969:K969" si="969">SUBSTITUTE(H969, ",", "")</f>
        <v>30</v>
      </c>
      <c r="K969" s="5" t="str">
        <f t="shared" si="969"/>
        <v>Rp2670000</v>
      </c>
      <c r="L969" s="5" t="str">
        <f t="shared" si="3"/>
        <v>2670000</v>
      </c>
    </row>
    <row r="970">
      <c r="A970" s="6" t="s">
        <v>1857</v>
      </c>
      <c r="B970" s="7" t="str">
        <f>HYPERLINK("https://shopee.co.id/HAUM-ALPHA-MF-2-Alpha-Arbutin-30-ml-i.214358077.3037506414", "https://shopee.co.id/HAUM-ALPHA-MF-2-Alpha-Arbutin-30-ml-i.214358077.3037506414")</f>
        <v>https://shopee.co.id/HAUM-ALPHA-MF-2-Alpha-Arbutin-30-ml-i.214358077.3037506414</v>
      </c>
      <c r="C970" s="6" t="s">
        <v>1144</v>
      </c>
      <c r="D970" s="6" t="s">
        <v>1259</v>
      </c>
      <c r="E970" s="6" t="s">
        <v>12</v>
      </c>
      <c r="F970" s="6" t="s">
        <v>13</v>
      </c>
      <c r="G970" s="6" t="s">
        <v>469</v>
      </c>
      <c r="H970" s="8" t="s">
        <v>1845</v>
      </c>
      <c r="I970" s="9">
        <v>4330000.0</v>
      </c>
      <c r="J970" s="5" t="str">
        <f t="shared" ref="J970:K970" si="970">SUBSTITUTE(H970, ",", "")</f>
        <v>30</v>
      </c>
      <c r="K970" s="5" t="str">
        <f t="shared" si="970"/>
        <v>Rp4330000</v>
      </c>
      <c r="L970" s="5" t="str">
        <f t="shared" si="3"/>
        <v>4330000</v>
      </c>
    </row>
    <row r="971">
      <c r="A971" s="6" t="s">
        <v>1858</v>
      </c>
      <c r="B971" s="7" t="str">
        <f>HYPERLINK("https://shopee.co.id/Scarlett-Whitening-Paket-Reseller-24-Item-i.255365082.3532127427", "https://shopee.co.id/Scarlett-Whitening-Paket-Reseller-24-Item-i.255365082.3532127427")</f>
        <v>https://shopee.co.id/Scarlett-Whitening-Paket-Reseller-24-Item-i.255365082.3532127427</v>
      </c>
      <c r="C971" s="6" t="s">
        <v>19</v>
      </c>
      <c r="D971" s="6" t="s">
        <v>20</v>
      </c>
      <c r="E971" s="6" t="s">
        <v>12</v>
      </c>
      <c r="F971" s="6" t="s">
        <v>13</v>
      </c>
      <c r="G971" s="6" t="s">
        <v>21</v>
      </c>
      <c r="H971" s="8" t="s">
        <v>1845</v>
      </c>
      <c r="I971" s="9">
        <v>4440000.0</v>
      </c>
      <c r="J971" s="5" t="str">
        <f t="shared" ref="J971:K971" si="971">SUBSTITUTE(H971, ",", "")</f>
        <v>30</v>
      </c>
      <c r="K971" s="5" t="str">
        <f t="shared" si="971"/>
        <v>Rp4440000</v>
      </c>
      <c r="L971" s="5" t="str">
        <f t="shared" si="3"/>
        <v>4440000</v>
      </c>
    </row>
    <row r="972">
      <c r="A972" s="6" t="s">
        <v>1859</v>
      </c>
      <c r="B972" s="7" t="str">
        <f>HYPERLINK("https://shopee.co.id/Yves-Rocher-Anti-Age-Global-The-Anti-Aging-Correcting-Supra-Essence-50-ML-i.70687187.5801486787", "https://shopee.co.id/Yves-Rocher-Anti-Age-Global-The-Anti-Aging-Correcting-Supra-Essence-50-ML-i.70687187.5801486787")</f>
        <v>https://shopee.co.id/Yves-Rocher-Anti-Age-Global-The-Anti-Aging-Correcting-Supra-Essence-50-ML-i.70687187.5801486787</v>
      </c>
      <c r="C972" s="6" t="s">
        <v>1672</v>
      </c>
      <c r="D972" s="6" t="s">
        <v>1673</v>
      </c>
      <c r="E972" s="6" t="s">
        <v>12</v>
      </c>
      <c r="F972" s="6" t="s">
        <v>13</v>
      </c>
      <c r="G972" s="6" t="s">
        <v>61</v>
      </c>
      <c r="H972" s="8" t="s">
        <v>1845</v>
      </c>
      <c r="I972" s="9">
        <v>1.07398E7</v>
      </c>
      <c r="J972" s="5" t="str">
        <f t="shared" ref="J972:K972" si="972">SUBSTITUTE(H972, ",", "")</f>
        <v>30</v>
      </c>
      <c r="K972" s="5" t="str">
        <f t="shared" si="972"/>
        <v>Rp10739800</v>
      </c>
      <c r="L972" s="5" t="str">
        <f t="shared" si="3"/>
        <v>10739800</v>
      </c>
    </row>
    <row r="973">
      <c r="A973" s="6" t="s">
        <v>1860</v>
      </c>
      <c r="B973" s="7" t="str">
        <f>HYPERLINK("https://shopee.co.id/Avoskin-Your-Skin-Bae-Alpha-Arbutin-3-Grapeseed-Serum-30ml-i.825870.10018458716", "https://shopee.co.id/Avoskin-Your-Skin-Bae-Alpha-Arbutin-3-Grapeseed-Serum-30ml-i.825870.10018458716")</f>
        <v>https://shopee.co.id/Avoskin-Your-Skin-Bae-Alpha-Arbutin-3-Grapeseed-Serum-30ml-i.825870.10018458716</v>
      </c>
      <c r="C973" s="6" t="s">
        <v>83</v>
      </c>
      <c r="D973" s="6" t="s">
        <v>1184</v>
      </c>
      <c r="E973" s="6" t="s">
        <v>12</v>
      </c>
      <c r="F973" s="6" t="s">
        <v>13</v>
      </c>
      <c r="G973" s="6" t="s">
        <v>21</v>
      </c>
      <c r="H973" s="8" t="s">
        <v>1845</v>
      </c>
      <c r="I973" s="9">
        <v>4149686.0</v>
      </c>
      <c r="J973" s="5" t="str">
        <f t="shared" ref="J973:K973" si="973">SUBSTITUTE(H973, ",", "")</f>
        <v>30</v>
      </c>
      <c r="K973" s="5" t="str">
        <f t="shared" si="973"/>
        <v>Rp4149686</v>
      </c>
      <c r="L973" s="5" t="str">
        <f t="shared" si="3"/>
        <v>4149686</v>
      </c>
    </row>
    <row r="974">
      <c r="A974" s="6" t="s">
        <v>1861</v>
      </c>
      <c r="B974" s="7" t="str">
        <f>HYPERLINK("https://shopee.co.id/MISSHA-All-Around-Essence-Sun-SPF45-PA-50ml-Free-Airy-Fit-Sheet-Mask-2-pcs-Shea-Butter--i.37557990.7703635627", "https://shopee.co.id/MISSHA-All-Around-Essence-Sun-SPF45-PA-50ml-Free-Airy-Fit-Sheet-Mask-2-pcs-Shea-Butter--i.37557990.7703635627")</f>
        <v>https://shopee.co.id/MISSHA-All-Around-Essence-Sun-SPF45-PA-50ml-Free-Airy-Fit-Sheet-Mask-2-pcs-Shea-Butter--i.37557990.7703635627</v>
      </c>
      <c r="C974" s="6" t="s">
        <v>695</v>
      </c>
      <c r="D974" s="6" t="s">
        <v>696</v>
      </c>
      <c r="E974" s="6" t="s">
        <v>12</v>
      </c>
      <c r="F974" s="6" t="s">
        <v>13</v>
      </c>
      <c r="G974" s="6" t="s">
        <v>80</v>
      </c>
      <c r="H974" s="8" t="s">
        <v>1845</v>
      </c>
      <c r="I974" s="9">
        <v>1871100.0</v>
      </c>
      <c r="J974" s="5" t="str">
        <f t="shared" ref="J974:K974" si="974">SUBSTITUTE(H974, ",", "")</f>
        <v>30</v>
      </c>
      <c r="K974" s="5" t="str">
        <f t="shared" si="974"/>
        <v>Rp1871100</v>
      </c>
      <c r="L974" s="5" t="str">
        <f t="shared" si="3"/>
        <v>1871100</v>
      </c>
    </row>
    <row r="975">
      <c r="A975" s="6" t="s">
        <v>1862</v>
      </c>
      <c r="B975" s="7" t="str">
        <f>HYPERLINK("https://shopee.co.id/MSBB-Elsheskin-Radiant-Supple-Serum-i.288588702.11304429759", "https://shopee.co.id/MSBB-Elsheskin-Radiant-Supple-Serum-i.288588702.11304429759")</f>
        <v>https://shopee.co.id/MSBB-Elsheskin-Radiant-Supple-Serum-i.288588702.11304429759</v>
      </c>
      <c r="C975" s="6" t="s">
        <v>78</v>
      </c>
      <c r="D975" s="6" t="s">
        <v>79</v>
      </c>
      <c r="E975" s="6" t="s">
        <v>12</v>
      </c>
      <c r="F975" s="6" t="s">
        <v>13</v>
      </c>
      <c r="G975" s="6" t="s">
        <v>80</v>
      </c>
      <c r="H975" s="8" t="s">
        <v>1845</v>
      </c>
      <c r="I975" s="9">
        <v>2291700.0</v>
      </c>
      <c r="J975" s="5" t="str">
        <f t="shared" ref="J975:K975" si="975">SUBSTITUTE(H975, ",", "")</f>
        <v>30</v>
      </c>
      <c r="K975" s="5" t="str">
        <f t="shared" si="975"/>
        <v>Rp2291700</v>
      </c>
      <c r="L975" s="5" t="str">
        <f t="shared" si="3"/>
        <v>2291700</v>
      </c>
    </row>
    <row r="976">
      <c r="A976" s="6" t="s">
        <v>1863</v>
      </c>
      <c r="B976" s="7" t="str">
        <f>HYPERLINK("https://shopee.co.id/Fruit-Mix-Willow-Peeling-Glow-Serum-Natural-AHA-BHA-Fruit-aha-i.73969875.6196760020", "https://shopee.co.id/Fruit-Mix-Willow-Peeling-Glow-Serum-Natural-AHA-BHA-Fruit-aha-i.73969875.6196760020")</f>
        <v>https://shopee.co.id/Fruit-Mix-Willow-Peeling-Glow-Serum-Natural-AHA-BHA-Fruit-aha-i.73969875.6196760020</v>
      </c>
      <c r="C976" s="6" t="s">
        <v>1061</v>
      </c>
      <c r="D976" s="6" t="s">
        <v>896</v>
      </c>
      <c r="E976" s="6" t="s">
        <v>12</v>
      </c>
      <c r="F976" s="6" t="s">
        <v>13</v>
      </c>
      <c r="G976" s="6" t="s">
        <v>21</v>
      </c>
      <c r="H976" s="8" t="s">
        <v>1845</v>
      </c>
      <c r="I976" s="9">
        <v>4955925.0</v>
      </c>
      <c r="J976" s="5" t="str">
        <f t="shared" ref="J976:K976" si="976">SUBSTITUTE(H976, ",", "")</f>
        <v>30</v>
      </c>
      <c r="K976" s="5" t="str">
        <f t="shared" si="976"/>
        <v>Rp4955925</v>
      </c>
      <c r="L976" s="5" t="str">
        <f t="shared" si="3"/>
        <v>4955925</v>
      </c>
    </row>
    <row r="977">
      <c r="A977" s="6" t="s">
        <v>1864</v>
      </c>
      <c r="B977" s="7" t="str">
        <f>HYPERLINK("https://shopee.co.id/SOMETHINC-CRIOUSLY-24K-GOLD-Essence-40ml--i.68111.7718509455", "https://shopee.co.id/SOMETHINC-CRIOUSLY-24K-GOLD-Essence-40ml--i.68111.7718509455")</f>
        <v>https://shopee.co.id/SOMETHINC-CRIOUSLY-24K-GOLD-Essence-40ml--i.68111.7718509455</v>
      </c>
      <c r="C977" s="6" t="s">
        <v>45</v>
      </c>
      <c r="D977" s="6" t="s">
        <v>441</v>
      </c>
      <c r="E977" s="6" t="s">
        <v>12</v>
      </c>
      <c r="F977" s="6" t="s">
        <v>13</v>
      </c>
      <c r="G977" s="6" t="s">
        <v>130</v>
      </c>
      <c r="H977" s="8" t="s">
        <v>1865</v>
      </c>
      <c r="I977" s="9">
        <v>4031000.0</v>
      </c>
      <c r="J977" s="5" t="str">
        <f t="shared" ref="J977:K977" si="977">SUBSTITUTE(H977, ",", "")</f>
        <v>29</v>
      </c>
      <c r="K977" s="5" t="str">
        <f t="shared" si="977"/>
        <v>Rp4031000</v>
      </c>
      <c r="L977" s="5" t="str">
        <f t="shared" si="3"/>
        <v>4031000</v>
      </c>
    </row>
    <row r="978">
      <c r="A978" s="6" t="s">
        <v>1866</v>
      </c>
      <c r="B978" s="7" t="str">
        <f>HYPERLINK("https://shopee.co.id/Precious-Skin-Hya-Whitening-Booster-Face-Serum-Anti-Aging-Face-Serum-Serum-Wajah-Muka-10ml-i.156582062.7806438117", "https://shopee.co.id/Precious-Skin-Hya-Whitening-Booster-Face-Serum-Anti-Aging-Face-Serum-Serum-Wajah-Muka-10ml-i.156582062.7806438117")</f>
        <v>https://shopee.co.id/Precious-Skin-Hya-Whitening-Booster-Face-Serum-Anti-Aging-Face-Serum-Serum-Wajah-Muka-10ml-i.156582062.7806438117</v>
      </c>
      <c r="C978" s="6" t="s">
        <v>1095</v>
      </c>
      <c r="D978" s="6" t="s">
        <v>1096</v>
      </c>
      <c r="E978" s="6" t="s">
        <v>12</v>
      </c>
      <c r="F978" s="6" t="s">
        <v>13</v>
      </c>
      <c r="G978" s="6" t="s">
        <v>61</v>
      </c>
      <c r="H978" s="8" t="s">
        <v>1865</v>
      </c>
      <c r="I978" s="9">
        <v>4031000.0</v>
      </c>
      <c r="J978" s="5" t="str">
        <f t="shared" ref="J978:K978" si="978">SUBSTITUTE(H978, ",", "")</f>
        <v>29</v>
      </c>
      <c r="K978" s="5" t="str">
        <f t="shared" si="978"/>
        <v>Rp4031000</v>
      </c>
      <c r="L978" s="5" t="str">
        <f t="shared" si="3"/>
        <v>4031000</v>
      </c>
    </row>
    <row r="979">
      <c r="A979" s="6" t="s">
        <v>1867</v>
      </c>
      <c r="B979" s="7" t="str">
        <f>HYPERLINK("https://shopee.co.id/Beautybarme-IMPLORA-FACE-SERUM-LUMINOUS-BRIGHT-SERUM-ACNE-PEELING-MIDNIGHT-SERUM-WAJAH-BPOM--i.28781862.10537576081", "https://shopee.co.id/Beautybarme-IMPLORA-FACE-SERUM-LUMINOUS-BRIGHT-SERUM-ACNE-PEELING-MIDNIGHT-SERUM-WAJAH-BPOM--i.28781862.10537576081")</f>
        <v>https://shopee.co.id/Beautybarme-IMPLORA-FACE-SERUM-LUMINOUS-BRIGHT-SERUM-ACNE-PEELING-MIDNIGHT-SERUM-WAJAH-BPOM--i.28781862.10537576081</v>
      </c>
      <c r="C979" s="6" t="s">
        <v>113</v>
      </c>
      <c r="D979" s="6" t="s">
        <v>1189</v>
      </c>
      <c r="E979" s="6" t="s">
        <v>12</v>
      </c>
      <c r="F979" s="6" t="s">
        <v>13</v>
      </c>
      <c r="G979" s="6" t="s">
        <v>1190</v>
      </c>
      <c r="H979" s="8" t="s">
        <v>1865</v>
      </c>
      <c r="I979" s="9">
        <v>2502500.0</v>
      </c>
      <c r="J979" s="5" t="str">
        <f t="shared" ref="J979:K979" si="979">SUBSTITUTE(H979, ",", "")</f>
        <v>29</v>
      </c>
      <c r="K979" s="5" t="str">
        <f t="shared" si="979"/>
        <v>Rp2502500</v>
      </c>
      <c r="L979" s="5" t="str">
        <f t="shared" si="3"/>
        <v>2502500</v>
      </c>
    </row>
    <row r="980">
      <c r="A980" s="6" t="s">
        <v>1868</v>
      </c>
      <c r="B980" s="7" t="str">
        <f>HYPERLINK("https://shopee.co.id/SOMETHINC-C-RIOUSLY-24K-Gold-Essence-40ml-i.30736001.9835368888", "https://shopee.co.id/SOMETHINC-C-RIOUSLY-24K-Gold-Essence-40ml-i.30736001.9835368888")</f>
        <v>https://shopee.co.id/SOMETHINC-C-RIOUSLY-24K-Gold-Essence-40ml-i.30736001.9835368888</v>
      </c>
      <c r="C980" s="6" t="s">
        <v>45</v>
      </c>
      <c r="D980" s="6" t="s">
        <v>335</v>
      </c>
      <c r="E980" s="6" t="s">
        <v>12</v>
      </c>
      <c r="F980" s="6" t="s">
        <v>13</v>
      </c>
      <c r="G980" s="6" t="s">
        <v>36</v>
      </c>
      <c r="H980" s="8" t="s">
        <v>1865</v>
      </c>
      <c r="I980" s="9">
        <v>2291000.0</v>
      </c>
      <c r="J980" s="5" t="str">
        <f t="shared" ref="J980:K980" si="980">SUBSTITUTE(H980, ",", "")</f>
        <v>29</v>
      </c>
      <c r="K980" s="5" t="str">
        <f t="shared" si="980"/>
        <v>Rp2291000</v>
      </c>
      <c r="L980" s="5" t="str">
        <f t="shared" si="3"/>
        <v>2291000</v>
      </c>
    </row>
    <row r="981">
      <c r="A981" s="6" t="s">
        <v>1869</v>
      </c>
      <c r="B981" s="7" t="str">
        <f>HYPERLINK("https://shopee.co.id/Ultima-II-Clear-White-Supreme-Face-Essence-30-ml-i.152254718.2676650302", "https://shopee.co.id/Ultima-II-Clear-White-Supreme-Face-Essence-30-ml-i.152254718.2676650302")</f>
        <v>https://shopee.co.id/Ultima-II-Clear-White-Supreme-Face-Essence-30-ml-i.152254718.2676650302</v>
      </c>
      <c r="C981" s="6" t="s">
        <v>1210</v>
      </c>
      <c r="D981" s="6" t="s">
        <v>1211</v>
      </c>
      <c r="E981" s="6" t="s">
        <v>12</v>
      </c>
      <c r="F981" s="6" t="s">
        <v>13</v>
      </c>
      <c r="G981" s="6" t="s">
        <v>469</v>
      </c>
      <c r="H981" s="8" t="s">
        <v>1865</v>
      </c>
      <c r="I981" s="9">
        <v>2853000.0</v>
      </c>
      <c r="J981" s="5" t="str">
        <f t="shared" ref="J981:K981" si="981">SUBSTITUTE(H981, ",", "")</f>
        <v>29</v>
      </c>
      <c r="K981" s="5" t="str">
        <f t="shared" si="981"/>
        <v>Rp2853000</v>
      </c>
      <c r="L981" s="5" t="str">
        <f t="shared" si="3"/>
        <v>2853000</v>
      </c>
    </row>
    <row r="982">
      <c r="A982" s="6" t="s">
        <v>1870</v>
      </c>
      <c r="B982" s="7" t="str">
        <f>HYPERLINK("https://shopee.co.id/Bio-Essence-Bio-Treatment-Essence-In-Oil-60-ml-Perawatan-Wajah-i.63822287.1222697780", "https://shopee.co.id/Bio-Essence-Bio-Treatment-Essence-In-Oil-60-ml-Perawatan-Wajah-i.63822287.1222697780")</f>
        <v>https://shopee.co.id/Bio-Essence-Bio-Treatment-Essence-In-Oil-60-ml-Perawatan-Wajah-i.63822287.1222697780</v>
      </c>
      <c r="C982" s="6" t="s">
        <v>1254</v>
      </c>
      <c r="D982" s="6" t="s">
        <v>835</v>
      </c>
      <c r="E982" s="6" t="s">
        <v>12</v>
      </c>
      <c r="F982" s="6" t="s">
        <v>13</v>
      </c>
      <c r="G982" s="6" t="s">
        <v>61</v>
      </c>
      <c r="H982" s="8" t="s">
        <v>1865</v>
      </c>
      <c r="I982" s="9">
        <v>5437500.0</v>
      </c>
      <c r="J982" s="5" t="str">
        <f t="shared" ref="J982:K982" si="982">SUBSTITUTE(H982, ",", "")</f>
        <v>29</v>
      </c>
      <c r="K982" s="5" t="str">
        <f t="shared" si="982"/>
        <v>Rp5437500</v>
      </c>
      <c r="L982" s="5" t="str">
        <f t="shared" si="3"/>
        <v>5437500</v>
      </c>
    </row>
    <row r="983">
      <c r="A983" s="6" t="s">
        <v>1871</v>
      </c>
      <c r="B983" s="7" t="str">
        <f>HYPERLINK("https://shopee.co.id/Bio-Essence-Bio-White-Advanced-Whitening-Cleanser-100-gr-Twinpack-Special-i.63822287.3385189159", "https://shopee.co.id/Bio-Essence-Bio-White-Advanced-Whitening-Cleanser-100-gr-Twinpack-Special-i.63822287.3385189159")</f>
        <v>https://shopee.co.id/Bio-Essence-Bio-White-Advanced-Whitening-Cleanser-100-gr-Twinpack-Special-i.63822287.3385189159</v>
      </c>
      <c r="C983" s="6" t="s">
        <v>1254</v>
      </c>
      <c r="D983" s="6" t="s">
        <v>835</v>
      </c>
      <c r="E983" s="6" t="s">
        <v>12</v>
      </c>
      <c r="F983" s="6" t="s">
        <v>13</v>
      </c>
      <c r="G983" s="6" t="s">
        <v>61</v>
      </c>
      <c r="H983" s="8" t="s">
        <v>1865</v>
      </c>
      <c r="I983" s="9">
        <v>8822600.0</v>
      </c>
      <c r="J983" s="5" t="str">
        <f t="shared" ref="J983:K983" si="983">SUBSTITUTE(H983, ",", "")</f>
        <v>29</v>
      </c>
      <c r="K983" s="5" t="str">
        <f t="shared" si="983"/>
        <v>Rp8822600</v>
      </c>
      <c r="L983" s="5" t="str">
        <f t="shared" si="3"/>
        <v>8822600</v>
      </c>
    </row>
    <row r="984">
      <c r="A984" s="6" t="s">
        <v>1872</v>
      </c>
      <c r="B984" s="7" t="str">
        <f>HYPERLINK("https://shopee.co.id/BIOKOS-Botu-Like-Intensive-Correcting-Serum-i.34904037.1007570430", "https://shopee.co.id/BIOKOS-Botu-Like-Intensive-Correcting-Serum-i.34904037.1007570430")</f>
        <v>https://shopee.co.id/BIOKOS-Botu-Like-Intensive-Correcting-Serum-i.34904037.1007570430</v>
      </c>
      <c r="C984" s="6" t="s">
        <v>1873</v>
      </c>
      <c r="D984" s="6" t="s">
        <v>1874</v>
      </c>
      <c r="E984" s="6" t="s">
        <v>12</v>
      </c>
      <c r="F984" s="6" t="s">
        <v>13</v>
      </c>
      <c r="G984" s="6" t="s">
        <v>469</v>
      </c>
      <c r="H984" s="8" t="s">
        <v>1865</v>
      </c>
      <c r="I984" s="9">
        <v>3433703.0</v>
      </c>
      <c r="J984" s="5" t="str">
        <f t="shared" ref="J984:K984" si="984">SUBSTITUTE(H984, ",", "")</f>
        <v>29</v>
      </c>
      <c r="K984" s="5" t="str">
        <f t="shared" si="984"/>
        <v>Rp3433703</v>
      </c>
      <c r="L984" s="5" t="str">
        <f t="shared" si="3"/>
        <v>3433703</v>
      </c>
    </row>
    <row r="985">
      <c r="A985" s="6" t="s">
        <v>1875</v>
      </c>
      <c r="B985" s="7" t="str">
        <f>HYPERLINK("https://shopee.co.id/NATURE-REPUBLIC-Green-Derma-Mild-Cica-Serum-i.78838801.7725806757", "https://shopee.co.id/NATURE-REPUBLIC-Green-Derma-Mild-Cica-Serum-i.78838801.7725806757")</f>
        <v>https://shopee.co.id/NATURE-REPUBLIC-Green-Derma-Mild-Cica-Serum-i.78838801.7725806757</v>
      </c>
      <c r="C985" s="6" t="s">
        <v>1079</v>
      </c>
      <c r="D985" s="6" t="s">
        <v>1080</v>
      </c>
      <c r="E985" s="6" t="s">
        <v>12</v>
      </c>
      <c r="F985" s="6" t="s">
        <v>13</v>
      </c>
      <c r="G985" s="6" t="s">
        <v>532</v>
      </c>
      <c r="H985" s="8" t="s">
        <v>1865</v>
      </c>
      <c r="I985" s="9">
        <v>3625000.0</v>
      </c>
      <c r="J985" s="5" t="str">
        <f t="shared" ref="J985:K985" si="985">SUBSTITUTE(H985, ",", "")</f>
        <v>29</v>
      </c>
      <c r="K985" s="5" t="str">
        <f t="shared" si="985"/>
        <v>Rp3625000</v>
      </c>
      <c r="L985" s="5" t="str">
        <f t="shared" si="3"/>
        <v>3625000</v>
      </c>
    </row>
    <row r="986">
      <c r="A986" s="6" t="s">
        <v>1876</v>
      </c>
      <c r="B986" s="7" t="str">
        <f>HYPERLINK("https://shopee.co.id/-LIMITED-EDITION-L-Occitane-Immortelle-Overnight-Reset-Serum-50-ML--i.88079439.5373352341", "https://shopee.co.id/-LIMITED-EDITION-L-Occitane-Immortelle-Overnight-Reset-Serum-50-ML--i.88079439.5373352341")</f>
        <v>https://shopee.co.id/-LIMITED-EDITION-L-Occitane-Immortelle-Overnight-Reset-Serum-50-ML--i.88079439.5373352341</v>
      </c>
      <c r="C986" s="6" t="s">
        <v>579</v>
      </c>
      <c r="D986" s="6" t="s">
        <v>580</v>
      </c>
      <c r="E986" s="6" t="s">
        <v>12</v>
      </c>
      <c r="F986" s="6" t="s">
        <v>13</v>
      </c>
      <c r="G986" s="6" t="s">
        <v>532</v>
      </c>
      <c r="H986" s="8" t="s">
        <v>1865</v>
      </c>
      <c r="I986" s="9">
        <v>5801600.0</v>
      </c>
      <c r="J986" s="5" t="str">
        <f t="shared" ref="J986:K986" si="986">SUBSTITUTE(H986, ",", "")</f>
        <v>29</v>
      </c>
      <c r="K986" s="5" t="str">
        <f t="shared" si="986"/>
        <v>Rp5801600</v>
      </c>
      <c r="L986" s="5" t="str">
        <f t="shared" si="3"/>
        <v>5801600</v>
      </c>
    </row>
    <row r="987">
      <c r="A987" s="6" t="s">
        <v>1877</v>
      </c>
      <c r="B987" s="7" t="str">
        <f>HYPERLINK("https://shopee.co.id/Olay-White-Radiance-Light-Perfecting-Essence-30ml-i.30736001.7937350821", "https://shopee.co.id/Olay-White-Radiance-Light-Perfecting-Essence-30ml-i.30736001.7937350821")</f>
        <v>https://shopee.co.id/Olay-White-Radiance-Light-Perfecting-Essence-30ml-i.30736001.7937350821</v>
      </c>
      <c r="C987" s="6" t="s">
        <v>317</v>
      </c>
      <c r="D987" s="6" t="s">
        <v>335</v>
      </c>
      <c r="E987" s="6" t="s">
        <v>12</v>
      </c>
      <c r="F987" s="6" t="s">
        <v>13</v>
      </c>
      <c r="G987" s="6" t="s">
        <v>36</v>
      </c>
      <c r="H987" s="8" t="s">
        <v>1865</v>
      </c>
      <c r="I987" s="9">
        <v>3121800.0</v>
      </c>
      <c r="J987" s="5" t="str">
        <f t="shared" ref="J987:K987" si="987">SUBSTITUTE(H987, ",", "")</f>
        <v>29</v>
      </c>
      <c r="K987" s="5" t="str">
        <f t="shared" si="987"/>
        <v>Rp3121800</v>
      </c>
      <c r="L987" s="5" t="str">
        <f t="shared" si="3"/>
        <v>3121800</v>
      </c>
    </row>
    <row r="988">
      <c r="A988" s="6" t="s">
        <v>1878</v>
      </c>
      <c r="B988" s="7" t="str">
        <f>HYPERLINK("https://shopee.co.id/Radi-Skin-Vitamin-C-Glow-Serum-i.147850476.2272941495", "https://shopee.co.id/Radi-Skin-Vitamin-C-Glow-Serum-i.147850476.2272941495")</f>
        <v>https://shopee.co.id/Radi-Skin-Vitamin-C-Glow-Serum-i.147850476.2272941495</v>
      </c>
      <c r="C988" s="6" t="s">
        <v>1879</v>
      </c>
      <c r="D988" s="6" t="s">
        <v>1880</v>
      </c>
      <c r="E988" s="6" t="s">
        <v>12</v>
      </c>
      <c r="F988" s="6" t="s">
        <v>13</v>
      </c>
      <c r="G988" s="6" t="s">
        <v>61</v>
      </c>
      <c r="H988" s="8" t="s">
        <v>1865</v>
      </c>
      <c r="I988" s="9">
        <v>2883000.0</v>
      </c>
      <c r="J988" s="5" t="str">
        <f t="shared" ref="J988:K988" si="988">SUBSTITUTE(H988, ",", "")</f>
        <v>29</v>
      </c>
      <c r="K988" s="5" t="str">
        <f t="shared" si="988"/>
        <v>Rp2883000</v>
      </c>
      <c r="L988" s="5" t="str">
        <f t="shared" si="3"/>
        <v>2883000</v>
      </c>
    </row>
    <row r="989">
      <c r="A989" s="6" t="s">
        <v>1881</v>
      </c>
      <c r="B989" s="7" t="str">
        <f>HYPERLINK("https://shopee.co.id/Pond-s-Instabright-Tone-Up-Milk-Essence-50-ml-i.14318452.3456158863", "https://shopee.co.id/Pond-s-Instabright-Tone-Up-Milk-Essence-50-ml-i.14318452.3456158863")</f>
        <v>https://shopee.co.id/Pond-s-Instabright-Tone-Up-Milk-Essence-50-ml-i.14318452.3456158863</v>
      </c>
      <c r="C989" s="6" t="s">
        <v>325</v>
      </c>
      <c r="D989" s="6" t="s">
        <v>326</v>
      </c>
      <c r="E989" s="6" t="s">
        <v>12</v>
      </c>
      <c r="F989" s="6" t="s">
        <v>13</v>
      </c>
      <c r="G989" s="6" t="s">
        <v>296</v>
      </c>
      <c r="H989" s="8" t="s">
        <v>1865</v>
      </c>
      <c r="I989" s="9">
        <v>1.08425E7</v>
      </c>
      <c r="J989" s="5" t="str">
        <f t="shared" ref="J989:K989" si="989">SUBSTITUTE(H989, ",", "")</f>
        <v>29</v>
      </c>
      <c r="K989" s="5" t="str">
        <f t="shared" si="989"/>
        <v>Rp10842500</v>
      </c>
      <c r="L989" s="5" t="str">
        <f t="shared" si="3"/>
        <v>10842500</v>
      </c>
    </row>
    <row r="990">
      <c r="A990" s="6" t="s">
        <v>1882</v>
      </c>
      <c r="B990" s="7" t="str">
        <f>HYPERLINK("https://shopee.co.id/MSBB-Somethinc-5-Niacinamide-Barrier-Serum-20Ml-i.288588702.8174998129", "https://shopee.co.id/MSBB-Somethinc-5-Niacinamide-Barrier-Serum-20Ml-i.288588702.8174998129")</f>
        <v>https://shopee.co.id/MSBB-Somethinc-5-Niacinamide-Barrier-Serum-20Ml-i.288588702.8174998129</v>
      </c>
      <c r="C990" s="6" t="s">
        <v>45</v>
      </c>
      <c r="D990" s="6" t="s">
        <v>79</v>
      </c>
      <c r="E990" s="6" t="s">
        <v>12</v>
      </c>
      <c r="F990" s="6" t="s">
        <v>13</v>
      </c>
      <c r="G990" s="6" t="s">
        <v>80</v>
      </c>
      <c r="H990" s="8" t="s">
        <v>1865</v>
      </c>
      <c r="I990" s="9">
        <v>4628400.0</v>
      </c>
      <c r="J990" s="5" t="str">
        <f t="shared" ref="J990:K990" si="990">SUBSTITUTE(H990, ",", "")</f>
        <v>29</v>
      </c>
      <c r="K990" s="5" t="str">
        <f t="shared" si="990"/>
        <v>Rp4628400</v>
      </c>
      <c r="L990" s="5" t="str">
        <f t="shared" si="3"/>
        <v>4628400</v>
      </c>
    </row>
    <row r="991">
      <c r="A991" s="6" t="s">
        <v>1883</v>
      </c>
      <c r="B991" s="7" t="str">
        <f>HYPERLINK("https://shopee.co.id/HUXLEY-Essence-Brightly-Ever-After-30ml-i.199277424.3506728243", "https://shopee.co.id/HUXLEY-Essence-Brightly-Ever-After-30ml-i.199277424.3506728243")</f>
        <v>https://shopee.co.id/HUXLEY-Essence-Brightly-Ever-After-30ml-i.199277424.3506728243</v>
      </c>
      <c r="C991" s="6" t="s">
        <v>1635</v>
      </c>
      <c r="D991" s="6" t="s">
        <v>1884</v>
      </c>
      <c r="E991" s="6" t="s">
        <v>12</v>
      </c>
      <c r="F991" s="6" t="s">
        <v>13</v>
      </c>
      <c r="G991" s="6" t="s">
        <v>80</v>
      </c>
      <c r="H991" s="8" t="s">
        <v>1865</v>
      </c>
      <c r="I991" s="9">
        <v>1.01355E7</v>
      </c>
      <c r="J991" s="5" t="str">
        <f t="shared" ref="J991:K991" si="991">SUBSTITUTE(H991, ",", "")</f>
        <v>29</v>
      </c>
      <c r="K991" s="5" t="str">
        <f t="shared" si="991"/>
        <v>Rp10135500</v>
      </c>
      <c r="L991" s="5" t="str">
        <f t="shared" si="3"/>
        <v>10135500</v>
      </c>
    </row>
    <row r="992">
      <c r="A992" s="6" t="s">
        <v>1885</v>
      </c>
      <c r="B992" s="7" t="str">
        <f>HYPERLINK("https://shopee.co.id/Bio-Essence-Bio-Gold-Water-Essence-100ml-Perawatan-Wajah-Anti-Aging-i.63822287.1671468808", "https://shopee.co.id/Bio-Essence-Bio-Gold-Water-Essence-100ml-Perawatan-Wajah-Anti-Aging-i.63822287.1671468808")</f>
        <v>https://shopee.co.id/Bio-Essence-Bio-Gold-Water-Essence-100ml-Perawatan-Wajah-Anti-Aging-i.63822287.1671468808</v>
      </c>
      <c r="C992" s="6" t="s">
        <v>834</v>
      </c>
      <c r="D992" s="6" t="s">
        <v>835</v>
      </c>
      <c r="E992" s="6" t="s">
        <v>12</v>
      </c>
      <c r="F992" s="6" t="s">
        <v>13</v>
      </c>
      <c r="G992" s="6" t="s">
        <v>61</v>
      </c>
      <c r="H992" s="8" t="s">
        <v>1865</v>
      </c>
      <c r="I992" s="9">
        <v>2002500.0</v>
      </c>
      <c r="J992" s="5" t="str">
        <f t="shared" ref="J992:K992" si="992">SUBSTITUTE(H992, ",", "")</f>
        <v>29</v>
      </c>
      <c r="K992" s="5" t="str">
        <f t="shared" si="992"/>
        <v>Rp2002500</v>
      </c>
      <c r="L992" s="5" t="str">
        <f t="shared" si="3"/>
        <v>2002500</v>
      </c>
    </row>
    <row r="993">
      <c r="A993" s="6" t="s">
        <v>1886</v>
      </c>
      <c r="B993" s="7" t="str">
        <f>HYPERLINK("https://shopee.co.id/Langsre-Hydraluronic-Serum-30ml-i.24099389.7318555507", "https://shopee.co.id/Langsre-Hydraluronic-Serum-30ml-i.24099389.7318555507")</f>
        <v>https://shopee.co.id/Langsre-Hydraluronic-Serum-30ml-i.24099389.7318555507</v>
      </c>
      <c r="C993" s="6" t="s">
        <v>1295</v>
      </c>
      <c r="D993" s="6" t="s">
        <v>1296</v>
      </c>
      <c r="E993" s="6" t="s">
        <v>12</v>
      </c>
      <c r="F993" s="6" t="s">
        <v>13</v>
      </c>
      <c r="G993" s="6" t="s">
        <v>532</v>
      </c>
      <c r="H993" s="8" t="s">
        <v>1865</v>
      </c>
      <c r="I993" s="9">
        <v>343100.0</v>
      </c>
      <c r="J993" s="5" t="str">
        <f t="shared" ref="J993:K993" si="993">SUBSTITUTE(H993, ",", "")</f>
        <v>29</v>
      </c>
      <c r="K993" s="5" t="str">
        <f t="shared" si="993"/>
        <v>Rp343100</v>
      </c>
      <c r="L993" s="5" t="str">
        <f t="shared" si="3"/>
        <v>343100</v>
      </c>
    </row>
    <row r="994">
      <c r="A994" s="6" t="s">
        <v>1887</v>
      </c>
      <c r="B994" s="7" t="str">
        <f>HYPERLINK("https://shopee.co.id/Mineral-Botanica-Ceramide-Serum-i.124549994.9842517564", "https://shopee.co.id/Mineral-Botanica-Ceramide-Serum-i.124549994.9842517564")</f>
        <v>https://shopee.co.id/Mineral-Botanica-Ceramide-Serum-i.124549994.9842517564</v>
      </c>
      <c r="C994" s="6" t="s">
        <v>807</v>
      </c>
      <c r="D994" s="6" t="s">
        <v>808</v>
      </c>
      <c r="E994" s="6" t="s">
        <v>12</v>
      </c>
      <c r="F994" s="6" t="s">
        <v>13</v>
      </c>
      <c r="G994" s="6" t="s">
        <v>61</v>
      </c>
      <c r="H994" s="8" t="s">
        <v>1865</v>
      </c>
      <c r="I994" s="9">
        <v>4495000.0</v>
      </c>
      <c r="J994" s="5" t="str">
        <f t="shared" ref="J994:K994" si="994">SUBSTITUTE(H994, ",", "")</f>
        <v>29</v>
      </c>
      <c r="K994" s="5" t="str">
        <f t="shared" si="994"/>
        <v>Rp4495000</v>
      </c>
      <c r="L994" s="5" t="str">
        <f t="shared" si="3"/>
        <v>4495000</v>
      </c>
    </row>
    <row r="995">
      <c r="A995" s="6" t="s">
        <v>1888</v>
      </c>
      <c r="B995" s="7" t="str">
        <f>HYPERLINK("https://shopee.co.id/Rojukiss-Tea-Tree-Bija-Pro-Acne-Serum-size-8-ml-Edit-by-Sociolla-i.224957239.8851323604", "https://shopee.co.id/Rojukiss-Tea-Tree-Bija-Pro-Acne-Serum-size-8-ml-Edit-by-Sociolla-i.224957239.8851323604")</f>
        <v>https://shopee.co.id/Rojukiss-Tea-Tree-Bija-Pro-Acne-Serum-size-8-ml-Edit-by-Sociolla-i.224957239.8851323604</v>
      </c>
      <c r="C995" s="6" t="s">
        <v>1508</v>
      </c>
      <c r="D995" s="6" t="s">
        <v>492</v>
      </c>
      <c r="E995" s="6" t="s">
        <v>12</v>
      </c>
      <c r="F995" s="6" t="s">
        <v>13</v>
      </c>
      <c r="G995" s="6" t="s">
        <v>21</v>
      </c>
      <c r="H995" s="8" t="s">
        <v>1865</v>
      </c>
      <c r="I995" s="9">
        <v>4495000.0</v>
      </c>
      <c r="J995" s="5" t="str">
        <f t="shared" ref="J995:K995" si="995">SUBSTITUTE(H995, ",", "")</f>
        <v>29</v>
      </c>
      <c r="K995" s="5" t="str">
        <f t="shared" si="995"/>
        <v>Rp4495000</v>
      </c>
      <c r="L995" s="5" t="str">
        <f t="shared" si="3"/>
        <v>4495000</v>
      </c>
    </row>
    <row r="996">
      <c r="A996" s="6" t="s">
        <v>1889</v>
      </c>
      <c r="B996" s="7" t="str">
        <f>HYPERLINK("https://shopee.co.id/Crushlicious-Overnight-Glow-Serum-i.4184162.2068935115", "https://shopee.co.id/Crushlicious-Overnight-Glow-Serum-i.4184162.2068935115")</f>
        <v>https://shopee.co.id/Crushlicious-Overnight-Glow-Serum-i.4184162.2068935115</v>
      </c>
      <c r="C996" s="6" t="s">
        <v>1619</v>
      </c>
      <c r="D996" s="6" t="s">
        <v>1620</v>
      </c>
      <c r="E996" s="6" t="s">
        <v>12</v>
      </c>
      <c r="F996" s="6" t="s">
        <v>13</v>
      </c>
      <c r="G996" s="6" t="s">
        <v>1621</v>
      </c>
      <c r="H996" s="8" t="s">
        <v>1890</v>
      </c>
      <c r="I996" s="9">
        <v>3810034.0</v>
      </c>
      <c r="J996" s="5" t="str">
        <f t="shared" ref="J996:K996" si="996">SUBSTITUTE(H996, ",", "")</f>
        <v>28</v>
      </c>
      <c r="K996" s="5" t="str">
        <f t="shared" si="996"/>
        <v>Rp3810034</v>
      </c>
      <c r="L996" s="5" t="str">
        <f t="shared" si="3"/>
        <v>3810034</v>
      </c>
    </row>
    <row r="997">
      <c r="A997" s="6" t="s">
        <v>1891</v>
      </c>
      <c r="B997" s="7" t="str">
        <f>HYPERLINK("https://shopee.co.id/Bio-Essence-Bio-White-Advanced-Whitening-Refiner-Toner-100-ml-Wajah-i.63822287.1671468820", "https://shopee.co.id/Bio-Essence-Bio-White-Advanced-Whitening-Refiner-Toner-100-ml-Wajah-i.63822287.1671468820")</f>
        <v>https://shopee.co.id/Bio-Essence-Bio-White-Advanced-Whitening-Refiner-Toner-100-ml-Wajah-i.63822287.1671468820</v>
      </c>
      <c r="C997" s="6" t="s">
        <v>1254</v>
      </c>
      <c r="D997" s="6" t="s">
        <v>835</v>
      </c>
      <c r="E997" s="6" t="s">
        <v>12</v>
      </c>
      <c r="F997" s="6" t="s">
        <v>13</v>
      </c>
      <c r="G997" s="6" t="s">
        <v>61</v>
      </c>
      <c r="H997" s="8" t="s">
        <v>1890</v>
      </c>
      <c r="I997" s="9">
        <v>3698800.0</v>
      </c>
      <c r="J997" s="5" t="str">
        <f t="shared" ref="J997:K997" si="997">SUBSTITUTE(H997, ",", "")</f>
        <v>28</v>
      </c>
      <c r="K997" s="5" t="str">
        <f t="shared" si="997"/>
        <v>Rp3698800</v>
      </c>
      <c r="L997" s="5" t="str">
        <f t="shared" si="3"/>
        <v>3698800</v>
      </c>
    </row>
    <row r="998">
      <c r="A998" s="6" t="s">
        <v>1892</v>
      </c>
      <c r="B998" s="7" t="str">
        <f>HYPERLINK("https://shopee.co.id/-Buy-1-Get-1-Bio-Essence-Bio-White-Advanced-Whitening-Refiner-100-ml-i.63822287.3478087755", "https://shopee.co.id/-Buy-1-Get-1-Bio-Essence-Bio-White-Advanced-Whitening-Refiner-100-ml-i.63822287.3478087755")</f>
        <v>https://shopee.co.id/-Buy-1-Get-1-Bio-Essence-Bio-White-Advanced-Whitening-Refiner-100-ml-i.63822287.3478087755</v>
      </c>
      <c r="C998" s="6" t="s">
        <v>1254</v>
      </c>
      <c r="D998" s="6" t="s">
        <v>835</v>
      </c>
      <c r="E998" s="6" t="s">
        <v>12</v>
      </c>
      <c r="F998" s="6" t="s">
        <v>13</v>
      </c>
      <c r="G998" s="6" t="s">
        <v>61</v>
      </c>
      <c r="H998" s="8" t="s">
        <v>1890</v>
      </c>
      <c r="I998" s="9">
        <v>658000.0</v>
      </c>
      <c r="J998" s="5" t="str">
        <f t="shared" ref="J998:K998" si="998">SUBSTITUTE(H998, ",", "")</f>
        <v>28</v>
      </c>
      <c r="K998" s="5" t="str">
        <f t="shared" si="998"/>
        <v>Rp658000</v>
      </c>
      <c r="L998" s="5" t="str">
        <f t="shared" si="3"/>
        <v>658000</v>
      </c>
    </row>
    <row r="999">
      <c r="A999" s="6" t="s">
        <v>1893</v>
      </c>
      <c r="B999" s="7" t="str">
        <f>HYPERLINK("https://shopee.co.id/CLINNELE-PureSwiss-Hydracalm-Serum-20-ml-Face-Serum-Wajah-i.173963911.2814446537", "https://shopee.co.id/CLINNELE-PureSwiss-Hydracalm-Serum-20-ml-Face-Serum-Wajah-i.173963911.2814446537")</f>
        <v>https://shopee.co.id/CLINNELE-PureSwiss-Hydracalm-Serum-20-ml-Face-Serum-Wajah-i.173963911.2814446537</v>
      </c>
      <c r="C999" s="6" t="s">
        <v>1456</v>
      </c>
      <c r="D999" s="6" t="s">
        <v>1457</v>
      </c>
      <c r="E999" s="6" t="s">
        <v>12</v>
      </c>
      <c r="F999" s="6" t="s">
        <v>13</v>
      </c>
      <c r="G999" s="6" t="s">
        <v>21</v>
      </c>
      <c r="H999" s="8" t="s">
        <v>1890</v>
      </c>
      <c r="I999" s="9">
        <v>4462500.0</v>
      </c>
      <c r="J999" s="5" t="str">
        <f t="shared" ref="J999:K999" si="999">SUBSTITUTE(H999, ",", "")</f>
        <v>28</v>
      </c>
      <c r="K999" s="5" t="str">
        <f t="shared" si="999"/>
        <v>Rp4462500</v>
      </c>
      <c r="L999" s="5" t="str">
        <f t="shared" si="3"/>
        <v>4462500</v>
      </c>
    </row>
    <row r="1000">
      <c r="A1000" s="6" t="s">
        <v>1894</v>
      </c>
      <c r="B1000" s="7" t="str">
        <f>HYPERLINK("https://shopee.co.id/Dove-Deodorant-Dry-Serum-Regenerate-Care-Collagen-Vitamin-B3-Anti-Bakteri-50-mL-i.65323877.9579894325", "https://shopee.co.id/Dove-Deodorant-Dry-Serum-Regenerate-Care-Collagen-Vitamin-B3-Anti-Bakteri-50-mL-i.65323877.9579894325")</f>
        <v>https://shopee.co.id/Dove-Deodorant-Dry-Serum-Regenerate-Care-Collagen-Vitamin-B3-Anti-Bakteri-50-mL-i.65323877.9579894325</v>
      </c>
      <c r="C1000" s="6" t="s">
        <v>591</v>
      </c>
      <c r="D1000" s="6" t="s">
        <v>1600</v>
      </c>
      <c r="E1000" s="6" t="s">
        <v>12</v>
      </c>
      <c r="F1000" s="6" t="s">
        <v>13</v>
      </c>
      <c r="G1000" s="6" t="s">
        <v>296</v>
      </c>
      <c r="H1000" s="8" t="s">
        <v>1890</v>
      </c>
      <c r="I1000" s="9">
        <v>2800000.0</v>
      </c>
      <c r="J1000" s="5" t="str">
        <f t="shared" ref="J1000:K1000" si="1000">SUBSTITUTE(H1000, ",", "")</f>
        <v>28</v>
      </c>
      <c r="K1000" s="5" t="str">
        <f t="shared" si="1000"/>
        <v>Rp2800000</v>
      </c>
      <c r="L1000" s="5" t="str">
        <f t="shared" si="3"/>
        <v>2800000</v>
      </c>
    </row>
    <row r="1001">
      <c r="A1001" s="6" t="s">
        <v>312</v>
      </c>
      <c r="B1001" s="7" t="str">
        <f>HYPERLINK("https://shopee.co.id/Whitelab-Hydrating-Face-Essence-i.110573301.8015714560", "https://shopee.co.id/Whitelab-Hydrating-Face-Essence-i.110573301.8015714560")</f>
        <v>https://shopee.co.id/Whitelab-Hydrating-Face-Essence-i.110573301.8015714560</v>
      </c>
      <c r="C1001" s="6" t="s">
        <v>59</v>
      </c>
      <c r="D1001" s="6" t="s">
        <v>227</v>
      </c>
      <c r="E1001" s="6" t="s">
        <v>12</v>
      </c>
      <c r="F1001" s="6" t="s">
        <v>13</v>
      </c>
      <c r="G1001" s="6" t="s">
        <v>61</v>
      </c>
      <c r="H1001" s="8" t="s">
        <v>1890</v>
      </c>
      <c r="I1001" s="9">
        <v>2214240.0</v>
      </c>
      <c r="J1001" s="5" t="str">
        <f t="shared" ref="J1001:K1001" si="1001">SUBSTITUTE(H1001, ",", "")</f>
        <v>28</v>
      </c>
      <c r="K1001" s="5" t="str">
        <f t="shared" si="1001"/>
        <v>Rp2214240</v>
      </c>
      <c r="L1001" s="5" t="str">
        <f t="shared" si="3"/>
        <v>2214240</v>
      </c>
    </row>
    <row r="1002">
      <c r="A1002" s="6" t="s">
        <v>1895</v>
      </c>
      <c r="B1002" s="7" t="str">
        <f>HYPERLINK("https://shopee.co.id/Avoskin-Your-Skin-Bae-Marine-Collagen-10-Ginseng-Root-30ml-i.825870.7981314043", "https://shopee.co.id/Avoskin-Your-Skin-Bae-Marine-Collagen-10-Ginseng-Root-30ml-i.825870.7981314043")</f>
        <v>https://shopee.co.id/Avoskin-Your-Skin-Bae-Marine-Collagen-10-Ginseng-Root-30ml-i.825870.7981314043</v>
      </c>
      <c r="C1002" s="6" t="s">
        <v>83</v>
      </c>
      <c r="D1002" s="6" t="s">
        <v>1184</v>
      </c>
      <c r="E1002" s="6" t="s">
        <v>12</v>
      </c>
      <c r="F1002" s="6" t="s">
        <v>13</v>
      </c>
      <c r="G1002" s="6" t="s">
        <v>21</v>
      </c>
      <c r="H1002" s="8" t="s">
        <v>1890</v>
      </c>
      <c r="I1002" s="9">
        <v>1768200.0</v>
      </c>
      <c r="J1002" s="5" t="str">
        <f t="shared" ref="J1002:K1002" si="1002">SUBSTITUTE(H1002, ",", "")</f>
        <v>28</v>
      </c>
      <c r="K1002" s="5" t="str">
        <f t="shared" si="1002"/>
        <v>Rp1768200</v>
      </c>
      <c r="L1002" s="5" t="str">
        <f t="shared" si="3"/>
        <v>1768200</v>
      </c>
    </row>
    <row r="1003">
      <c r="A1003" s="6" t="s">
        <v>1896</v>
      </c>
      <c r="B1003" s="7" t="str">
        <f>HYPERLINK("https://shopee.co.id/Avoskin-Your-Skin-Bae-Vitamin-C-3-Niacinamide-2-Mandarin-Orange-Fruit-Extract-Serum-30ml-i.825870.6984411148", "https://shopee.co.id/Avoskin-Your-Skin-Bae-Vitamin-C-3-Niacinamide-2-Mandarin-Orange-Fruit-Extract-Serum-30ml-i.825870.6984411148")</f>
        <v>https://shopee.co.id/Avoskin-Your-Skin-Bae-Vitamin-C-3-Niacinamide-2-Mandarin-Orange-Fruit-Extract-Serum-30ml-i.825870.6984411148</v>
      </c>
      <c r="C1003" s="6" t="s">
        <v>83</v>
      </c>
      <c r="D1003" s="6" t="s">
        <v>1184</v>
      </c>
      <c r="E1003" s="6" t="s">
        <v>12</v>
      </c>
      <c r="F1003" s="6" t="s">
        <v>13</v>
      </c>
      <c r="G1003" s="6" t="s">
        <v>21</v>
      </c>
      <c r="H1003" s="8" t="s">
        <v>1890</v>
      </c>
      <c r="I1003" s="9">
        <v>1.09898E7</v>
      </c>
      <c r="J1003" s="5" t="str">
        <f t="shared" ref="J1003:K1003" si="1003">SUBSTITUTE(H1003, ",", "")</f>
        <v>28</v>
      </c>
      <c r="K1003" s="5" t="str">
        <f t="shared" si="1003"/>
        <v>Rp10989800</v>
      </c>
      <c r="L1003" s="5" t="str">
        <f t="shared" si="3"/>
        <v>10989800</v>
      </c>
    </row>
    <row r="1004">
      <c r="A1004" s="6" t="s">
        <v>1897</v>
      </c>
      <c r="B1004" s="7" t="str">
        <f>HYPERLINK("https://shopee.co.id/GLOWINC-POTION-ACNECORE-Clear-AC-Serum-i.487788169.11332251890", "https://shopee.co.id/GLOWINC-POTION-ACNECORE-Clear-AC-Serum-i.487788169.11332251890")</f>
        <v>https://shopee.co.id/GLOWINC-POTION-ACNECORE-Clear-AC-Serum-i.487788169.11332251890</v>
      </c>
      <c r="C1004" s="6" t="s">
        <v>1898</v>
      </c>
      <c r="D1004" s="6" t="s">
        <v>1899</v>
      </c>
      <c r="E1004" s="6" t="s">
        <v>12</v>
      </c>
      <c r="F1004" s="6" t="s">
        <v>13</v>
      </c>
      <c r="G1004" s="6" t="s">
        <v>21</v>
      </c>
      <c r="H1004" s="8" t="s">
        <v>1890</v>
      </c>
      <c r="I1004" s="9">
        <v>3388000.0</v>
      </c>
      <c r="J1004" s="5" t="str">
        <f t="shared" ref="J1004:K1004" si="1004">SUBSTITUTE(H1004, ",", "")</f>
        <v>28</v>
      </c>
      <c r="K1004" s="5" t="str">
        <f t="shared" si="1004"/>
        <v>Rp3388000</v>
      </c>
      <c r="L1004" s="5" t="str">
        <f t="shared" si="3"/>
        <v>3388000</v>
      </c>
    </row>
    <row r="1005">
      <c r="A1005" s="6" t="s">
        <v>1900</v>
      </c>
      <c r="B1005" s="7" t="str">
        <f>HYPERLINK("https://shopee.co.id/HISTOIRE-NATURELLE-Lactobacillus-Series-Bundle-Foam-Toner-Serum-full-size--i.315746431.6665344855", "https://shopee.co.id/HISTOIRE-NATURELLE-Lactobacillus-Series-Bundle-Foam-Toner-Serum-full-size--i.315746431.6665344855")</f>
        <v>https://shopee.co.id/HISTOIRE-NATURELLE-Lactobacillus-Series-Bundle-Foam-Toner-Serum-full-size--i.315746431.6665344855</v>
      </c>
      <c r="C1005" s="6" t="s">
        <v>1854</v>
      </c>
      <c r="D1005" s="6" t="s">
        <v>1855</v>
      </c>
      <c r="E1005" s="6" t="s">
        <v>12</v>
      </c>
      <c r="F1005" s="6" t="s">
        <v>13</v>
      </c>
      <c r="G1005" s="6" t="s">
        <v>130</v>
      </c>
      <c r="H1005" s="8" t="s">
        <v>1890</v>
      </c>
      <c r="I1005" s="9">
        <v>4197200.0</v>
      </c>
      <c r="J1005" s="5" t="str">
        <f t="shared" ref="J1005:K1005" si="1005">SUBSTITUTE(H1005, ",", "")</f>
        <v>28</v>
      </c>
      <c r="K1005" s="5" t="str">
        <f t="shared" si="1005"/>
        <v>Rp4197200</v>
      </c>
      <c r="L1005" s="5" t="str">
        <f t="shared" si="3"/>
        <v>4197200</v>
      </c>
    </row>
    <row r="1006">
      <c r="A1006" s="6" t="s">
        <v>1901</v>
      </c>
      <c r="B1006" s="7" t="str">
        <f>HYPERLINK("https://shopee.co.id/Scarlett-Whitening-Acne-Serum-15ml-i.50948181.6543464649", "https://shopee.co.id/Scarlett-Whitening-Acne-Serum-15ml-i.50948181.6543464649")</f>
        <v>https://shopee.co.id/Scarlett-Whitening-Acne-Serum-15ml-i.50948181.6543464649</v>
      </c>
      <c r="C1006" s="6" t="s">
        <v>19</v>
      </c>
      <c r="D1006" s="6" t="s">
        <v>1129</v>
      </c>
      <c r="E1006" s="6" t="s">
        <v>12</v>
      </c>
      <c r="F1006" s="6" t="s">
        <v>13</v>
      </c>
      <c r="G1006" s="6" t="s">
        <v>1130</v>
      </c>
      <c r="H1006" s="8" t="s">
        <v>1890</v>
      </c>
      <c r="I1006" s="9">
        <v>5866800.0</v>
      </c>
      <c r="J1006" s="5" t="str">
        <f t="shared" ref="J1006:K1006" si="1006">SUBSTITUTE(H1006, ",", "")</f>
        <v>28</v>
      </c>
      <c r="K1006" s="5" t="str">
        <f t="shared" si="1006"/>
        <v>Rp5866800</v>
      </c>
      <c r="L1006" s="5" t="str">
        <f t="shared" si="3"/>
        <v>5866800</v>
      </c>
    </row>
    <row r="1007">
      <c r="A1007" s="6" t="s">
        <v>1902</v>
      </c>
      <c r="B1007" s="7" t="str">
        <f>HYPERLINK("https://shopee.co.id/DERMALOGICA-Biolumin-C-Serum-30ml-Face-Serum-Wajah-Vitamin-C-i.230946408.6624816214", "https://shopee.co.id/DERMALOGICA-Biolumin-C-Serum-30ml-Face-Serum-Wajah-Vitamin-C-i.230946408.6624816214")</f>
        <v>https://shopee.co.id/DERMALOGICA-Biolumin-C-Serum-30ml-Face-Serum-Wajah-Vitamin-C-i.230946408.6624816214</v>
      </c>
      <c r="C1007" s="6" t="s">
        <v>1903</v>
      </c>
      <c r="D1007" s="6" t="s">
        <v>1904</v>
      </c>
      <c r="E1007" s="6" t="s">
        <v>12</v>
      </c>
      <c r="F1007" s="6" t="s">
        <v>13</v>
      </c>
      <c r="G1007" s="6" t="s">
        <v>21</v>
      </c>
      <c r="H1007" s="8" t="s">
        <v>1890</v>
      </c>
      <c r="I1007" s="9">
        <v>3470100.0</v>
      </c>
      <c r="J1007" s="5" t="str">
        <f t="shared" ref="J1007:K1007" si="1007">SUBSTITUTE(H1007, ",", "")</f>
        <v>28</v>
      </c>
      <c r="K1007" s="5" t="str">
        <f t="shared" si="1007"/>
        <v>Rp3470100</v>
      </c>
      <c r="L1007" s="5" t="str">
        <f t="shared" si="3"/>
        <v>3470100</v>
      </c>
    </row>
    <row r="1008">
      <c r="A1008" s="6" t="s">
        <v>1905</v>
      </c>
      <c r="B1008" s="7" t="str">
        <f>HYPERLINK("https://shopee.co.id/MSBB-Avoskin-Perfect-Hydrating-Treatment-Essence-Special-Valentine-100ml-i.288588702.8815360310", "https://shopee.co.id/MSBB-Avoskin-Perfect-Hydrating-Treatment-Essence-Special-Valentine-100ml-i.288588702.8815360310")</f>
        <v>https://shopee.co.id/MSBB-Avoskin-Perfect-Hydrating-Treatment-Essence-Special-Valentine-100ml-i.288588702.8815360310</v>
      </c>
      <c r="C1008" s="6" t="s">
        <v>83</v>
      </c>
      <c r="D1008" s="6" t="s">
        <v>79</v>
      </c>
      <c r="E1008" s="6" t="s">
        <v>12</v>
      </c>
      <c r="F1008" s="6" t="s">
        <v>13</v>
      </c>
      <c r="G1008" s="6" t="s">
        <v>80</v>
      </c>
      <c r="H1008" s="8" t="s">
        <v>1890</v>
      </c>
      <c r="I1008" s="9">
        <v>5223750.0</v>
      </c>
      <c r="J1008" s="5" t="str">
        <f t="shared" ref="J1008:K1008" si="1008">SUBSTITUTE(H1008, ",", "")</f>
        <v>28</v>
      </c>
      <c r="K1008" s="5" t="str">
        <f t="shared" si="1008"/>
        <v>Rp5223750</v>
      </c>
      <c r="L1008" s="5" t="str">
        <f t="shared" si="3"/>
        <v>5223750</v>
      </c>
    </row>
    <row r="1009">
      <c r="A1009" s="6" t="s">
        <v>1906</v>
      </c>
      <c r="B1009" s="7" t="str">
        <f>HYPERLINK("https://shopee.co.id/Serum-Pelembap-LUNICA-Aqua-Blossom-Serum-i.298959895.7063802482", "https://shopee.co.id/Serum-Pelembap-LUNICA-Aqua-Blossom-Serum-i.298959895.7063802482")</f>
        <v>https://shopee.co.id/Serum-Pelembap-LUNICA-Aqua-Blossom-Serum-i.298959895.7063802482</v>
      </c>
      <c r="C1009" s="6" t="s">
        <v>510</v>
      </c>
      <c r="D1009" s="6" t="s">
        <v>511</v>
      </c>
      <c r="E1009" s="6" t="s">
        <v>12</v>
      </c>
      <c r="F1009" s="6" t="s">
        <v>13</v>
      </c>
      <c r="G1009" s="6" t="s">
        <v>36</v>
      </c>
      <c r="H1009" s="8" t="s">
        <v>1890</v>
      </c>
      <c r="I1009" s="9">
        <v>3234000.0</v>
      </c>
      <c r="J1009" s="5" t="str">
        <f t="shared" ref="J1009:K1009" si="1009">SUBSTITUTE(H1009, ",", "")</f>
        <v>28</v>
      </c>
      <c r="K1009" s="5" t="str">
        <f t="shared" si="1009"/>
        <v>Rp3234000</v>
      </c>
      <c r="L1009" s="5" t="str">
        <f t="shared" si="3"/>
        <v>3234000</v>
      </c>
    </row>
    <row r="1010">
      <c r="A1010" s="6" t="s">
        <v>1907</v>
      </c>
      <c r="B1010" s="7" t="str">
        <f>HYPERLINK("https://shopee.co.id/Erha21-Age-Corrector-Serum-20-Ml-i.30736001.3336444093", "https://shopee.co.id/Erha21-Age-Corrector-Serum-20-Ml-i.30736001.3336444093")</f>
        <v>https://shopee.co.id/Erha21-Age-Corrector-Serum-20-Ml-i.30736001.3336444093</v>
      </c>
      <c r="C1010" s="6" t="s">
        <v>1908</v>
      </c>
      <c r="D1010" s="6" t="s">
        <v>335</v>
      </c>
      <c r="E1010" s="6" t="s">
        <v>12</v>
      </c>
      <c r="F1010" s="6" t="s">
        <v>13</v>
      </c>
      <c r="G1010" s="6" t="s">
        <v>36</v>
      </c>
      <c r="H1010" s="8" t="s">
        <v>1909</v>
      </c>
      <c r="I1010" s="9">
        <v>653200.0</v>
      </c>
      <c r="J1010" s="5" t="str">
        <f t="shared" ref="J1010:K1010" si="1010">SUBSTITUTE(H1010, ",", "")</f>
        <v>27</v>
      </c>
      <c r="K1010" s="5" t="str">
        <f t="shared" si="1010"/>
        <v>Rp653200</v>
      </c>
      <c r="L1010" s="5" t="str">
        <f t="shared" si="3"/>
        <v>653200</v>
      </c>
    </row>
    <row r="1011">
      <c r="A1011" s="6" t="s">
        <v>1910</v>
      </c>
      <c r="B1011" s="7" t="str">
        <f>HYPERLINK("https://shopee.co.id/Avoskin-Your-Skin-Bae-Salicylic-Acid-2-Serum-30ml-i.53887195.3482360589", "https://shopee.co.id/Avoskin-Your-Skin-Bae-Salicylic-Acid-2-Serum-30ml-i.53887195.3482360589")</f>
        <v>https://shopee.co.id/Avoskin-Your-Skin-Bae-Salicylic-Acid-2-Serum-30ml-i.53887195.3482360589</v>
      </c>
      <c r="C1011" s="6" t="s">
        <v>83</v>
      </c>
      <c r="D1011" s="6" t="s">
        <v>1026</v>
      </c>
      <c r="E1011" s="6" t="s">
        <v>12</v>
      </c>
      <c r="F1011" s="6" t="s">
        <v>13</v>
      </c>
      <c r="G1011" s="6" t="s">
        <v>80</v>
      </c>
      <c r="H1011" s="8" t="s">
        <v>1909</v>
      </c>
      <c r="I1011" s="9">
        <v>1157200.0</v>
      </c>
      <c r="J1011" s="5" t="str">
        <f t="shared" ref="J1011:K1011" si="1011">SUBSTITUTE(H1011, ",", "")</f>
        <v>27</v>
      </c>
      <c r="K1011" s="5" t="str">
        <f t="shared" si="1011"/>
        <v>Rp1157200</v>
      </c>
      <c r="L1011" s="5" t="str">
        <f t="shared" si="3"/>
        <v>1157200</v>
      </c>
    </row>
    <row r="1012">
      <c r="A1012" s="6" t="s">
        <v>1911</v>
      </c>
      <c r="B1012" s="7" t="str">
        <f>HYPERLINK("https://shopee.co.id/AKNEMA-BHA-HA-Serum-1-Acne-Solution-i.153170432.6710383917", "https://shopee.co.id/AKNEMA-BHA-HA-Serum-1-Acne-Solution-i.153170432.6710383917")</f>
        <v>https://shopee.co.id/AKNEMA-BHA-HA-Serum-1-Acne-Solution-i.153170432.6710383917</v>
      </c>
      <c r="C1012" s="6" t="s">
        <v>1912</v>
      </c>
      <c r="D1012" s="6" t="s">
        <v>1913</v>
      </c>
      <c r="E1012" s="6" t="s">
        <v>12</v>
      </c>
      <c r="F1012" s="6" t="s">
        <v>13</v>
      </c>
      <c r="G1012" s="6" t="s">
        <v>130</v>
      </c>
      <c r="H1012" s="8" t="s">
        <v>1909</v>
      </c>
      <c r="I1012" s="9">
        <v>4847500.0</v>
      </c>
      <c r="J1012" s="5" t="str">
        <f t="shared" ref="J1012:K1012" si="1012">SUBSTITUTE(H1012, ",", "")</f>
        <v>27</v>
      </c>
      <c r="K1012" s="5" t="str">
        <f t="shared" si="1012"/>
        <v>Rp4847500</v>
      </c>
      <c r="L1012" s="5" t="str">
        <f t="shared" si="3"/>
        <v>4847500</v>
      </c>
    </row>
    <row r="1013">
      <c r="A1013" s="6" t="s">
        <v>1914</v>
      </c>
      <c r="B1013" s="7" t="str">
        <f>HYPERLINK("https://shopee.co.id/Safi-Age-Defy-Concentrated-Serum-20ml-Twinpack-Special-i.63823668.6784978581", "https://shopee.co.id/Safi-Age-Defy-Concentrated-Serum-20ml-Twinpack-Special-i.63823668.6784978581")</f>
        <v>https://shopee.co.id/Safi-Age-Defy-Concentrated-Serum-20ml-Twinpack-Special-i.63823668.6784978581</v>
      </c>
      <c r="C1013" s="6" t="s">
        <v>278</v>
      </c>
      <c r="D1013" s="6" t="s">
        <v>279</v>
      </c>
      <c r="E1013" s="6" t="s">
        <v>12</v>
      </c>
      <c r="F1013" s="6" t="s">
        <v>13</v>
      </c>
      <c r="G1013" s="6" t="s">
        <v>61</v>
      </c>
      <c r="H1013" s="8" t="s">
        <v>1909</v>
      </c>
      <c r="I1013" s="9">
        <v>8799300.0</v>
      </c>
      <c r="J1013" s="5" t="str">
        <f t="shared" ref="J1013:K1013" si="1013">SUBSTITUTE(H1013, ",", "")</f>
        <v>27</v>
      </c>
      <c r="K1013" s="5" t="str">
        <f t="shared" si="1013"/>
        <v>Rp8799300</v>
      </c>
      <c r="L1013" s="5" t="str">
        <f t="shared" si="3"/>
        <v>8799300</v>
      </c>
    </row>
    <row r="1014">
      <c r="A1014" s="6" t="s">
        <v>1915</v>
      </c>
      <c r="B1014" s="7" t="str">
        <f>HYPERLINK("https://shopee.co.id/Biokos-Derma-Bright-Intensive-Brightening-Serum-i.34904037.640287595", "https://shopee.co.id/Biokos-Derma-Bright-Intensive-Brightening-Serum-i.34904037.640287595")</f>
        <v>https://shopee.co.id/Biokos-Derma-Bright-Intensive-Brightening-Serum-i.34904037.640287595</v>
      </c>
      <c r="C1014" s="6" t="s">
        <v>1873</v>
      </c>
      <c r="D1014" s="6" t="s">
        <v>1874</v>
      </c>
      <c r="E1014" s="6" t="s">
        <v>12</v>
      </c>
      <c r="F1014" s="6" t="s">
        <v>13</v>
      </c>
      <c r="G1014" s="6" t="s">
        <v>469</v>
      </c>
      <c r="H1014" s="8" t="s">
        <v>1909</v>
      </c>
      <c r="I1014" s="9">
        <v>6976400.0</v>
      </c>
      <c r="J1014" s="5" t="str">
        <f t="shared" ref="J1014:K1014" si="1014">SUBSTITUTE(H1014, ",", "")</f>
        <v>27</v>
      </c>
      <c r="K1014" s="5" t="str">
        <f t="shared" si="1014"/>
        <v>Rp6976400</v>
      </c>
      <c r="L1014" s="5" t="str">
        <f t="shared" si="3"/>
        <v>6976400</v>
      </c>
    </row>
    <row r="1015">
      <c r="A1015" s="6" t="s">
        <v>1916</v>
      </c>
      <c r="B1015" s="7" t="str">
        <f>HYPERLINK("https://shopee.co.id/SOMEBYMI-Propolis-B5-Glow-Barrier-Calming-Serum-50ml-i.270965687.10343903586", "https://shopee.co.id/SOMEBYMI-Propolis-B5-Glow-Barrier-Calming-Serum-50ml-i.270965687.10343903586")</f>
        <v>https://shopee.co.id/SOMEBYMI-Propolis-B5-Glow-Barrier-Calming-Serum-50ml-i.270965687.10343903586</v>
      </c>
      <c r="C1015" s="6" t="s">
        <v>213</v>
      </c>
      <c r="D1015" s="6" t="s">
        <v>379</v>
      </c>
      <c r="E1015" s="6" t="s">
        <v>12</v>
      </c>
      <c r="F1015" s="6" t="s">
        <v>13</v>
      </c>
      <c r="G1015" s="6" t="s">
        <v>380</v>
      </c>
      <c r="H1015" s="8" t="s">
        <v>1909</v>
      </c>
      <c r="I1015" s="9">
        <v>7968092.0</v>
      </c>
      <c r="J1015" s="5" t="str">
        <f t="shared" ref="J1015:K1015" si="1015">SUBSTITUTE(H1015, ",", "")</f>
        <v>27</v>
      </c>
      <c r="K1015" s="5" t="str">
        <f t="shared" si="1015"/>
        <v>Rp7968092</v>
      </c>
      <c r="L1015" s="5" t="str">
        <f t="shared" si="3"/>
        <v>7968092</v>
      </c>
    </row>
    <row r="1016">
      <c r="A1016" s="6" t="s">
        <v>1917</v>
      </c>
      <c r="B1016" s="7" t="str">
        <f>HYPERLINK("https://shopee.co.id/Nuface-Nu-Glow-Liquid-Acneprone-Care-Serum-Serum-Acne--i.2315394.11644481484", "https://shopee.co.id/Nuface-Nu-Glow-Liquid-Acneprone-Care-Serum-Serum-Acne--i.2315394.11644481484")</f>
        <v>https://shopee.co.id/Nuface-Nu-Glow-Liquid-Acneprone-Care-Serum-Serum-Acne--i.2315394.11644481484</v>
      </c>
      <c r="C1016" s="6" t="s">
        <v>1918</v>
      </c>
      <c r="D1016" s="6" t="s">
        <v>1919</v>
      </c>
      <c r="E1016" s="6" t="s">
        <v>12</v>
      </c>
      <c r="F1016" s="6" t="s">
        <v>13</v>
      </c>
      <c r="G1016" s="6" t="s">
        <v>61</v>
      </c>
      <c r="H1016" s="8" t="s">
        <v>1909</v>
      </c>
      <c r="I1016" s="9">
        <v>1988000.0</v>
      </c>
      <c r="J1016" s="5" t="str">
        <f t="shared" ref="J1016:K1016" si="1016">SUBSTITUTE(H1016, ",", "")</f>
        <v>27</v>
      </c>
      <c r="K1016" s="5" t="str">
        <f t="shared" si="1016"/>
        <v>Rp1988000</v>
      </c>
      <c r="L1016" s="5" t="str">
        <f t="shared" si="3"/>
        <v>1988000</v>
      </c>
    </row>
    <row r="1017">
      <c r="A1017" s="6" t="s">
        <v>1920</v>
      </c>
      <c r="B1017" s="7" t="str">
        <f>HYPERLINK("https://shopee.co.id/La-Tulipe-La-Tulipe-C-Serum-i.131133483.2090030116", "https://shopee.co.id/La-Tulipe-La-Tulipe-C-Serum-i.131133483.2090030116")</f>
        <v>https://shopee.co.id/La-Tulipe-La-Tulipe-C-Serum-i.131133483.2090030116</v>
      </c>
      <c r="C1017" s="6" t="s">
        <v>1761</v>
      </c>
      <c r="D1017" s="6" t="s">
        <v>1762</v>
      </c>
      <c r="E1017" s="6" t="s">
        <v>12</v>
      </c>
      <c r="F1017" s="6" t="s">
        <v>13</v>
      </c>
      <c r="G1017" s="6" t="s">
        <v>61</v>
      </c>
      <c r="H1017" s="8" t="s">
        <v>1909</v>
      </c>
      <c r="I1017" s="9">
        <v>3831450.0</v>
      </c>
      <c r="J1017" s="5" t="str">
        <f t="shared" ref="J1017:K1017" si="1017">SUBSTITUTE(H1017, ",", "")</f>
        <v>27</v>
      </c>
      <c r="K1017" s="5" t="str">
        <f t="shared" si="1017"/>
        <v>Rp3831450</v>
      </c>
      <c r="L1017" s="5" t="str">
        <f t="shared" si="3"/>
        <v>3831450</v>
      </c>
    </row>
    <row r="1018">
      <c r="A1018" s="6" t="s">
        <v>1921</v>
      </c>
      <c r="B1018" s="7" t="str">
        <f>HYPERLINK("https://shopee.co.id/-The-Face-Shop-Yehwadam-Pure-Brightening-Serum-45ml-Original-i.34671748.2014337783", "https://shopee.co.id/-The-Face-Shop-Yehwadam-Pure-Brightening-Serum-45ml-Original-i.34671748.2014337783")</f>
        <v>https://shopee.co.id/-The-Face-Shop-Yehwadam-Pure-Brightening-Serum-45ml-Original-i.34671748.2014337783</v>
      </c>
      <c r="C1018" s="6" t="s">
        <v>1217</v>
      </c>
      <c r="D1018" s="6" t="s">
        <v>1218</v>
      </c>
      <c r="E1018" s="6" t="s">
        <v>12</v>
      </c>
      <c r="F1018" s="6" t="s">
        <v>13</v>
      </c>
      <c r="G1018" s="6" t="s">
        <v>61</v>
      </c>
      <c r="H1018" s="8" t="s">
        <v>1909</v>
      </c>
      <c r="I1018" s="9">
        <v>7830000.0</v>
      </c>
      <c r="J1018" s="5" t="str">
        <f t="shared" ref="J1018:K1018" si="1018">SUBSTITUTE(H1018, ",", "")</f>
        <v>27</v>
      </c>
      <c r="K1018" s="5" t="str">
        <f t="shared" si="1018"/>
        <v>Rp7830000</v>
      </c>
      <c r="L1018" s="5" t="str">
        <f t="shared" si="3"/>
        <v>7830000</v>
      </c>
    </row>
    <row r="1019">
      <c r="A1019" s="6" t="s">
        <v>1922</v>
      </c>
      <c r="B1019" s="7" t="str">
        <f>HYPERLINK("https://shopee.co.id/FACE-UP-ACTIVATE-ESSENCE-LE-SERUM-ULTIME-i.131135447.9145261909", "https://shopee.co.id/FACE-UP-ACTIVATE-ESSENCE-LE-SERUM-ULTIME-i.131135447.9145261909")</f>
        <v>https://shopee.co.id/FACE-UP-ACTIVATE-ESSENCE-LE-SERUM-ULTIME-i.131135447.9145261909</v>
      </c>
      <c r="C1019" s="6" t="s">
        <v>1923</v>
      </c>
      <c r="D1019" s="6" t="s">
        <v>1924</v>
      </c>
      <c r="E1019" s="6" t="s">
        <v>12</v>
      </c>
      <c r="F1019" s="6" t="s">
        <v>13</v>
      </c>
      <c r="G1019" s="6" t="s">
        <v>469</v>
      </c>
      <c r="H1019" s="8" t="s">
        <v>1909</v>
      </c>
      <c r="I1019" s="9">
        <v>1.209E7</v>
      </c>
      <c r="J1019" s="5" t="str">
        <f t="shared" ref="J1019:K1019" si="1019">SUBSTITUTE(H1019, ",", "")</f>
        <v>27</v>
      </c>
      <c r="K1019" s="5" t="str">
        <f t="shared" si="1019"/>
        <v>Rp12090000</v>
      </c>
      <c r="L1019" s="5" t="str">
        <f t="shared" si="3"/>
        <v>12090000</v>
      </c>
    </row>
    <row r="1020">
      <c r="A1020" s="6" t="s">
        <v>1925</v>
      </c>
      <c r="B1020" s="7" t="str">
        <f>HYPERLINK("https://shopee.co.id/ULTRA-V-Idebenone-Treatment-Essence-Idebenone-4-ampoule-bonus-I-wand-i.52494401.4379933196", "https://shopee.co.id/ULTRA-V-Idebenone-Treatment-Essence-Idebenone-4-ampoule-bonus-I-wand-i.52494401.4379933196")</f>
        <v>https://shopee.co.id/ULTRA-V-Idebenone-Treatment-Essence-Idebenone-4-ampoule-bonus-I-wand-i.52494401.4379933196</v>
      </c>
      <c r="C1020" s="6" t="s">
        <v>1926</v>
      </c>
      <c r="D1020" s="6" t="s">
        <v>1927</v>
      </c>
      <c r="E1020" s="6" t="s">
        <v>12</v>
      </c>
      <c r="F1020" s="6" t="s">
        <v>13</v>
      </c>
      <c r="G1020" s="6" t="s">
        <v>61</v>
      </c>
      <c r="H1020" s="8" t="s">
        <v>1909</v>
      </c>
      <c r="I1020" s="9">
        <v>1811700.0</v>
      </c>
      <c r="J1020" s="5" t="str">
        <f t="shared" ref="J1020:K1020" si="1020">SUBSTITUTE(H1020, ",", "")</f>
        <v>27</v>
      </c>
      <c r="K1020" s="5" t="str">
        <f t="shared" si="1020"/>
        <v>Rp1811700</v>
      </c>
      <c r="L1020" s="5" t="str">
        <f t="shared" si="3"/>
        <v>1811700</v>
      </c>
    </row>
    <row r="1021">
      <c r="A1021" s="6" t="s">
        <v>1928</v>
      </c>
      <c r="B1021" s="7" t="str">
        <f>HYPERLINK("https://shopee.co.id/Skin-Dewi-Tamanu-Green-Serum-30ml-Skincare-Organic--i.69413780.6610760513", "https://shopee.co.id/Skin-Dewi-Tamanu-Green-Serum-30ml-Skincare-Organic--i.69413780.6610760513")</f>
        <v>https://shopee.co.id/Skin-Dewi-Tamanu-Green-Serum-30ml-Skincare-Organic--i.69413780.6610760513</v>
      </c>
      <c r="C1021" s="6" t="s">
        <v>940</v>
      </c>
      <c r="D1021" s="6" t="s">
        <v>1929</v>
      </c>
      <c r="E1021" s="6" t="s">
        <v>12</v>
      </c>
      <c r="F1021" s="6" t="s">
        <v>13</v>
      </c>
      <c r="G1021" s="6" t="s">
        <v>61</v>
      </c>
      <c r="H1021" s="8" t="s">
        <v>1909</v>
      </c>
      <c r="I1021" s="9">
        <v>6274800.0</v>
      </c>
      <c r="J1021" s="5" t="str">
        <f t="shared" ref="J1021:K1021" si="1021">SUBSTITUTE(H1021, ",", "")</f>
        <v>27</v>
      </c>
      <c r="K1021" s="5" t="str">
        <f t="shared" si="1021"/>
        <v>Rp6274800</v>
      </c>
      <c r="L1021" s="5" t="str">
        <f t="shared" si="3"/>
        <v>6274800</v>
      </c>
    </row>
    <row r="1022">
      <c r="A1022" s="6" t="s">
        <v>1930</v>
      </c>
      <c r="B1022" s="7" t="str">
        <f>HYPERLINK("https://shopee.co.id/COLLAGEN-BY-WATSONS-Youth-Secret-Supreme-Serum-35ml-i.30736001.9389095938", "https://shopee.co.id/COLLAGEN-BY-WATSONS-Youth-Secret-Supreme-Serum-35ml-i.30736001.9389095938")</f>
        <v>https://shopee.co.id/COLLAGEN-BY-WATSONS-Youth-Secret-Supreme-Serum-35ml-i.30736001.9389095938</v>
      </c>
      <c r="C1022" s="6" t="s">
        <v>1931</v>
      </c>
      <c r="D1022" s="6" t="s">
        <v>335</v>
      </c>
      <c r="E1022" s="6" t="s">
        <v>12</v>
      </c>
      <c r="F1022" s="6" t="s">
        <v>13</v>
      </c>
      <c r="G1022" s="6" t="s">
        <v>36</v>
      </c>
      <c r="H1022" s="8" t="s">
        <v>1909</v>
      </c>
      <c r="I1022" s="9">
        <v>2583000.0</v>
      </c>
      <c r="J1022" s="5" t="str">
        <f t="shared" ref="J1022:K1022" si="1022">SUBSTITUTE(H1022, ",", "")</f>
        <v>27</v>
      </c>
      <c r="K1022" s="5" t="str">
        <f t="shared" si="1022"/>
        <v>Rp2583000</v>
      </c>
      <c r="L1022" s="5" t="str">
        <f t="shared" si="3"/>
        <v>2583000</v>
      </c>
    </row>
    <row r="1023">
      <c r="A1023" s="6" t="s">
        <v>1932</v>
      </c>
      <c r="B1023" s="7" t="str">
        <f>HYPERLINK("https://shopee.co.id/SOMETHINC-5-Niacinamide-Barrier-Serum-i.68111.6490879686", "https://shopee.co.id/SOMETHINC-5-Niacinamide-Barrier-Serum-i.68111.6490879686")</f>
        <v>https://shopee.co.id/SOMETHINC-5-Niacinamide-Barrier-Serum-i.68111.6490879686</v>
      </c>
      <c r="C1023" s="6" t="s">
        <v>45</v>
      </c>
      <c r="D1023" s="6" t="s">
        <v>441</v>
      </c>
      <c r="E1023" s="6" t="s">
        <v>12</v>
      </c>
      <c r="F1023" s="6" t="s">
        <v>13</v>
      </c>
      <c r="G1023" s="6" t="s">
        <v>130</v>
      </c>
      <c r="H1023" s="8" t="s">
        <v>1909</v>
      </c>
      <c r="I1023" s="9">
        <v>4740200.0</v>
      </c>
      <c r="J1023" s="5" t="str">
        <f t="shared" ref="J1023:K1023" si="1023">SUBSTITUTE(H1023, ",", "")</f>
        <v>27</v>
      </c>
      <c r="K1023" s="5" t="str">
        <f t="shared" si="1023"/>
        <v>Rp4740200</v>
      </c>
      <c r="L1023" s="5" t="str">
        <f t="shared" si="3"/>
        <v>4740200</v>
      </c>
    </row>
    <row r="1024">
      <c r="A1024" s="6" t="s">
        <v>1933</v>
      </c>
      <c r="B1024" s="7" t="str">
        <f>HYPERLINK("https://shopee.co.id/WHITELAB-Acne-Calming-Serum-20ml-i.270965687.8244384096", "https://shopee.co.id/WHITELAB-Acne-Calming-Serum-20ml-i.270965687.8244384096")</f>
        <v>https://shopee.co.id/WHITELAB-Acne-Calming-Serum-20ml-i.270965687.8244384096</v>
      </c>
      <c r="C1024" s="6" t="s">
        <v>59</v>
      </c>
      <c r="D1024" s="6" t="s">
        <v>379</v>
      </c>
      <c r="E1024" s="6" t="s">
        <v>12</v>
      </c>
      <c r="F1024" s="6" t="s">
        <v>13</v>
      </c>
      <c r="G1024" s="6" t="s">
        <v>380</v>
      </c>
      <c r="H1024" s="8" t="s">
        <v>1909</v>
      </c>
      <c r="I1024" s="9">
        <v>4590000.0</v>
      </c>
      <c r="J1024" s="5" t="str">
        <f t="shared" ref="J1024:K1024" si="1024">SUBSTITUTE(H1024, ",", "")</f>
        <v>27</v>
      </c>
      <c r="K1024" s="5" t="str">
        <f t="shared" si="1024"/>
        <v>Rp4590000</v>
      </c>
      <c r="L1024" s="5" t="str">
        <f t="shared" si="3"/>
        <v>4590000</v>
      </c>
    </row>
    <row r="1025">
      <c r="A1025" s="6" t="s">
        <v>1934</v>
      </c>
      <c r="B1025" s="7" t="str">
        <f>HYPERLINK("https://shopee.co.id/Avoskin-Your-Skin-Bae-Serum-Niacinamide-12-Centella-Asiatica-30ml-i.50948181.11917398025", "https://shopee.co.id/Avoskin-Your-Skin-Bae-Serum-Niacinamide-12-Centella-Asiatica-30ml-i.50948181.11917398025")</f>
        <v>https://shopee.co.id/Avoskin-Your-Skin-Bae-Serum-Niacinamide-12-Centella-Asiatica-30ml-i.50948181.11917398025</v>
      </c>
      <c r="C1025" s="6" t="s">
        <v>83</v>
      </c>
      <c r="D1025" s="6" t="s">
        <v>1129</v>
      </c>
      <c r="E1025" s="6" t="s">
        <v>12</v>
      </c>
      <c r="F1025" s="6" t="s">
        <v>13</v>
      </c>
      <c r="G1025" s="6" t="s">
        <v>1130</v>
      </c>
      <c r="H1025" s="8" t="s">
        <v>1909</v>
      </c>
      <c r="I1025" s="9">
        <v>5373000.0</v>
      </c>
      <c r="J1025" s="5" t="str">
        <f t="shared" ref="J1025:K1025" si="1025">SUBSTITUTE(H1025, ",", "")</f>
        <v>27</v>
      </c>
      <c r="K1025" s="5" t="str">
        <f t="shared" si="1025"/>
        <v>Rp5373000</v>
      </c>
      <c r="L1025" s="5" t="str">
        <f t="shared" si="3"/>
        <v>5373000</v>
      </c>
    </row>
    <row r="1026">
      <c r="A1026" s="6" t="s">
        <v>1935</v>
      </c>
      <c r="B1026" s="7" t="str">
        <f>HYPERLINK("https://shopee.co.id/Humphrey-Vitamin-C-Whitening-Plus-Serum-20ml-Kulit-Berminyak--i.83349.273108", "https://shopee.co.id/Humphrey-Vitamin-C-Whitening-Plus-Serum-20ml-Kulit-Berminyak--i.83349.273108")</f>
        <v>https://shopee.co.id/Humphrey-Vitamin-C-Whitening-Plus-Serum-20ml-Kulit-Berminyak--i.83349.273108</v>
      </c>
      <c r="C1026" s="6" t="s">
        <v>1832</v>
      </c>
      <c r="D1026" s="6" t="s">
        <v>1833</v>
      </c>
      <c r="E1026" s="6" t="s">
        <v>12</v>
      </c>
      <c r="F1026" s="6" t="s">
        <v>13</v>
      </c>
      <c r="G1026" s="6" t="s">
        <v>21</v>
      </c>
      <c r="H1026" s="8" t="s">
        <v>1909</v>
      </c>
      <c r="I1026" s="9">
        <v>5221450.0</v>
      </c>
      <c r="J1026" s="5" t="str">
        <f t="shared" ref="J1026:K1026" si="1026">SUBSTITUTE(H1026, ",", "")</f>
        <v>27</v>
      </c>
      <c r="K1026" s="5" t="str">
        <f t="shared" si="1026"/>
        <v>Rp5221450</v>
      </c>
      <c r="L1026" s="5" t="str">
        <f t="shared" si="3"/>
        <v>5221450</v>
      </c>
    </row>
    <row r="1027">
      <c r="A1027" s="6" t="s">
        <v>1936</v>
      </c>
      <c r="B1027" s="7" t="str">
        <f>HYPERLINK("https://shopee.co.id/Precious-Skin-Vitamin-C-Lemon-Facial-Whitening-Serum-All-skin-Type-Serum-Wajah-Serum-Muka-50ml-i.156582062.5676973894", "https://shopee.co.id/Precious-Skin-Vitamin-C-Lemon-Facial-Whitening-Serum-All-skin-Type-Serum-Wajah-Serum-Muka-50ml-i.156582062.5676973894")</f>
        <v>https://shopee.co.id/Precious-Skin-Vitamin-C-Lemon-Facial-Whitening-Serum-All-skin-Type-Serum-Wajah-Serum-Muka-50ml-i.156582062.5676973894</v>
      </c>
      <c r="C1027" s="6" t="s">
        <v>1095</v>
      </c>
      <c r="D1027" s="6" t="s">
        <v>1096</v>
      </c>
      <c r="E1027" s="6" t="s">
        <v>12</v>
      </c>
      <c r="F1027" s="6" t="s">
        <v>13</v>
      </c>
      <c r="G1027" s="6" t="s">
        <v>61</v>
      </c>
      <c r="H1027" s="8" t="s">
        <v>1909</v>
      </c>
      <c r="I1027" s="9">
        <v>3575000.0</v>
      </c>
      <c r="J1027" s="5" t="str">
        <f t="shared" ref="J1027:K1027" si="1027">SUBSTITUTE(H1027, ",", "")</f>
        <v>27</v>
      </c>
      <c r="K1027" s="5" t="str">
        <f t="shared" si="1027"/>
        <v>Rp3575000</v>
      </c>
      <c r="L1027" s="5" t="str">
        <f t="shared" si="3"/>
        <v>3575000</v>
      </c>
    </row>
    <row r="1028">
      <c r="A1028" s="6" t="s">
        <v>1937</v>
      </c>
      <c r="B1028" s="7" t="str">
        <f>HYPERLINK("https://shopee.co.id/ANTI-ACNE-BRIGHTENING-SERUM-i.110573301.8342622810", "https://shopee.co.id/ANTI-ACNE-BRIGHTENING-SERUM-i.110573301.8342622810")</f>
        <v>https://shopee.co.id/ANTI-ACNE-BRIGHTENING-SERUM-i.110573301.8342622810</v>
      </c>
      <c r="C1028" s="6" t="s">
        <v>233</v>
      </c>
      <c r="D1028" s="6" t="s">
        <v>227</v>
      </c>
      <c r="E1028" s="6" t="s">
        <v>12</v>
      </c>
      <c r="F1028" s="6" t="s">
        <v>13</v>
      </c>
      <c r="G1028" s="6" t="s">
        <v>61</v>
      </c>
      <c r="H1028" s="8" t="s">
        <v>1909</v>
      </c>
      <c r="I1028" s="9">
        <v>1.04536E7</v>
      </c>
      <c r="J1028" s="5" t="str">
        <f t="shared" ref="J1028:K1028" si="1028">SUBSTITUTE(H1028, ",", "")</f>
        <v>27</v>
      </c>
      <c r="K1028" s="5" t="str">
        <f t="shared" si="1028"/>
        <v>Rp10453600</v>
      </c>
      <c r="L1028" s="5" t="str">
        <f t="shared" si="3"/>
        <v>10453600</v>
      </c>
    </row>
    <row r="1029">
      <c r="A1029" s="6" t="s">
        <v>1938</v>
      </c>
      <c r="B1029" s="7" t="str">
        <f>HYPERLINK("https://shopee.co.id/Mineral-Botanica-Glo-It-Up-Peptide-Serum-i.124549994.3260146963", "https://shopee.co.id/Mineral-Botanica-Glo-It-Up-Peptide-Serum-i.124549994.3260146963")</f>
        <v>https://shopee.co.id/Mineral-Botanica-Glo-It-Up-Peptide-Serum-i.124549994.3260146963</v>
      </c>
      <c r="C1029" s="6" t="s">
        <v>807</v>
      </c>
      <c r="D1029" s="6" t="s">
        <v>808</v>
      </c>
      <c r="E1029" s="6" t="s">
        <v>12</v>
      </c>
      <c r="F1029" s="6" t="s">
        <v>13</v>
      </c>
      <c r="G1029" s="6" t="s">
        <v>80</v>
      </c>
      <c r="H1029" s="8" t="s">
        <v>1909</v>
      </c>
      <c r="I1029" s="9">
        <v>1.76191E7</v>
      </c>
      <c r="J1029" s="5" t="str">
        <f t="shared" ref="J1029:K1029" si="1029">SUBSTITUTE(H1029, ",", "")</f>
        <v>27</v>
      </c>
      <c r="K1029" s="5" t="str">
        <f t="shared" si="1029"/>
        <v>Rp17619100</v>
      </c>
      <c r="L1029" s="5" t="str">
        <f t="shared" si="3"/>
        <v>17619100</v>
      </c>
    </row>
    <row r="1030">
      <c r="A1030" s="6" t="s">
        <v>1939</v>
      </c>
      <c r="B1030" s="7" t="str">
        <f>HYPERLINK("https://shopee.co.id/BREYLEE-SETS-of-SERUM-B-Mencerahkan-Menyegarkan-Wajah-2pcs--i.324706771.6768805836", "https://shopee.co.id/BREYLEE-SETS-of-SERUM-B-Mencerahkan-Menyegarkan-Wajah-2pcs--i.324706771.6768805836")</f>
        <v>https://shopee.co.id/BREYLEE-SETS-of-SERUM-B-Mencerahkan-Menyegarkan-Wajah-2pcs--i.324706771.6768805836</v>
      </c>
      <c r="C1030" s="6" t="s">
        <v>852</v>
      </c>
      <c r="D1030" s="6" t="s">
        <v>853</v>
      </c>
      <c r="E1030" s="6" t="s">
        <v>12</v>
      </c>
      <c r="F1030" s="6" t="s">
        <v>13</v>
      </c>
      <c r="G1030" s="6" t="s">
        <v>532</v>
      </c>
      <c r="H1030" s="8" t="s">
        <v>1909</v>
      </c>
      <c r="I1030" s="9">
        <v>3566000.0</v>
      </c>
      <c r="J1030" s="5" t="str">
        <f t="shared" ref="J1030:K1030" si="1030">SUBSTITUTE(H1030, ",", "")</f>
        <v>27</v>
      </c>
      <c r="K1030" s="5" t="str">
        <f t="shared" si="1030"/>
        <v>Rp3566000</v>
      </c>
      <c r="L1030" s="5" t="str">
        <f t="shared" si="3"/>
        <v>3566000</v>
      </c>
    </row>
    <row r="1031">
      <c r="A1031" s="6" t="s">
        <v>1940</v>
      </c>
      <c r="B1031" s="7" t="str">
        <f>HYPERLINK("https://shopee.co.id/M-LAB-SERUM-i.228410824.7182492336", "https://shopee.co.id/M-LAB-SERUM-i.228410824.7182492336")</f>
        <v>https://shopee.co.id/M-LAB-SERUM-i.228410824.7182492336</v>
      </c>
      <c r="C1031" s="6" t="s">
        <v>1941</v>
      </c>
      <c r="D1031" s="6" t="s">
        <v>1942</v>
      </c>
      <c r="E1031" s="6" t="s">
        <v>12</v>
      </c>
      <c r="F1031" s="6" t="s">
        <v>13</v>
      </c>
      <c r="G1031" s="6" t="s">
        <v>61</v>
      </c>
      <c r="H1031" s="8" t="s">
        <v>1909</v>
      </c>
      <c r="I1031" s="9">
        <v>4725000.0</v>
      </c>
      <c r="J1031" s="5" t="str">
        <f t="shared" ref="J1031:K1031" si="1031">SUBSTITUTE(H1031, ",", "")</f>
        <v>27</v>
      </c>
      <c r="K1031" s="5" t="str">
        <f t="shared" si="1031"/>
        <v>Rp4725000</v>
      </c>
      <c r="L1031" s="5" t="str">
        <f t="shared" si="3"/>
        <v>4725000</v>
      </c>
    </row>
    <row r="1032">
      <c r="A1032" s="6" t="s">
        <v>1943</v>
      </c>
      <c r="B1032" s="7" t="str">
        <f>HYPERLINK("https://shopee.co.id/SOMETHINC-Level-1-Retinol-20ml-i.30736001.5784170501", "https://shopee.co.id/SOMETHINC-Level-1-Retinol-20ml-i.30736001.5784170501")</f>
        <v>https://shopee.co.id/SOMETHINC-Level-1-Retinol-20ml-i.30736001.5784170501</v>
      </c>
      <c r="C1032" s="6" t="s">
        <v>45</v>
      </c>
      <c r="D1032" s="6" t="s">
        <v>335</v>
      </c>
      <c r="E1032" s="6" t="s">
        <v>12</v>
      </c>
      <c r="F1032" s="6" t="s">
        <v>13</v>
      </c>
      <c r="G1032" s="6" t="s">
        <v>36</v>
      </c>
      <c r="H1032" s="8" t="s">
        <v>1944</v>
      </c>
      <c r="I1032" s="9">
        <v>1641400.0</v>
      </c>
      <c r="J1032" s="5" t="str">
        <f t="shared" ref="J1032:K1032" si="1032">SUBSTITUTE(H1032, ",", "")</f>
        <v>26</v>
      </c>
      <c r="K1032" s="5" t="str">
        <f t="shared" si="1032"/>
        <v>Rp1641400</v>
      </c>
      <c r="L1032" s="5" t="str">
        <f t="shared" si="3"/>
        <v>1641400</v>
      </c>
    </row>
    <row r="1033">
      <c r="A1033" s="6" t="s">
        <v>1945</v>
      </c>
      <c r="B1033" s="7" t="str">
        <f>HYPERLINK("https://shopee.co.id/Maharis-Skin-Care-Sublime-Serum-30ml-i.199236456.5913177317", "https://shopee.co.id/Maharis-Skin-Care-Sublime-Serum-30ml-i.199236456.5913177317")</f>
        <v>https://shopee.co.id/Maharis-Skin-Care-Sublime-Serum-30ml-i.199236456.5913177317</v>
      </c>
      <c r="C1033" s="6" t="s">
        <v>1946</v>
      </c>
      <c r="D1033" s="6" t="s">
        <v>1947</v>
      </c>
      <c r="E1033" s="6" t="s">
        <v>12</v>
      </c>
      <c r="F1033" s="6" t="s">
        <v>13</v>
      </c>
      <c r="G1033" s="6" t="s">
        <v>98</v>
      </c>
      <c r="H1033" s="8" t="s">
        <v>1944</v>
      </c>
      <c r="I1033" s="9">
        <v>6477570.0</v>
      </c>
      <c r="J1033" s="5" t="str">
        <f t="shared" ref="J1033:K1033" si="1033">SUBSTITUTE(H1033, ",", "")</f>
        <v>26</v>
      </c>
      <c r="K1033" s="5" t="str">
        <f t="shared" si="1033"/>
        <v>Rp6477570</v>
      </c>
      <c r="L1033" s="5" t="str">
        <f t="shared" si="3"/>
        <v>6477570</v>
      </c>
    </row>
    <row r="1034">
      <c r="A1034" s="6" t="s">
        <v>302</v>
      </c>
      <c r="B1034" s="7" t="str">
        <f>HYPERLINK("https://shopee.co.id/Azarine-Anti-Acne-Brightening-Serum-20ml-i.10689.7574811763", "https://shopee.co.id/Azarine-Anti-Acne-Brightening-Serum-20ml-i.10689.7574811763")</f>
        <v>https://shopee.co.id/Azarine-Anti-Acne-Brightening-Serum-20ml-i.10689.7574811763</v>
      </c>
      <c r="C1034" s="6" t="s">
        <v>233</v>
      </c>
      <c r="D1034" s="6" t="s">
        <v>745</v>
      </c>
      <c r="E1034" s="6" t="s">
        <v>12</v>
      </c>
      <c r="F1034" s="6" t="s">
        <v>13</v>
      </c>
      <c r="G1034" s="6" t="s">
        <v>61</v>
      </c>
      <c r="H1034" s="8" t="s">
        <v>1944</v>
      </c>
      <c r="I1034" s="9">
        <v>3713000.0</v>
      </c>
      <c r="J1034" s="5" t="str">
        <f t="shared" ref="J1034:K1034" si="1034">SUBSTITUTE(H1034, ",", "")</f>
        <v>26</v>
      </c>
      <c r="K1034" s="5" t="str">
        <f t="shared" si="1034"/>
        <v>Rp3713000</v>
      </c>
      <c r="L1034" s="5" t="str">
        <f t="shared" si="3"/>
        <v>3713000</v>
      </c>
    </row>
    <row r="1035">
      <c r="A1035" s="6" t="s">
        <v>1948</v>
      </c>
      <c r="B1035" s="7" t="str">
        <f>HYPERLINK("https://shopee.co.id/ERHA-TRUWHITE-VIT-C-AND-PEPTIDES-SERUM-20ML-Membuat-Kulit-Wajah-lebih-cerah-dan-glowing-i.50972887.9919012660", "https://shopee.co.id/ERHA-TRUWHITE-VIT-C-AND-PEPTIDES-SERUM-20ML-Membuat-Kulit-Wajah-lebih-cerah-dan-glowing-i.50972887.9919012660")</f>
        <v>https://shopee.co.id/ERHA-TRUWHITE-VIT-C-AND-PEPTIDES-SERUM-20ML-Membuat-Kulit-Wajah-lebih-cerah-dan-glowing-i.50972887.9919012660</v>
      </c>
      <c r="C1035" s="6" t="s">
        <v>181</v>
      </c>
      <c r="D1035" s="6" t="s">
        <v>552</v>
      </c>
      <c r="E1035" s="6" t="s">
        <v>12</v>
      </c>
      <c r="F1035" s="6" t="s">
        <v>13</v>
      </c>
      <c r="G1035" s="6" t="s">
        <v>61</v>
      </c>
      <c r="H1035" s="8" t="s">
        <v>1944</v>
      </c>
      <c r="I1035" s="9">
        <v>1651000.0</v>
      </c>
      <c r="J1035" s="5" t="str">
        <f t="shared" ref="J1035:K1035" si="1035">SUBSTITUTE(H1035, ",", "")</f>
        <v>26</v>
      </c>
      <c r="K1035" s="5" t="str">
        <f t="shared" si="1035"/>
        <v>Rp1651000</v>
      </c>
      <c r="L1035" s="5" t="str">
        <f t="shared" si="3"/>
        <v>1651000</v>
      </c>
    </row>
    <row r="1036">
      <c r="A1036" s="6" t="s">
        <v>1949</v>
      </c>
      <c r="B1036" s="7" t="str">
        <f>HYPERLINK("https://shopee.co.id/Bio-Essence-Bio-Gold-Golden-Ratio-Double-Serum-Radiant-Cleanser-100-gr-i.63822287.7332961005", "https://shopee.co.id/Bio-Essence-Bio-Gold-Golden-Ratio-Double-Serum-Radiant-Cleanser-100-gr-i.63822287.7332961005")</f>
        <v>https://shopee.co.id/Bio-Essence-Bio-Gold-Golden-Ratio-Double-Serum-Radiant-Cleanser-100-gr-i.63822287.7332961005</v>
      </c>
      <c r="C1036" s="6" t="s">
        <v>834</v>
      </c>
      <c r="D1036" s="6" t="s">
        <v>835</v>
      </c>
      <c r="E1036" s="6" t="s">
        <v>12</v>
      </c>
      <c r="F1036" s="6" t="s">
        <v>13</v>
      </c>
      <c r="G1036" s="6" t="s">
        <v>61</v>
      </c>
      <c r="H1036" s="8" t="s">
        <v>1944</v>
      </c>
      <c r="I1036" s="9">
        <v>3039200.0</v>
      </c>
      <c r="J1036" s="5" t="str">
        <f t="shared" ref="J1036:K1036" si="1036">SUBSTITUTE(H1036, ",", "")</f>
        <v>26</v>
      </c>
      <c r="K1036" s="5" t="str">
        <f t="shared" si="1036"/>
        <v>Rp3039200</v>
      </c>
      <c r="L1036" s="5" t="str">
        <f t="shared" si="3"/>
        <v>3039200</v>
      </c>
    </row>
    <row r="1037">
      <c r="A1037" s="6" t="s">
        <v>1950</v>
      </c>
      <c r="B1037" s="7" t="str">
        <f>HYPERLINK("https://shopee.co.id/Somethinc-Salmon-DNA-Marine-Colagen-Elixir-20-ml-i.110573301.6689241202", "https://shopee.co.id/Somethinc-Salmon-DNA-Marine-Colagen-Elixir-20-ml-i.110573301.6689241202")</f>
        <v>https://shopee.co.id/Somethinc-Salmon-DNA-Marine-Colagen-Elixir-20-ml-i.110573301.6689241202</v>
      </c>
      <c r="C1037" s="6" t="s">
        <v>45</v>
      </c>
      <c r="D1037" s="6" t="s">
        <v>227</v>
      </c>
      <c r="E1037" s="6" t="s">
        <v>12</v>
      </c>
      <c r="F1037" s="6" t="s">
        <v>13</v>
      </c>
      <c r="G1037" s="6" t="s">
        <v>61</v>
      </c>
      <c r="H1037" s="8" t="s">
        <v>1944</v>
      </c>
      <c r="I1037" s="9">
        <v>3100000.0</v>
      </c>
      <c r="J1037" s="5" t="str">
        <f t="shared" ref="J1037:K1037" si="1037">SUBSTITUTE(H1037, ",", "")</f>
        <v>26</v>
      </c>
      <c r="K1037" s="5" t="str">
        <f t="shared" si="1037"/>
        <v>Rp3100000</v>
      </c>
      <c r="L1037" s="5" t="str">
        <f t="shared" si="3"/>
        <v>3100000</v>
      </c>
    </row>
    <row r="1038">
      <c r="A1038" s="6" t="s">
        <v>1951</v>
      </c>
      <c r="B1038" s="7" t="str">
        <f>HYPERLINK("https://shopee.co.id/HISERHA-Booster-Essence-All-In-One-60ml-Serum-Pencerah-Wajah-Pria-i.129153987.4661229888", "https://shopee.co.id/HISERHA-Booster-Essence-All-In-One-60ml-Serum-Pencerah-Wajah-Pria-i.129153987.4661229888")</f>
        <v>https://shopee.co.id/HISERHA-Booster-Essence-All-In-One-60ml-Serum-Pencerah-Wajah-Pria-i.129153987.4661229888</v>
      </c>
      <c r="C1038" s="6" t="s">
        <v>1952</v>
      </c>
      <c r="D1038" s="6" t="s">
        <v>182</v>
      </c>
      <c r="E1038" s="6" t="s">
        <v>12</v>
      </c>
      <c r="F1038" s="6" t="s">
        <v>13</v>
      </c>
      <c r="G1038" s="6" t="s">
        <v>61</v>
      </c>
      <c r="H1038" s="8" t="s">
        <v>1944</v>
      </c>
      <c r="I1038" s="9">
        <v>5720000.0</v>
      </c>
      <c r="J1038" s="5" t="str">
        <f t="shared" ref="J1038:K1038" si="1038">SUBSTITUTE(H1038, ",", "")</f>
        <v>26</v>
      </c>
      <c r="K1038" s="5" t="str">
        <f t="shared" si="1038"/>
        <v>Rp5720000</v>
      </c>
      <c r="L1038" s="5" t="str">
        <f t="shared" si="3"/>
        <v>5720000</v>
      </c>
    </row>
    <row r="1039">
      <c r="A1039" s="6" t="s">
        <v>1953</v>
      </c>
      <c r="B1039" s="7" t="str">
        <f>HYPERLINK("https://shopee.co.id/Calysta-Tranexamic-Niacin-Serum-i.3188555.8227774199", "https://shopee.co.id/Calysta-Tranexamic-Niacin-Serum-i.3188555.8227774199")</f>
        <v>https://shopee.co.id/Calysta-Tranexamic-Niacin-Serum-i.3188555.8227774199</v>
      </c>
      <c r="C1039" s="6" t="s">
        <v>1954</v>
      </c>
      <c r="D1039" s="6" t="s">
        <v>1692</v>
      </c>
      <c r="E1039" s="6" t="s">
        <v>12</v>
      </c>
      <c r="F1039" s="6" t="s">
        <v>13</v>
      </c>
      <c r="G1039" s="6" t="s">
        <v>241</v>
      </c>
      <c r="H1039" s="8" t="s">
        <v>1944</v>
      </c>
      <c r="I1039" s="9">
        <v>3159000.0</v>
      </c>
      <c r="J1039" s="5" t="str">
        <f t="shared" ref="J1039:K1039" si="1039">SUBSTITUTE(H1039, ",", "")</f>
        <v>26</v>
      </c>
      <c r="K1039" s="5" t="str">
        <f t="shared" si="1039"/>
        <v>Rp3159000</v>
      </c>
      <c r="L1039" s="5" t="str">
        <f t="shared" si="3"/>
        <v>3159000</v>
      </c>
    </row>
    <row r="1040">
      <c r="A1040" s="6" t="s">
        <v>1955</v>
      </c>
      <c r="B1040" s="7" t="str">
        <f>HYPERLINK("https://shopee.co.id/Sercret-Wish-by-Angel-Lelga-Glow-Infusion-Serum-Serum-Glowing-Serum-20ml-i.240781486.5451895682", "https://shopee.co.id/Sercret-Wish-by-Angel-Lelga-Glow-Infusion-Serum-Serum-Glowing-Serum-20ml-i.240781486.5451895682")</f>
        <v>https://shopee.co.id/Sercret-Wish-by-Angel-Lelga-Glow-Infusion-Serum-Serum-Glowing-Serum-20ml-i.240781486.5451895682</v>
      </c>
      <c r="C1040" s="6" t="s">
        <v>1956</v>
      </c>
      <c r="D1040" s="6" t="s">
        <v>1957</v>
      </c>
      <c r="E1040" s="6" t="s">
        <v>12</v>
      </c>
      <c r="F1040" s="6" t="s">
        <v>13</v>
      </c>
      <c r="G1040" s="6" t="s">
        <v>61</v>
      </c>
      <c r="H1040" s="8" t="s">
        <v>1944</v>
      </c>
      <c r="I1040" s="9">
        <v>4394000.0</v>
      </c>
      <c r="J1040" s="5" t="str">
        <f t="shared" ref="J1040:K1040" si="1040">SUBSTITUTE(H1040, ",", "")</f>
        <v>26</v>
      </c>
      <c r="K1040" s="5" t="str">
        <f t="shared" si="1040"/>
        <v>Rp4394000</v>
      </c>
      <c r="L1040" s="5" t="str">
        <f t="shared" si="3"/>
        <v>4394000</v>
      </c>
    </row>
    <row r="1041">
      <c r="A1041" s="6" t="s">
        <v>1178</v>
      </c>
      <c r="B1041" s="7" t="str">
        <f>HYPERLINK("https://shopee.co.id/Viva-Queen-Whitening-Advanced-Face-Serum-i.233715346.7038101091", "https://shopee.co.id/Viva-Queen-Whitening-Advanced-Face-Serum-i.233715346.7038101091")</f>
        <v>https://shopee.co.id/Viva-Queen-Whitening-Advanced-Face-Serum-i.233715346.7038101091</v>
      </c>
      <c r="C1041" s="6" t="s">
        <v>647</v>
      </c>
      <c r="D1041" s="6" t="s">
        <v>1958</v>
      </c>
      <c r="E1041" s="6" t="s">
        <v>12</v>
      </c>
      <c r="F1041" s="6" t="s">
        <v>13</v>
      </c>
      <c r="G1041" s="6" t="s">
        <v>241</v>
      </c>
      <c r="H1041" s="8" t="s">
        <v>1944</v>
      </c>
      <c r="I1041" s="9">
        <v>2348000.0</v>
      </c>
      <c r="J1041" s="5" t="str">
        <f t="shared" ref="J1041:K1041" si="1041">SUBSTITUTE(H1041, ",", "")</f>
        <v>26</v>
      </c>
      <c r="K1041" s="5" t="str">
        <f t="shared" si="1041"/>
        <v>Rp2348000</v>
      </c>
      <c r="L1041" s="5" t="str">
        <f t="shared" si="3"/>
        <v>2348000</v>
      </c>
    </row>
    <row r="1042">
      <c r="A1042" s="6" t="s">
        <v>1959</v>
      </c>
      <c r="B1042" s="7" t="str">
        <f>HYPERLINK("https://shopee.co.id/Avoskin-YSB-Vitamin-C-3-Niacinamide-2-Mandarin-Orange-Fruit-Extract-Serum-i.110573301.10237453874", "https://shopee.co.id/Avoskin-YSB-Vitamin-C-3-Niacinamide-2-Mandarin-Orange-Fruit-Extract-Serum-i.110573301.10237453874")</f>
        <v>https://shopee.co.id/Avoskin-YSB-Vitamin-C-3-Niacinamide-2-Mandarin-Orange-Fruit-Extract-Serum-i.110573301.10237453874</v>
      </c>
      <c r="C1042" s="6" t="s">
        <v>83</v>
      </c>
      <c r="D1042" s="6" t="s">
        <v>227</v>
      </c>
      <c r="E1042" s="6" t="s">
        <v>12</v>
      </c>
      <c r="F1042" s="6" t="s">
        <v>13</v>
      </c>
      <c r="G1042" s="6" t="s">
        <v>61</v>
      </c>
      <c r="H1042" s="8" t="s">
        <v>1944</v>
      </c>
      <c r="I1042" s="9">
        <v>4850700.0</v>
      </c>
      <c r="J1042" s="5" t="str">
        <f t="shared" ref="J1042:K1042" si="1042">SUBSTITUTE(H1042, ",", "")</f>
        <v>26</v>
      </c>
      <c r="K1042" s="5" t="str">
        <f t="shared" si="1042"/>
        <v>Rp4850700</v>
      </c>
      <c r="L1042" s="5" t="str">
        <f t="shared" si="3"/>
        <v>4850700</v>
      </c>
    </row>
    <row r="1043">
      <c r="A1043" s="6" t="s">
        <v>1960</v>
      </c>
      <c r="B1043" s="7" t="str">
        <f>HYPERLINK("https://shopee.co.id/Precious-Skin-Alpha-Arbutin-3Plus-Glow-Shine-Collagen-Face-Serum-Serum-Pemutih-Wajah-50ml-i.156582062.10933432892", "https://shopee.co.id/Precious-Skin-Alpha-Arbutin-3Plus-Glow-Shine-Collagen-Face-Serum-Serum-Pemutih-Wajah-50ml-i.156582062.10933432892")</f>
        <v>https://shopee.co.id/Precious-Skin-Alpha-Arbutin-3Plus-Glow-Shine-Collagen-Face-Serum-Serum-Pemutih-Wajah-50ml-i.156582062.10933432892</v>
      </c>
      <c r="C1043" s="6" t="s">
        <v>1095</v>
      </c>
      <c r="D1043" s="6" t="s">
        <v>1096</v>
      </c>
      <c r="E1043" s="6" t="s">
        <v>12</v>
      </c>
      <c r="F1043" s="6" t="s">
        <v>13</v>
      </c>
      <c r="G1043" s="6" t="s">
        <v>61</v>
      </c>
      <c r="H1043" s="8" t="s">
        <v>1944</v>
      </c>
      <c r="I1043" s="9">
        <v>1092000.0</v>
      </c>
      <c r="J1043" s="5" t="str">
        <f t="shared" ref="J1043:K1043" si="1043">SUBSTITUTE(H1043, ",", "")</f>
        <v>26</v>
      </c>
      <c r="K1043" s="5" t="str">
        <f t="shared" si="1043"/>
        <v>Rp1092000</v>
      </c>
      <c r="L1043" s="5" t="str">
        <f t="shared" si="3"/>
        <v>1092000</v>
      </c>
    </row>
    <row r="1044">
      <c r="A1044" s="6" t="s">
        <v>1961</v>
      </c>
      <c r="B1044" s="7" t="str">
        <f>HYPERLINK("https://shopee.co.id/Mirelle-Acne-Serum-Acne-Series--i.303332419.5157370625", "https://shopee.co.id/Mirelle-Acne-Serum-Acne-Series--i.303332419.5157370625")</f>
        <v>https://shopee.co.id/Mirelle-Acne-Serum-Acne-Series--i.303332419.5157370625</v>
      </c>
      <c r="C1044" s="6" t="s">
        <v>1478</v>
      </c>
      <c r="D1044" s="6" t="s">
        <v>1479</v>
      </c>
      <c r="E1044" s="6" t="s">
        <v>12</v>
      </c>
      <c r="F1044" s="6" t="s">
        <v>13</v>
      </c>
      <c r="G1044" s="6" t="s">
        <v>1480</v>
      </c>
      <c r="H1044" s="8" t="s">
        <v>1944</v>
      </c>
      <c r="I1044" s="9">
        <v>73500.0</v>
      </c>
      <c r="J1044" s="5" t="str">
        <f t="shared" ref="J1044:K1044" si="1044">SUBSTITUTE(H1044, ",", "")</f>
        <v>26</v>
      </c>
      <c r="K1044" s="5" t="str">
        <f t="shared" si="1044"/>
        <v>Rp73500</v>
      </c>
      <c r="L1044" s="5" t="str">
        <f t="shared" si="3"/>
        <v>73500</v>
      </c>
    </row>
    <row r="1045">
      <c r="A1045" s="6" t="s">
        <v>1962</v>
      </c>
      <c r="B1045" s="7" t="str">
        <f>HYPERLINK("https://shopee.co.id/WHITELAB-BRIGHTENING-FACE-SERUM-20ML-i.50972887.5397933539", "https://shopee.co.id/WHITELAB-BRIGHTENING-FACE-SERUM-20ML-i.50972887.5397933539")</f>
        <v>https://shopee.co.id/WHITELAB-BRIGHTENING-FACE-SERUM-20ML-i.50972887.5397933539</v>
      </c>
      <c r="C1045" s="6" t="s">
        <v>59</v>
      </c>
      <c r="D1045" s="6" t="s">
        <v>552</v>
      </c>
      <c r="E1045" s="6" t="s">
        <v>12</v>
      </c>
      <c r="F1045" s="6" t="s">
        <v>13</v>
      </c>
      <c r="G1045" s="6" t="s">
        <v>61</v>
      </c>
      <c r="H1045" s="8" t="s">
        <v>1944</v>
      </c>
      <c r="I1045" s="9">
        <v>1079000.0</v>
      </c>
      <c r="J1045" s="5" t="str">
        <f t="shared" ref="J1045:K1045" si="1045">SUBSTITUTE(H1045, ",", "")</f>
        <v>26</v>
      </c>
      <c r="K1045" s="5" t="str">
        <f t="shared" si="1045"/>
        <v>Rp1079000</v>
      </c>
      <c r="L1045" s="5" t="str">
        <f t="shared" si="3"/>
        <v>1079000</v>
      </c>
    </row>
    <row r="1046">
      <c r="A1046" s="6" t="s">
        <v>1963</v>
      </c>
      <c r="B1046" s="7" t="str">
        <f>HYPERLINK("https://shopee.co.id/BREYLEE-SETS-of-SERUM-E-Mencerahkan-Melembabkan-Wajah-2pcs--i.324706771.3570987643", "https://shopee.co.id/BREYLEE-SETS-of-SERUM-E-Mencerahkan-Melembabkan-Wajah-2pcs--i.324706771.3570987643")</f>
        <v>https://shopee.co.id/BREYLEE-SETS-of-SERUM-E-Mencerahkan-Melembabkan-Wajah-2pcs--i.324706771.3570987643</v>
      </c>
      <c r="C1046" s="6" t="s">
        <v>852</v>
      </c>
      <c r="D1046" s="6" t="s">
        <v>853</v>
      </c>
      <c r="E1046" s="6" t="s">
        <v>12</v>
      </c>
      <c r="F1046" s="6" t="s">
        <v>13</v>
      </c>
      <c r="G1046" s="6" t="s">
        <v>532</v>
      </c>
      <c r="H1046" s="8" t="s">
        <v>1944</v>
      </c>
      <c r="I1046" s="9">
        <v>1944800.0</v>
      </c>
      <c r="J1046" s="5" t="str">
        <f t="shared" ref="J1046:K1046" si="1046">SUBSTITUTE(H1046, ",", "")</f>
        <v>26</v>
      </c>
      <c r="K1046" s="5" t="str">
        <f t="shared" si="1046"/>
        <v>Rp1944800</v>
      </c>
      <c r="L1046" s="5" t="str">
        <f t="shared" si="3"/>
        <v>1944800</v>
      </c>
    </row>
    <row r="1047">
      <c r="A1047" s="6" t="s">
        <v>1964</v>
      </c>
      <c r="B1047" s="7" t="str">
        <f>HYPERLINK("https://shopee.co.id/Yves-Rocher-Lifting-Serum-30ml-i.70687187.5165355207", "https://shopee.co.id/Yves-Rocher-Lifting-Serum-30ml-i.70687187.5165355207")</f>
        <v>https://shopee.co.id/Yves-Rocher-Lifting-Serum-30ml-i.70687187.5165355207</v>
      </c>
      <c r="C1047" s="6" t="s">
        <v>1672</v>
      </c>
      <c r="D1047" s="6" t="s">
        <v>1673</v>
      </c>
      <c r="E1047" s="6" t="s">
        <v>12</v>
      </c>
      <c r="F1047" s="6" t="s">
        <v>13</v>
      </c>
      <c r="G1047" s="6" t="s">
        <v>61</v>
      </c>
      <c r="H1047" s="8" t="s">
        <v>1944</v>
      </c>
      <c r="I1047" s="9">
        <v>1950000.0</v>
      </c>
      <c r="J1047" s="5" t="str">
        <f t="shared" ref="J1047:K1047" si="1047">SUBSTITUTE(H1047, ",", "")</f>
        <v>26</v>
      </c>
      <c r="K1047" s="5" t="str">
        <f t="shared" si="1047"/>
        <v>Rp1950000</v>
      </c>
      <c r="L1047" s="5" t="str">
        <f t="shared" si="3"/>
        <v>1950000</v>
      </c>
    </row>
    <row r="1048">
      <c r="A1048" s="6" t="s">
        <v>1965</v>
      </c>
      <c r="B1048" s="7" t="str">
        <f>HYPERLINK("https://shopee.co.id/Somethinc-Niacinamide-Barrier-Serum-5-10-20ml-40ml-i.136011044.5846705511", "https://shopee.co.id/Somethinc-Niacinamide-Barrier-Serum-5-10-20ml-40ml-i.136011044.5846705511")</f>
        <v>https://shopee.co.id/Somethinc-Niacinamide-Barrier-Serum-5-10-20ml-40ml-i.136011044.5846705511</v>
      </c>
      <c r="C1048" s="6" t="s">
        <v>45</v>
      </c>
      <c r="D1048" s="6" t="s">
        <v>632</v>
      </c>
      <c r="E1048" s="6" t="s">
        <v>12</v>
      </c>
      <c r="F1048" s="6" t="s">
        <v>13</v>
      </c>
      <c r="G1048" s="6" t="s">
        <v>21</v>
      </c>
      <c r="H1048" s="8" t="s">
        <v>1966</v>
      </c>
      <c r="I1048" s="9">
        <v>7946025.0</v>
      </c>
      <c r="J1048" s="5" t="str">
        <f t="shared" ref="J1048:K1048" si="1048">SUBSTITUTE(H1048, ",", "")</f>
        <v>25</v>
      </c>
      <c r="K1048" s="5" t="str">
        <f t="shared" si="1048"/>
        <v>Rp7946025</v>
      </c>
      <c r="L1048" s="5" t="str">
        <f t="shared" si="3"/>
        <v>7946025</v>
      </c>
    </row>
    <row r="1049">
      <c r="A1049" s="6" t="s">
        <v>1177</v>
      </c>
      <c r="B1049" s="7" t="str">
        <f>HYPERLINK("https://shopee.co.id/Sulwhasoo-First-Care-Activating-Serum-60ml-i.274949344.6039210363", "https://shopee.co.id/Sulwhasoo-First-Care-Activating-Serum-60ml-i.274949344.6039210363")</f>
        <v>https://shopee.co.id/Sulwhasoo-First-Care-Activating-Serum-60ml-i.274949344.6039210363</v>
      </c>
      <c r="C1049" s="6" t="s">
        <v>282</v>
      </c>
      <c r="D1049" s="6" t="s">
        <v>283</v>
      </c>
      <c r="E1049" s="6" t="s">
        <v>12</v>
      </c>
      <c r="F1049" s="6" t="s">
        <v>13</v>
      </c>
      <c r="G1049" s="6" t="s">
        <v>61</v>
      </c>
      <c r="H1049" s="8" t="s">
        <v>1966</v>
      </c>
      <c r="I1049" s="9">
        <v>8499700.0</v>
      </c>
      <c r="J1049" s="5" t="str">
        <f t="shared" ref="J1049:K1049" si="1049">SUBSTITUTE(H1049, ",", "")</f>
        <v>25</v>
      </c>
      <c r="K1049" s="5" t="str">
        <f t="shared" si="1049"/>
        <v>Rp8499700</v>
      </c>
      <c r="L1049" s="5" t="str">
        <f t="shared" si="3"/>
        <v>8499700</v>
      </c>
    </row>
    <row r="1050">
      <c r="A1050" s="6" t="s">
        <v>1967</v>
      </c>
      <c r="B1050" s="7" t="str">
        <f>HYPERLINK("https://shopee.co.id/NUTRISHE-Intensive-Bright-Glow-Serum-20ml-i.68111.4296783846", "https://shopee.co.id/NUTRISHE-Intensive-Bright-Glow-Serum-20ml-i.68111.4296783846")</f>
        <v>https://shopee.co.id/NUTRISHE-Intensive-Bright-Glow-Serum-20ml-i.68111.4296783846</v>
      </c>
      <c r="C1050" s="6" t="s">
        <v>195</v>
      </c>
      <c r="D1050" s="6" t="s">
        <v>441</v>
      </c>
      <c r="E1050" s="6" t="s">
        <v>12</v>
      </c>
      <c r="F1050" s="6" t="s">
        <v>13</v>
      </c>
      <c r="G1050" s="6" t="s">
        <v>130</v>
      </c>
      <c r="H1050" s="8" t="s">
        <v>1966</v>
      </c>
      <c r="I1050" s="9">
        <v>1637400.0</v>
      </c>
      <c r="J1050" s="5" t="str">
        <f t="shared" ref="J1050:K1050" si="1050">SUBSTITUTE(H1050, ",", "")</f>
        <v>25</v>
      </c>
      <c r="K1050" s="5" t="str">
        <f t="shared" si="1050"/>
        <v>Rp1637400</v>
      </c>
      <c r="L1050" s="5" t="str">
        <f t="shared" si="3"/>
        <v>1637400</v>
      </c>
    </row>
    <row r="1051">
      <c r="A1051" s="6" t="s">
        <v>1968</v>
      </c>
      <c r="B1051" s="7" t="str">
        <f>HYPERLINK("https://shopee.co.id/BLITHE-VITAL-TREATMENT-ESSENCE-8-NOURISH-BEANS-150-ML-i.53497038.1374816433", "https://shopee.co.id/BLITHE-VITAL-TREATMENT-ESSENCE-8-NOURISH-BEANS-150-ML-i.53497038.1374816433")</f>
        <v>https://shopee.co.id/BLITHE-VITAL-TREATMENT-ESSENCE-8-NOURISH-BEANS-150-ML-i.53497038.1374816433</v>
      </c>
      <c r="C1051" s="6" t="s">
        <v>1969</v>
      </c>
      <c r="D1051" s="6" t="s">
        <v>907</v>
      </c>
      <c r="E1051" s="6" t="s">
        <v>12</v>
      </c>
      <c r="F1051" s="6" t="s">
        <v>13</v>
      </c>
      <c r="G1051" s="6" t="s">
        <v>61</v>
      </c>
      <c r="H1051" s="8" t="s">
        <v>1966</v>
      </c>
      <c r="I1051" s="9">
        <v>6204000.0</v>
      </c>
      <c r="J1051" s="5" t="str">
        <f t="shared" ref="J1051:K1051" si="1051">SUBSTITUTE(H1051, ",", "")</f>
        <v>25</v>
      </c>
      <c r="K1051" s="5" t="str">
        <f t="shared" si="1051"/>
        <v>Rp6204000</v>
      </c>
      <c r="L1051" s="5" t="str">
        <f t="shared" si="3"/>
        <v>6204000</v>
      </c>
    </row>
    <row r="1052">
      <c r="A1052" s="6" t="s">
        <v>1970</v>
      </c>
      <c r="B1052" s="7" t="str">
        <f>HYPERLINK("https://shopee.co.id/I-m-From-Mugwort-Essence-size-30-ml-Edit-by-Sociolla--i.224957239.11620237635", "https://shopee.co.id/I-m-From-Mugwort-Essence-size-30-ml-Edit-by-Sociolla--i.224957239.11620237635")</f>
        <v>https://shopee.co.id/I-m-From-Mugwort-Essence-size-30-ml-Edit-by-Sociolla--i.224957239.11620237635</v>
      </c>
      <c r="C1052" s="6" t="s">
        <v>1544</v>
      </c>
      <c r="D1052" s="6" t="s">
        <v>492</v>
      </c>
      <c r="E1052" s="6" t="s">
        <v>12</v>
      </c>
      <c r="F1052" s="6" t="s">
        <v>13</v>
      </c>
      <c r="G1052" s="6" t="s">
        <v>21</v>
      </c>
      <c r="H1052" s="8" t="s">
        <v>1966</v>
      </c>
      <c r="I1052" s="9">
        <v>2587000.0</v>
      </c>
      <c r="J1052" s="5" t="str">
        <f t="shared" ref="J1052:K1052" si="1052">SUBSTITUTE(H1052, ",", "")</f>
        <v>25</v>
      </c>
      <c r="K1052" s="5" t="str">
        <f t="shared" si="1052"/>
        <v>Rp2587000</v>
      </c>
      <c r="L1052" s="5" t="str">
        <f t="shared" si="3"/>
        <v>2587000</v>
      </c>
    </row>
    <row r="1053">
      <c r="A1053" s="6" t="s">
        <v>1971</v>
      </c>
      <c r="B1053" s="7" t="str">
        <f>HYPERLINK("https://shopee.co.id/Whitelab-Brightening-Face-Serum-20ml-i.136011044.8410319678", "https://shopee.co.id/Whitelab-Brightening-Face-Serum-20ml-i.136011044.8410319678")</f>
        <v>https://shopee.co.id/Whitelab-Brightening-Face-Serum-20ml-i.136011044.8410319678</v>
      </c>
      <c r="C1053" s="6" t="s">
        <v>59</v>
      </c>
      <c r="D1053" s="6" t="s">
        <v>632</v>
      </c>
      <c r="E1053" s="6" t="s">
        <v>12</v>
      </c>
      <c r="F1053" s="6" t="s">
        <v>13</v>
      </c>
      <c r="G1053" s="6" t="s">
        <v>21</v>
      </c>
      <c r="H1053" s="8" t="s">
        <v>1966</v>
      </c>
      <c r="I1053" s="9">
        <v>2504600.0</v>
      </c>
      <c r="J1053" s="5" t="str">
        <f t="shared" ref="J1053:K1053" si="1053">SUBSTITUTE(H1053, ",", "")</f>
        <v>25</v>
      </c>
      <c r="K1053" s="5" t="str">
        <f t="shared" si="1053"/>
        <v>Rp2504600</v>
      </c>
      <c r="L1053" s="5" t="str">
        <f t="shared" si="3"/>
        <v>2504600</v>
      </c>
    </row>
    <row r="1054">
      <c r="A1054" s="6" t="s">
        <v>1972</v>
      </c>
      <c r="B1054" s="7" t="str">
        <f>HYPERLINK("https://shopee.co.id/The-Ordinary-Buffet-60ml-i.825870.8769440863", "https://shopee.co.id/The-Ordinary-Buffet-60ml-i.825870.8769440863")</f>
        <v>https://shopee.co.id/The-Ordinary-Buffet-60ml-i.825870.8769440863</v>
      </c>
      <c r="C1054" s="6" t="s">
        <v>1245</v>
      </c>
      <c r="D1054" s="6" t="s">
        <v>1184</v>
      </c>
      <c r="E1054" s="6" t="s">
        <v>12</v>
      </c>
      <c r="F1054" s="6" t="s">
        <v>13</v>
      </c>
      <c r="G1054" s="6" t="s">
        <v>21</v>
      </c>
      <c r="H1054" s="8" t="s">
        <v>1966</v>
      </c>
      <c r="I1054" s="9">
        <v>1.4346E7</v>
      </c>
      <c r="J1054" s="5" t="str">
        <f t="shared" ref="J1054:K1054" si="1054">SUBSTITUTE(H1054, ",", "")</f>
        <v>25</v>
      </c>
      <c r="K1054" s="5" t="str">
        <f t="shared" si="1054"/>
        <v>Rp14346000</v>
      </c>
      <c r="L1054" s="5" t="str">
        <f t="shared" si="3"/>
        <v>14346000</v>
      </c>
    </row>
    <row r="1055">
      <c r="A1055" s="6" t="s">
        <v>1973</v>
      </c>
      <c r="B1055" s="7" t="str">
        <f>HYPERLINK("https://shopee.co.id/Combo-Retinol-Cream-with-Brightening-Essence-i.46300234.8619749473", "https://shopee.co.id/Combo-Retinol-Cream-with-Brightening-Essence-i.46300234.8619749473")</f>
        <v>https://shopee.co.id/Combo-Retinol-Cream-with-Brightening-Essence-i.46300234.8619749473</v>
      </c>
      <c r="C1055" s="6" t="s">
        <v>1974</v>
      </c>
      <c r="D1055" s="6" t="s">
        <v>472</v>
      </c>
      <c r="E1055" s="6" t="s">
        <v>12</v>
      </c>
      <c r="F1055" s="6" t="s">
        <v>13</v>
      </c>
      <c r="G1055" s="6" t="s">
        <v>98</v>
      </c>
      <c r="H1055" s="8" t="s">
        <v>1966</v>
      </c>
      <c r="I1055" s="9">
        <v>7104700.0</v>
      </c>
      <c r="J1055" s="5" t="str">
        <f t="shared" ref="J1055:K1055" si="1055">SUBSTITUTE(H1055, ",", "")</f>
        <v>25</v>
      </c>
      <c r="K1055" s="5" t="str">
        <f t="shared" si="1055"/>
        <v>Rp7104700</v>
      </c>
      <c r="L1055" s="5" t="str">
        <f t="shared" si="3"/>
        <v>7104700</v>
      </c>
    </row>
    <row r="1056">
      <c r="A1056" s="6" t="s">
        <v>1975</v>
      </c>
      <c r="B1056" s="7" t="str">
        <f>HYPERLINK("https://shopee.co.id/Avoskin-Hydrating-Treatment-Essence-New-Formula--i.110573301.9002992772", "https://shopee.co.id/Avoskin-Hydrating-Treatment-Essence-New-Formula--i.110573301.9002992772")</f>
        <v>https://shopee.co.id/Avoskin-Hydrating-Treatment-Essence-New-Formula--i.110573301.9002992772</v>
      </c>
      <c r="C1056" s="6" t="s">
        <v>83</v>
      </c>
      <c r="D1056" s="6" t="s">
        <v>227</v>
      </c>
      <c r="E1056" s="6" t="s">
        <v>12</v>
      </c>
      <c r="F1056" s="6" t="s">
        <v>13</v>
      </c>
      <c r="G1056" s="6" t="s">
        <v>61</v>
      </c>
      <c r="H1056" s="8" t="s">
        <v>1966</v>
      </c>
      <c r="I1056" s="9">
        <v>2097000.0</v>
      </c>
      <c r="J1056" s="5" t="str">
        <f t="shared" ref="J1056:K1056" si="1056">SUBSTITUTE(H1056, ",", "")</f>
        <v>25</v>
      </c>
      <c r="K1056" s="5" t="str">
        <f t="shared" si="1056"/>
        <v>Rp2097000</v>
      </c>
      <c r="L1056" s="5" t="str">
        <f t="shared" si="3"/>
        <v>2097000</v>
      </c>
    </row>
    <row r="1057">
      <c r="A1057" s="6" t="s">
        <v>1976</v>
      </c>
      <c r="B1057" s="7" t="str">
        <f>HYPERLINK("https://shopee.co.id/MSBB-Somethinc-5-Niacinamide-Moisture-Sabi-Beet-Serum-40Ml-i.288588702.9348838301", "https://shopee.co.id/MSBB-Somethinc-5-Niacinamide-Moisture-Sabi-Beet-Serum-40Ml-i.288588702.9348838301")</f>
        <v>https://shopee.co.id/MSBB-Somethinc-5-Niacinamide-Moisture-Sabi-Beet-Serum-40Ml-i.288588702.9348838301</v>
      </c>
      <c r="C1057" s="6" t="s">
        <v>45</v>
      </c>
      <c r="D1057" s="6" t="s">
        <v>79</v>
      </c>
      <c r="E1057" s="6" t="s">
        <v>12</v>
      </c>
      <c r="F1057" s="6" t="s">
        <v>13</v>
      </c>
      <c r="G1057" s="6" t="s">
        <v>80</v>
      </c>
      <c r="H1057" s="8" t="s">
        <v>1966</v>
      </c>
      <c r="I1057" s="9">
        <v>1499400.0</v>
      </c>
      <c r="J1057" s="5" t="str">
        <f t="shared" ref="J1057:K1057" si="1057">SUBSTITUTE(H1057, ",", "")</f>
        <v>25</v>
      </c>
      <c r="K1057" s="5" t="str">
        <f t="shared" si="1057"/>
        <v>Rp1499400</v>
      </c>
      <c r="L1057" s="5" t="str">
        <f t="shared" si="3"/>
        <v>1499400</v>
      </c>
    </row>
    <row r="1058">
      <c r="A1058" s="6" t="s">
        <v>1850</v>
      </c>
      <c r="B1058" s="7" t="str">
        <f>HYPERLINK("https://shopee.co.id/Nutrishe-Intensive-Bright-Glow-Serum-30ml-i.136011044.8834396358", "https://shopee.co.id/Nutrishe-Intensive-Bright-Glow-Serum-30ml-i.136011044.8834396358")</f>
        <v>https://shopee.co.id/Nutrishe-Intensive-Bright-Glow-Serum-30ml-i.136011044.8834396358</v>
      </c>
      <c r="C1058" s="6" t="s">
        <v>195</v>
      </c>
      <c r="D1058" s="6" t="s">
        <v>632</v>
      </c>
      <c r="E1058" s="6" t="s">
        <v>12</v>
      </c>
      <c r="F1058" s="6" t="s">
        <v>13</v>
      </c>
      <c r="G1058" s="6" t="s">
        <v>21</v>
      </c>
      <c r="H1058" s="8" t="s">
        <v>1966</v>
      </c>
      <c r="I1058" s="9">
        <v>5375000.0</v>
      </c>
      <c r="J1058" s="5" t="str">
        <f t="shared" ref="J1058:K1058" si="1058">SUBSTITUTE(H1058, ",", "")</f>
        <v>25</v>
      </c>
      <c r="K1058" s="5" t="str">
        <f t="shared" si="1058"/>
        <v>Rp5375000</v>
      </c>
      <c r="L1058" s="5" t="str">
        <f t="shared" si="3"/>
        <v>5375000</v>
      </c>
    </row>
    <row r="1059">
      <c r="A1059" s="6" t="s">
        <v>1977</v>
      </c>
      <c r="B1059" s="7" t="str">
        <f>HYPERLINK("https://shopee.co.id/THE-ORDINARY-Niacinamide-10-Zinc-1-30ml-i.47255270.11645678505", "https://shopee.co.id/THE-ORDINARY-Niacinamide-10-Zinc-1-30ml-i.47255270.11645678505")</f>
        <v>https://shopee.co.id/THE-ORDINARY-Niacinamide-10-Zinc-1-30ml-i.47255270.11645678505</v>
      </c>
      <c r="C1059" s="6" t="s">
        <v>1245</v>
      </c>
      <c r="D1059" s="6" t="s">
        <v>1978</v>
      </c>
      <c r="E1059" s="6" t="s">
        <v>12</v>
      </c>
      <c r="F1059" s="6" t="s">
        <v>13</v>
      </c>
      <c r="G1059" s="6" t="s">
        <v>241</v>
      </c>
      <c r="H1059" s="8" t="s">
        <v>1966</v>
      </c>
      <c r="I1059" s="9">
        <v>2198200.0</v>
      </c>
      <c r="J1059" s="5" t="str">
        <f t="shared" ref="J1059:K1059" si="1059">SUBSTITUTE(H1059, ",", "")</f>
        <v>25</v>
      </c>
      <c r="K1059" s="5" t="str">
        <f t="shared" si="1059"/>
        <v>Rp2198200</v>
      </c>
      <c r="L1059" s="5" t="str">
        <f t="shared" si="3"/>
        <v>2198200</v>
      </c>
    </row>
    <row r="1060">
      <c r="A1060" s="6" t="s">
        <v>1979</v>
      </c>
      <c r="B1060" s="7" t="str">
        <f>HYPERLINK("https://shopee.co.id/MSBB-Somethinc-Salmon-DNA-Marine-Collagen-Elixir-20ml-i.288588702.3988578125", "https://shopee.co.id/MSBB-Somethinc-Salmon-DNA-Marine-Collagen-Elixir-20ml-i.288588702.3988578125")</f>
        <v>https://shopee.co.id/MSBB-Somethinc-Salmon-DNA-Marine-Collagen-Elixir-20ml-i.288588702.3988578125</v>
      </c>
      <c r="C1060" s="6" t="s">
        <v>45</v>
      </c>
      <c r="D1060" s="6" t="s">
        <v>79</v>
      </c>
      <c r="E1060" s="6" t="s">
        <v>12</v>
      </c>
      <c r="F1060" s="6" t="s">
        <v>13</v>
      </c>
      <c r="G1060" s="6" t="s">
        <v>80</v>
      </c>
      <c r="H1060" s="8" t="s">
        <v>1966</v>
      </c>
      <c r="I1060" s="9">
        <v>1681600.0</v>
      </c>
      <c r="J1060" s="5" t="str">
        <f t="shared" ref="J1060:K1060" si="1060">SUBSTITUTE(H1060, ",", "")</f>
        <v>25</v>
      </c>
      <c r="K1060" s="5" t="str">
        <f t="shared" si="1060"/>
        <v>Rp1681600</v>
      </c>
      <c r="L1060" s="5" t="str">
        <f t="shared" si="3"/>
        <v>1681600</v>
      </c>
    </row>
    <row r="1061">
      <c r="A1061" s="6" t="s">
        <v>1980</v>
      </c>
      <c r="B1061" s="7" t="str">
        <f>HYPERLINK("https://shopee.co.id/Garnier-Sakura-Glow-Hyaluron-Water-Glow-Essence-Skin-Care-Untuk-Kulit-Glowing-Dari-Dalam--i.62583853.8020295553", "https://shopee.co.id/Garnier-Sakura-Glow-Hyaluron-Water-Glow-Essence-Skin-Care-Untuk-Kulit-Glowing-Dari-Dalam--i.62583853.8020295553")</f>
        <v>https://shopee.co.id/Garnier-Sakura-Glow-Hyaluron-Water-Glow-Essence-Skin-Care-Untuk-Kulit-Glowing-Dari-Dalam--i.62583853.8020295553</v>
      </c>
      <c r="C1061" s="6" t="s">
        <v>74</v>
      </c>
      <c r="D1061" s="6" t="s">
        <v>75</v>
      </c>
      <c r="E1061" s="6" t="s">
        <v>12</v>
      </c>
      <c r="F1061" s="6" t="s">
        <v>13</v>
      </c>
      <c r="G1061" s="6" t="s">
        <v>61</v>
      </c>
      <c r="H1061" s="8" t="s">
        <v>1966</v>
      </c>
      <c r="I1061" s="9">
        <v>2225000.0</v>
      </c>
      <c r="J1061" s="5" t="str">
        <f t="shared" ref="J1061:K1061" si="1061">SUBSTITUTE(H1061, ",", "")</f>
        <v>25</v>
      </c>
      <c r="K1061" s="5" t="str">
        <f t="shared" si="1061"/>
        <v>Rp2225000</v>
      </c>
      <c r="L1061" s="5" t="str">
        <f t="shared" si="3"/>
        <v>2225000</v>
      </c>
    </row>
    <row r="1062">
      <c r="A1062" s="6" t="s">
        <v>1981</v>
      </c>
      <c r="B1062" s="7" t="str">
        <f>HYPERLINK("https://shopee.co.id/Bio-Essence-Bio-Gold-Water-Essence-150ml-Perawatan-Wajah-Anti-Aging-i.63822287.1671468802", "https://shopee.co.id/Bio-Essence-Bio-Gold-Water-Essence-150ml-Perawatan-Wajah-Anti-Aging-i.63822287.1671468802")</f>
        <v>https://shopee.co.id/Bio-Essence-Bio-Gold-Water-Essence-150ml-Perawatan-Wajah-Anti-Aging-i.63822287.1671468802</v>
      </c>
      <c r="C1062" s="6" t="s">
        <v>834</v>
      </c>
      <c r="D1062" s="6" t="s">
        <v>835</v>
      </c>
      <c r="E1062" s="6" t="s">
        <v>12</v>
      </c>
      <c r="F1062" s="6" t="s">
        <v>13</v>
      </c>
      <c r="G1062" s="6" t="s">
        <v>61</v>
      </c>
      <c r="H1062" s="8" t="s">
        <v>1966</v>
      </c>
      <c r="I1062" s="9">
        <v>891000.0</v>
      </c>
      <c r="J1062" s="5" t="str">
        <f t="shared" ref="J1062:K1062" si="1062">SUBSTITUTE(H1062, ",", "")</f>
        <v>25</v>
      </c>
      <c r="K1062" s="5" t="str">
        <f t="shared" si="1062"/>
        <v>Rp891000</v>
      </c>
      <c r="L1062" s="5" t="str">
        <f t="shared" si="3"/>
        <v>891000</v>
      </c>
    </row>
    <row r="1063">
      <c r="A1063" s="6" t="s">
        <v>1982</v>
      </c>
      <c r="B1063" s="7" t="str">
        <f>HYPERLINK("https://shopee.co.id/SOMETHINC-Hyaluronic-B5-20ml-i.30736001.8735357892", "https://shopee.co.id/SOMETHINC-Hyaluronic-B5-20ml-i.30736001.8735357892")</f>
        <v>https://shopee.co.id/SOMETHINC-Hyaluronic-B5-20ml-i.30736001.8735357892</v>
      </c>
      <c r="C1063" s="6" t="s">
        <v>45</v>
      </c>
      <c r="D1063" s="6" t="s">
        <v>335</v>
      </c>
      <c r="E1063" s="6" t="s">
        <v>12</v>
      </c>
      <c r="F1063" s="6" t="s">
        <v>13</v>
      </c>
      <c r="G1063" s="6" t="s">
        <v>36</v>
      </c>
      <c r="H1063" s="8" t="s">
        <v>1966</v>
      </c>
      <c r="I1063" s="9">
        <v>1129000.0</v>
      </c>
      <c r="J1063" s="5" t="str">
        <f t="shared" ref="J1063:K1063" si="1063">SUBSTITUTE(H1063, ",", "")</f>
        <v>25</v>
      </c>
      <c r="K1063" s="5" t="str">
        <f t="shared" si="1063"/>
        <v>Rp1129000</v>
      </c>
      <c r="L1063" s="5" t="str">
        <f t="shared" si="3"/>
        <v>1129000</v>
      </c>
    </row>
    <row r="1064">
      <c r="A1064" s="6" t="s">
        <v>1983</v>
      </c>
      <c r="B1064" s="7" t="str">
        <f>HYPERLINK("https://shopee.co.id/Mineral-Botanica-Niacinamide-Ceramide-Serum-Beauty-Package-i.124549994.7296119583", "https://shopee.co.id/Mineral-Botanica-Niacinamide-Ceramide-Serum-Beauty-Package-i.124549994.7296119583")</f>
        <v>https://shopee.co.id/Mineral-Botanica-Niacinamide-Ceramide-Serum-Beauty-Package-i.124549994.7296119583</v>
      </c>
      <c r="C1064" s="6" t="s">
        <v>807</v>
      </c>
      <c r="D1064" s="6" t="s">
        <v>808</v>
      </c>
      <c r="E1064" s="6" t="s">
        <v>12</v>
      </c>
      <c r="F1064" s="6" t="s">
        <v>13</v>
      </c>
      <c r="G1064" s="6" t="s">
        <v>80</v>
      </c>
      <c r="H1064" s="8" t="s">
        <v>1984</v>
      </c>
      <c r="I1064" s="9">
        <v>3265938.0</v>
      </c>
      <c r="J1064" s="5" t="str">
        <f t="shared" ref="J1064:K1064" si="1064">SUBSTITUTE(H1064, ",", "")</f>
        <v>24</v>
      </c>
      <c r="K1064" s="5" t="str">
        <f t="shared" si="1064"/>
        <v>Rp3265938</v>
      </c>
      <c r="L1064" s="5" t="str">
        <f t="shared" si="3"/>
        <v>3265938</v>
      </c>
    </row>
    <row r="1065">
      <c r="A1065" s="6" t="s">
        <v>1985</v>
      </c>
      <c r="B1065" s="7" t="str">
        <f>HYPERLINK("https://shopee.co.id/SCARLETT-WHITENING-BRIGHTLY-Serum-15ml-i.270965687.7258329020", "https://shopee.co.id/SCARLETT-WHITENING-BRIGHTLY-Serum-15ml-i.270965687.7258329020")</f>
        <v>https://shopee.co.id/SCARLETT-WHITENING-BRIGHTLY-Serum-15ml-i.270965687.7258329020</v>
      </c>
      <c r="C1065" s="6" t="s">
        <v>19</v>
      </c>
      <c r="D1065" s="6" t="s">
        <v>379</v>
      </c>
      <c r="E1065" s="6" t="s">
        <v>12</v>
      </c>
      <c r="F1065" s="6" t="s">
        <v>13</v>
      </c>
      <c r="G1065" s="6" t="s">
        <v>380</v>
      </c>
      <c r="H1065" s="8" t="s">
        <v>1984</v>
      </c>
      <c r="I1065" s="9">
        <v>1.05384E7</v>
      </c>
      <c r="J1065" s="5" t="str">
        <f t="shared" ref="J1065:K1065" si="1065">SUBSTITUTE(H1065, ",", "")</f>
        <v>24</v>
      </c>
      <c r="K1065" s="5" t="str">
        <f t="shared" si="1065"/>
        <v>Rp10538400</v>
      </c>
      <c r="L1065" s="5" t="str">
        <f t="shared" si="3"/>
        <v>10538400</v>
      </c>
    </row>
    <row r="1066">
      <c r="A1066" s="6" t="s">
        <v>1986</v>
      </c>
      <c r="B1066" s="7" t="str">
        <f>HYPERLINK("https://shopee.co.id/SOMEBYMI-Super-Matcha-Pore-Tightening-Serum-50ml-i.270965687.7792368807", "https://shopee.co.id/SOMEBYMI-Super-Matcha-Pore-Tightening-Serum-50ml-i.270965687.7792368807")</f>
        <v>https://shopee.co.id/SOMEBYMI-Super-Matcha-Pore-Tightening-Serum-50ml-i.270965687.7792368807</v>
      </c>
      <c r="C1066" s="6" t="s">
        <v>213</v>
      </c>
      <c r="D1066" s="6" t="s">
        <v>379</v>
      </c>
      <c r="E1066" s="6" t="s">
        <v>12</v>
      </c>
      <c r="F1066" s="6" t="s">
        <v>13</v>
      </c>
      <c r="G1066" s="6" t="s">
        <v>380</v>
      </c>
      <c r="H1066" s="8" t="s">
        <v>1984</v>
      </c>
      <c r="I1066" s="9">
        <v>1.3176E7</v>
      </c>
      <c r="J1066" s="5" t="str">
        <f t="shared" ref="J1066:K1066" si="1066">SUBSTITUTE(H1066, ",", "")</f>
        <v>24</v>
      </c>
      <c r="K1066" s="5" t="str">
        <f t="shared" si="1066"/>
        <v>Rp13176000</v>
      </c>
      <c r="L1066" s="5" t="str">
        <f t="shared" si="3"/>
        <v>13176000</v>
      </c>
    </row>
    <row r="1067">
      <c r="A1067" s="6" t="s">
        <v>1987</v>
      </c>
      <c r="B1067" s="7" t="str">
        <f>HYPERLINK("https://shopee.co.id/Azarine-Lightening-Serum-20-ml-C-White-i.110573301.6685906490", "https://shopee.co.id/Azarine-Lightening-Serum-20-ml-C-White-i.110573301.6685906490")</f>
        <v>https://shopee.co.id/Azarine-Lightening-Serum-20-ml-C-White-i.110573301.6685906490</v>
      </c>
      <c r="C1067" s="6" t="s">
        <v>233</v>
      </c>
      <c r="D1067" s="6" t="s">
        <v>227</v>
      </c>
      <c r="E1067" s="6" t="s">
        <v>12</v>
      </c>
      <c r="F1067" s="6" t="s">
        <v>13</v>
      </c>
      <c r="G1067" s="6" t="s">
        <v>61</v>
      </c>
      <c r="H1067" s="8" t="s">
        <v>1984</v>
      </c>
      <c r="I1067" s="9">
        <v>4992000.0</v>
      </c>
      <c r="J1067" s="5" t="str">
        <f t="shared" ref="J1067:K1067" si="1067">SUBSTITUTE(H1067, ",", "")</f>
        <v>24</v>
      </c>
      <c r="K1067" s="5" t="str">
        <f t="shared" si="1067"/>
        <v>Rp4992000</v>
      </c>
      <c r="L1067" s="5" t="str">
        <f t="shared" si="3"/>
        <v>4992000</v>
      </c>
    </row>
    <row r="1068">
      <c r="A1068" s="6" t="s">
        <v>1988</v>
      </c>
      <c r="B1068" s="7" t="str">
        <f>HYPERLINK("https://shopee.co.id/L-OREAL-Dex-Revitalift-Crystal-Micro-Essence-Water-22ml-i.30736001.8845031483", "https://shopee.co.id/L-OREAL-Dex-Revitalift-Crystal-Micro-Essence-Water-22ml-i.30736001.8845031483")</f>
        <v>https://shopee.co.id/L-OREAL-Dex-Revitalift-Crystal-Micro-Essence-Water-22ml-i.30736001.8845031483</v>
      </c>
      <c r="C1068" s="6" t="s">
        <v>105</v>
      </c>
      <c r="D1068" s="6" t="s">
        <v>335</v>
      </c>
      <c r="E1068" s="6" t="s">
        <v>12</v>
      </c>
      <c r="F1068" s="6" t="s">
        <v>13</v>
      </c>
      <c r="G1068" s="6" t="s">
        <v>36</v>
      </c>
      <c r="H1068" s="8" t="s">
        <v>1984</v>
      </c>
      <c r="I1068" s="9">
        <v>3336000.0</v>
      </c>
      <c r="J1068" s="5" t="str">
        <f t="shared" ref="J1068:K1068" si="1068">SUBSTITUTE(H1068, ",", "")</f>
        <v>24</v>
      </c>
      <c r="K1068" s="5" t="str">
        <f t="shared" si="1068"/>
        <v>Rp3336000</v>
      </c>
      <c r="L1068" s="5" t="str">
        <f t="shared" si="3"/>
        <v>3336000</v>
      </c>
    </row>
    <row r="1069">
      <c r="A1069" s="6" t="s">
        <v>1989</v>
      </c>
      <c r="B1069" s="7" t="str">
        <f>HYPERLINK("https://shopee.co.id/Natasha-by-dr-Fredi-Setyawan-Moist-Tea-Tree-Serum-i.40121814.3758040158", "https://shopee.co.id/Natasha-by-dr-Fredi-Setyawan-Moist-Tea-Tree-Serum-i.40121814.3758040158")</f>
        <v>https://shopee.co.id/Natasha-by-dr-Fredi-Setyawan-Moist-Tea-Tree-Serum-i.40121814.3758040158</v>
      </c>
      <c r="C1069" s="6" t="s">
        <v>793</v>
      </c>
      <c r="D1069" s="6" t="s">
        <v>794</v>
      </c>
      <c r="E1069" s="6" t="s">
        <v>12</v>
      </c>
      <c r="F1069" s="6" t="s">
        <v>13</v>
      </c>
      <c r="G1069" s="6" t="s">
        <v>380</v>
      </c>
      <c r="H1069" s="8" t="s">
        <v>1984</v>
      </c>
      <c r="I1069" s="9">
        <v>2682700.0</v>
      </c>
      <c r="J1069" s="5" t="str">
        <f t="shared" ref="J1069:K1069" si="1069">SUBSTITUTE(H1069, ",", "")</f>
        <v>24</v>
      </c>
      <c r="K1069" s="5" t="str">
        <f t="shared" si="1069"/>
        <v>Rp2682700</v>
      </c>
      <c r="L1069" s="5" t="str">
        <f t="shared" si="3"/>
        <v>2682700</v>
      </c>
    </row>
    <row r="1070">
      <c r="A1070" s="6" t="s">
        <v>1990</v>
      </c>
      <c r="B1070" s="7" t="str">
        <f>HYPERLINK("https://shopee.co.id/L-Occitane-Immortelle-Precious-Serum-i.88079439.2814476314", "https://shopee.co.id/L-Occitane-Immortelle-Precious-Serum-i.88079439.2814476314")</f>
        <v>https://shopee.co.id/L-Occitane-Immortelle-Precious-Serum-i.88079439.2814476314</v>
      </c>
      <c r="C1070" s="6" t="s">
        <v>579</v>
      </c>
      <c r="D1070" s="6" t="s">
        <v>580</v>
      </c>
      <c r="E1070" s="6" t="s">
        <v>12</v>
      </c>
      <c r="F1070" s="6" t="s">
        <v>13</v>
      </c>
      <c r="G1070" s="6" t="s">
        <v>532</v>
      </c>
      <c r="H1070" s="8" t="s">
        <v>1984</v>
      </c>
      <c r="I1070" s="9">
        <v>3140000.0</v>
      </c>
      <c r="J1070" s="5" t="str">
        <f t="shared" ref="J1070:K1070" si="1070">SUBSTITUTE(H1070, ",", "")</f>
        <v>24</v>
      </c>
      <c r="K1070" s="5" t="str">
        <f t="shared" si="1070"/>
        <v>Rp3140000</v>
      </c>
      <c r="L1070" s="5" t="str">
        <f t="shared" si="3"/>
        <v>3140000</v>
      </c>
    </row>
    <row r="1071">
      <c r="A1071" s="6" t="s">
        <v>1991</v>
      </c>
      <c r="B1071" s="7" t="str">
        <f>HYPERLINK("https://shopee.co.id/Ultima-II-Paket-Procollagen-Extrema-i.152254718.11938331859", "https://shopee.co.id/Ultima-II-Paket-Procollagen-Extrema-i.152254718.11938331859")</f>
        <v>https://shopee.co.id/Ultima-II-Paket-Procollagen-Extrema-i.152254718.11938331859</v>
      </c>
      <c r="C1071" s="6" t="s">
        <v>1210</v>
      </c>
      <c r="D1071" s="6" t="s">
        <v>1211</v>
      </c>
      <c r="E1071" s="6" t="s">
        <v>12</v>
      </c>
      <c r="F1071" s="6" t="s">
        <v>13</v>
      </c>
      <c r="G1071" s="6" t="s">
        <v>469</v>
      </c>
      <c r="H1071" s="8" t="s">
        <v>1984</v>
      </c>
      <c r="I1071" s="9">
        <v>6397500.0</v>
      </c>
      <c r="J1071" s="5" t="str">
        <f t="shared" ref="J1071:K1071" si="1071">SUBSTITUTE(H1071, ",", "")</f>
        <v>24</v>
      </c>
      <c r="K1071" s="5" t="str">
        <f t="shared" si="1071"/>
        <v>Rp6397500</v>
      </c>
      <c r="L1071" s="5" t="str">
        <f t="shared" si="3"/>
        <v>6397500</v>
      </c>
    </row>
    <row r="1072">
      <c r="A1072" s="6" t="s">
        <v>1992</v>
      </c>
      <c r="B1072" s="7" t="str">
        <f>HYPERLINK("https://shopee.co.id/PURITO-Pure-Vitamin-C-Serum-i.233721470.3319413216", "https://shopee.co.id/PURITO-Pure-Vitamin-C-Serum-i.233721470.3319413216")</f>
        <v>https://shopee.co.id/PURITO-Pure-Vitamin-C-Serum-i.233721470.3319413216</v>
      </c>
      <c r="C1072" s="6" t="s">
        <v>1993</v>
      </c>
      <c r="D1072" s="6" t="s">
        <v>1994</v>
      </c>
      <c r="E1072" s="6" t="s">
        <v>12</v>
      </c>
      <c r="F1072" s="6" t="s">
        <v>13</v>
      </c>
      <c r="G1072" s="6" t="s">
        <v>21</v>
      </c>
      <c r="H1072" s="8" t="s">
        <v>1984</v>
      </c>
      <c r="I1072" s="9">
        <v>6940200.0</v>
      </c>
      <c r="J1072" s="5" t="str">
        <f t="shared" ref="J1072:K1072" si="1072">SUBSTITUTE(H1072, ",", "")</f>
        <v>24</v>
      </c>
      <c r="K1072" s="5" t="str">
        <f t="shared" si="1072"/>
        <v>Rp6940200</v>
      </c>
      <c r="L1072" s="5" t="str">
        <f t="shared" si="3"/>
        <v>6940200</v>
      </c>
    </row>
    <row r="1073">
      <c r="A1073" s="6" t="s">
        <v>1995</v>
      </c>
      <c r="B1073" s="7" t="str">
        <f>HYPERLINK("https://shopee.co.id/Cosrx-Advance-Snail-96-Mucin-Power-Essence-100ml-i.136011044.3942139389", "https://shopee.co.id/Cosrx-Advance-Snail-96-Mucin-Power-Essence-100ml-i.136011044.3942139389")</f>
        <v>https://shopee.co.id/Cosrx-Advance-Snail-96-Mucin-Power-Essence-100ml-i.136011044.3942139389</v>
      </c>
      <c r="C1073" s="6" t="s">
        <v>305</v>
      </c>
      <c r="D1073" s="6" t="s">
        <v>632</v>
      </c>
      <c r="E1073" s="6" t="s">
        <v>12</v>
      </c>
      <c r="F1073" s="6" t="s">
        <v>13</v>
      </c>
      <c r="G1073" s="6" t="s">
        <v>21</v>
      </c>
      <c r="H1073" s="8" t="s">
        <v>1984</v>
      </c>
      <c r="I1073" s="9">
        <v>3294300.0</v>
      </c>
      <c r="J1073" s="5" t="str">
        <f t="shared" ref="J1073:K1073" si="1073">SUBSTITUTE(H1073, ",", "")</f>
        <v>24</v>
      </c>
      <c r="K1073" s="5" t="str">
        <f t="shared" si="1073"/>
        <v>Rp3294300</v>
      </c>
      <c r="L1073" s="5" t="str">
        <f t="shared" si="3"/>
        <v>3294300</v>
      </c>
    </row>
    <row r="1074">
      <c r="A1074" s="6" t="s">
        <v>1996</v>
      </c>
      <c r="B1074" s="7" t="str">
        <f>HYPERLINK("https://shopee.co.id/Sekkisei-Sun-Protect-Essence-Gel-i.105297385.8434953921", "https://shopee.co.id/Sekkisei-Sun-Protect-Essence-Gel-i.105297385.8434953921")</f>
        <v>https://shopee.co.id/Sekkisei-Sun-Protect-Essence-Gel-i.105297385.8434953921</v>
      </c>
      <c r="C1074" s="6" t="s">
        <v>1997</v>
      </c>
      <c r="D1074" s="6" t="s">
        <v>1998</v>
      </c>
      <c r="E1074" s="6" t="s">
        <v>12</v>
      </c>
      <c r="F1074" s="6" t="s">
        <v>13</v>
      </c>
      <c r="G1074" s="6" t="s">
        <v>532</v>
      </c>
      <c r="H1074" s="8" t="s">
        <v>1984</v>
      </c>
      <c r="I1074" s="9">
        <v>4552900.0</v>
      </c>
      <c r="J1074" s="5" t="str">
        <f t="shared" ref="J1074:K1074" si="1074">SUBSTITUTE(H1074, ",", "")</f>
        <v>24</v>
      </c>
      <c r="K1074" s="5" t="str">
        <f t="shared" si="1074"/>
        <v>Rp4552900</v>
      </c>
      <c r="L1074" s="5" t="str">
        <f t="shared" si="3"/>
        <v>4552900</v>
      </c>
    </row>
    <row r="1075">
      <c r="A1075" s="6" t="s">
        <v>1999</v>
      </c>
      <c r="B1075" s="7" t="str">
        <f>HYPERLINK("https://shopee.co.id/Hersall-Bundle-Watermelon-Ice-Cream-Serum-Moon-Fairy-Serum-i.329847628.8287944943", "https://shopee.co.id/Hersall-Bundle-Watermelon-Ice-Cream-Serum-Moon-Fairy-Serum-i.329847628.8287944943")</f>
        <v>https://shopee.co.id/Hersall-Bundle-Watermelon-Ice-Cream-Serum-Moon-Fairy-Serum-i.329847628.8287944943</v>
      </c>
      <c r="C1075" s="6" t="s">
        <v>2000</v>
      </c>
      <c r="D1075" s="6" t="s">
        <v>2001</v>
      </c>
      <c r="E1075" s="6" t="s">
        <v>12</v>
      </c>
      <c r="F1075" s="6" t="s">
        <v>13</v>
      </c>
      <c r="G1075" s="6" t="s">
        <v>61</v>
      </c>
      <c r="H1075" s="8" t="s">
        <v>1984</v>
      </c>
      <c r="I1075" s="9">
        <v>3576000.0</v>
      </c>
      <c r="J1075" s="5" t="str">
        <f t="shared" ref="J1075:K1075" si="1075">SUBSTITUTE(H1075, ",", "")</f>
        <v>24</v>
      </c>
      <c r="K1075" s="5" t="str">
        <f t="shared" si="1075"/>
        <v>Rp3576000</v>
      </c>
      <c r="L1075" s="5" t="str">
        <f t="shared" si="3"/>
        <v>3576000</v>
      </c>
    </row>
    <row r="1076">
      <c r="A1076" s="6" t="s">
        <v>2002</v>
      </c>
      <c r="B1076" s="7" t="str">
        <f>HYPERLINK("https://shopee.co.id/SECA-VITAMIN-C-4-Serum-i.373749700.11615135610", "https://shopee.co.id/SECA-VITAMIN-C-4-Serum-i.373749700.11615135610")</f>
        <v>https://shopee.co.id/SECA-VITAMIN-C-4-Serum-i.373749700.11615135610</v>
      </c>
      <c r="C1076" s="6" t="s">
        <v>985</v>
      </c>
      <c r="D1076" s="6" t="s">
        <v>986</v>
      </c>
      <c r="E1076" s="6" t="s">
        <v>12</v>
      </c>
      <c r="F1076" s="6" t="s">
        <v>13</v>
      </c>
      <c r="G1076" s="6" t="s">
        <v>36</v>
      </c>
      <c r="H1076" s="8" t="s">
        <v>1984</v>
      </c>
      <c r="I1076" s="9">
        <v>5807100.0</v>
      </c>
      <c r="J1076" s="5" t="str">
        <f t="shared" ref="J1076:K1076" si="1076">SUBSTITUTE(H1076, ",", "")</f>
        <v>24</v>
      </c>
      <c r="K1076" s="5" t="str">
        <f t="shared" si="1076"/>
        <v>Rp5807100</v>
      </c>
      <c r="L1076" s="5" t="str">
        <f t="shared" si="3"/>
        <v>5807100</v>
      </c>
    </row>
    <row r="1077">
      <c r="A1077" s="6" t="s">
        <v>2003</v>
      </c>
      <c r="B1077" s="7" t="str">
        <f>HYPERLINK("https://shopee.co.id/ZUZU-Acne-Serum-i.400583963.8824180958", "https://shopee.co.id/ZUZU-Acne-Serum-i.400583963.8824180958")</f>
        <v>https://shopee.co.id/ZUZU-Acne-Serum-i.400583963.8824180958</v>
      </c>
      <c r="C1077" s="6" t="s">
        <v>1661</v>
      </c>
      <c r="D1077" s="6" t="s">
        <v>1662</v>
      </c>
      <c r="E1077" s="6" t="s">
        <v>12</v>
      </c>
      <c r="F1077" s="6" t="s">
        <v>13</v>
      </c>
      <c r="G1077" s="6" t="s">
        <v>98</v>
      </c>
      <c r="H1077" s="8" t="s">
        <v>1984</v>
      </c>
      <c r="I1077" s="9">
        <v>2943000.0</v>
      </c>
      <c r="J1077" s="5" t="str">
        <f t="shared" ref="J1077:K1077" si="1077">SUBSTITUTE(H1077, ",", "")</f>
        <v>24</v>
      </c>
      <c r="K1077" s="5" t="str">
        <f t="shared" si="1077"/>
        <v>Rp2943000</v>
      </c>
      <c r="L1077" s="5" t="str">
        <f t="shared" si="3"/>
        <v>2943000</v>
      </c>
    </row>
    <row r="1078">
      <c r="A1078" s="6" t="s">
        <v>2004</v>
      </c>
      <c r="B1078" s="7" t="str">
        <f>HYPERLINK("https://shopee.co.id/PROMO-Seger-Snow-Serum-Moisturizing-2pcs-Seger-Snow-Anti-anging-1pcs-GRATIS-Totebag-i.221165466.6368888316", "https://shopee.co.id/PROMO-Seger-Snow-Serum-Moisturizing-2pcs-Seger-Snow-Anti-anging-1pcs-GRATIS-Totebag-i.221165466.6368888316")</f>
        <v>https://shopee.co.id/PROMO-Seger-Snow-Serum-Moisturizing-2pcs-Seger-Snow-Anti-anging-1pcs-GRATIS-Totebag-i.221165466.6368888316</v>
      </c>
      <c r="C1078" s="6" t="s">
        <v>2005</v>
      </c>
      <c r="D1078" s="6" t="s">
        <v>2006</v>
      </c>
      <c r="E1078" s="6" t="s">
        <v>12</v>
      </c>
      <c r="F1078" s="6" t="s">
        <v>13</v>
      </c>
      <c r="G1078" s="6" t="s">
        <v>241</v>
      </c>
      <c r="H1078" s="8" t="s">
        <v>1984</v>
      </c>
      <c r="I1078" s="9">
        <v>949875.0</v>
      </c>
      <c r="J1078" s="5" t="str">
        <f t="shared" ref="J1078:K1078" si="1078">SUBSTITUTE(H1078, ",", "")</f>
        <v>24</v>
      </c>
      <c r="K1078" s="5" t="str">
        <f t="shared" si="1078"/>
        <v>Rp949875</v>
      </c>
      <c r="L1078" s="5" t="str">
        <f t="shared" si="3"/>
        <v>949875</v>
      </c>
    </row>
    <row r="1079">
      <c r="A1079" s="6" t="s">
        <v>2007</v>
      </c>
      <c r="B1079" s="7" t="str">
        <f>HYPERLINK("https://shopee.co.id/COSRX-Hydrium-Triple-Hyaluronic-Moisture-Ampoule-40-ml-Ampul-untuk-kulit-kering-Skincare-i.224957239.6931552454", "https://shopee.co.id/COSRX-Hydrium-Triple-Hyaluronic-Moisture-Ampoule-40-ml-Ampul-untuk-kulit-kering-Skincare-i.224957239.6931552454")</f>
        <v>https://shopee.co.id/COSRX-Hydrium-Triple-Hyaluronic-Moisture-Ampoule-40-ml-Ampul-untuk-kulit-kering-Skincare-i.224957239.6931552454</v>
      </c>
      <c r="C1079" s="6" t="s">
        <v>305</v>
      </c>
      <c r="D1079" s="6" t="s">
        <v>492</v>
      </c>
      <c r="E1079" s="6" t="s">
        <v>12</v>
      </c>
      <c r="F1079" s="6" t="s">
        <v>13</v>
      </c>
      <c r="G1079" s="6" t="s">
        <v>21</v>
      </c>
      <c r="H1079" s="8" t="s">
        <v>1984</v>
      </c>
      <c r="I1079" s="9">
        <v>1200000.0</v>
      </c>
      <c r="J1079" s="5" t="str">
        <f t="shared" ref="J1079:K1079" si="1079">SUBSTITUTE(H1079, ",", "")</f>
        <v>24</v>
      </c>
      <c r="K1079" s="5" t="str">
        <f t="shared" si="1079"/>
        <v>Rp1200000</v>
      </c>
      <c r="L1079" s="5" t="str">
        <f t="shared" si="3"/>
        <v>1200000</v>
      </c>
    </row>
    <row r="1080">
      <c r="A1080" s="6" t="s">
        <v>2008</v>
      </c>
      <c r="B1080" s="7" t="str">
        <f>HYPERLINK("https://shopee.co.id/Iunik-Propolis-Vitamin-Synergy-Serum-15ml-i.825870.6717775581", "https://shopee.co.id/Iunik-Propolis-Vitamin-Synergy-Serum-15ml-i.825870.6717775581")</f>
        <v>https://shopee.co.id/Iunik-Propolis-Vitamin-Synergy-Serum-15ml-i.825870.6717775581</v>
      </c>
      <c r="C1080" s="6" t="s">
        <v>1658</v>
      </c>
      <c r="D1080" s="6" t="s">
        <v>1184</v>
      </c>
      <c r="E1080" s="6" t="s">
        <v>12</v>
      </c>
      <c r="F1080" s="6" t="s">
        <v>13</v>
      </c>
      <c r="G1080" s="6" t="s">
        <v>21</v>
      </c>
      <c r="H1080" s="8" t="s">
        <v>1984</v>
      </c>
      <c r="I1080" s="9">
        <v>3176150.0</v>
      </c>
      <c r="J1080" s="5" t="str">
        <f t="shared" ref="J1080:K1080" si="1080">SUBSTITUTE(H1080, ",", "")</f>
        <v>24</v>
      </c>
      <c r="K1080" s="5" t="str">
        <f t="shared" si="1080"/>
        <v>Rp3176150</v>
      </c>
      <c r="L1080" s="5" t="str">
        <f t="shared" si="3"/>
        <v>3176150</v>
      </c>
    </row>
    <row r="1081">
      <c r="A1081" s="6" t="s">
        <v>2009</v>
      </c>
      <c r="B1081" s="7" t="str">
        <f>HYPERLINK("https://shopee.co.id/HISERHA-Acne-Essence-60-ml-Serum-Wajah-Jerawat-Khusus-Pria-i.129153987.6145412081", "https://shopee.co.id/HISERHA-Acne-Essence-60-ml-Serum-Wajah-Jerawat-Khusus-Pria-i.129153987.6145412081")</f>
        <v>https://shopee.co.id/HISERHA-Acne-Essence-60-ml-Serum-Wajah-Jerawat-Khusus-Pria-i.129153987.6145412081</v>
      </c>
      <c r="C1081" s="6" t="s">
        <v>1952</v>
      </c>
      <c r="D1081" s="6" t="s">
        <v>182</v>
      </c>
      <c r="E1081" s="6" t="s">
        <v>12</v>
      </c>
      <c r="F1081" s="6" t="s">
        <v>13</v>
      </c>
      <c r="G1081" s="6" t="s">
        <v>61</v>
      </c>
      <c r="H1081" s="8" t="s">
        <v>1984</v>
      </c>
      <c r="I1081" s="9">
        <v>2338688.0</v>
      </c>
      <c r="J1081" s="5" t="str">
        <f t="shared" ref="J1081:K1081" si="1081">SUBSTITUTE(H1081, ",", "")</f>
        <v>24</v>
      </c>
      <c r="K1081" s="5" t="str">
        <f t="shared" si="1081"/>
        <v>Rp2338688</v>
      </c>
      <c r="L1081" s="5" t="str">
        <f t="shared" si="3"/>
        <v>2338688</v>
      </c>
    </row>
    <row r="1082">
      <c r="A1082" s="6" t="s">
        <v>2010</v>
      </c>
      <c r="B1082" s="7" t="str">
        <f>HYPERLINK("https://shopee.co.id/-BPOM-LANBENA-Vitamin-C-Serum-Mencerahkan-Wajah-15ml--i.397732085.8531114961", "https://shopee.co.id/-BPOM-LANBENA-Vitamin-C-Serum-Mencerahkan-Wajah-15ml--i.397732085.8531114961")</f>
        <v>https://shopee.co.id/-BPOM-LANBENA-Vitamin-C-Serum-Mencerahkan-Wajah-15ml--i.397732085.8531114961</v>
      </c>
      <c r="C1082" s="6" t="s">
        <v>1427</v>
      </c>
      <c r="D1082" s="6" t="s">
        <v>1428</v>
      </c>
      <c r="E1082" s="6" t="s">
        <v>12</v>
      </c>
      <c r="F1082" s="6" t="s">
        <v>13</v>
      </c>
      <c r="G1082" s="6" t="s">
        <v>532</v>
      </c>
      <c r="H1082" s="8" t="s">
        <v>1984</v>
      </c>
      <c r="I1082" s="9">
        <v>1827630.0</v>
      </c>
      <c r="J1082" s="5" t="str">
        <f t="shared" ref="J1082:K1082" si="1082">SUBSTITUTE(H1082, ",", "")</f>
        <v>24</v>
      </c>
      <c r="K1082" s="5" t="str">
        <f t="shared" si="1082"/>
        <v>Rp1827630</v>
      </c>
      <c r="L1082" s="5" t="str">
        <f t="shared" si="3"/>
        <v>1827630</v>
      </c>
    </row>
    <row r="1083">
      <c r="A1083" s="6" t="s">
        <v>2011</v>
      </c>
      <c r="B1083" s="7" t="str">
        <f>HYPERLINK("https://shopee.co.id/ADARA-C-Bright-Serum-30ML-Brightening-Serum-i.122156323.1865771732", "https://shopee.co.id/ADARA-C-Bright-Serum-30ML-Brightening-Serum-i.122156323.1865771732")</f>
        <v>https://shopee.co.id/ADARA-C-Bright-Serum-30ML-Brightening-Serum-i.122156323.1865771732</v>
      </c>
      <c r="C1083" s="6" t="s">
        <v>2012</v>
      </c>
      <c r="D1083" s="6" t="s">
        <v>2013</v>
      </c>
      <c r="E1083" s="6" t="s">
        <v>12</v>
      </c>
      <c r="F1083" s="6" t="s">
        <v>13</v>
      </c>
      <c r="G1083" s="6" t="s">
        <v>61</v>
      </c>
      <c r="H1083" s="8" t="s">
        <v>1984</v>
      </c>
      <c r="I1083" s="9">
        <v>3720000.0</v>
      </c>
      <c r="J1083" s="5" t="str">
        <f t="shared" ref="J1083:K1083" si="1083">SUBSTITUTE(H1083, ",", "")</f>
        <v>24</v>
      </c>
      <c r="K1083" s="5" t="str">
        <f t="shared" si="1083"/>
        <v>Rp3720000</v>
      </c>
      <c r="L1083" s="5" t="str">
        <f t="shared" si="3"/>
        <v>3720000</v>
      </c>
    </row>
    <row r="1084">
      <c r="A1084" s="6" t="s">
        <v>2014</v>
      </c>
      <c r="B1084" s="7" t="str">
        <f>HYPERLINK("https://shopee.co.id/Somethinc-Level-1-Retinol-20ml-i.110573301.5879522285", "https://shopee.co.id/Somethinc-Level-1-Retinol-20ml-i.110573301.5879522285")</f>
        <v>https://shopee.co.id/Somethinc-Level-1-Retinol-20ml-i.110573301.5879522285</v>
      </c>
      <c r="C1084" s="6" t="s">
        <v>45</v>
      </c>
      <c r="D1084" s="6" t="s">
        <v>227</v>
      </c>
      <c r="E1084" s="6" t="s">
        <v>12</v>
      </c>
      <c r="F1084" s="6" t="s">
        <v>13</v>
      </c>
      <c r="G1084" s="6" t="s">
        <v>61</v>
      </c>
      <c r="H1084" s="8" t="s">
        <v>1984</v>
      </c>
      <c r="I1084" s="9">
        <v>1754127.0</v>
      </c>
      <c r="J1084" s="5" t="str">
        <f t="shared" ref="J1084:K1084" si="1084">SUBSTITUTE(H1084, ",", "")</f>
        <v>24</v>
      </c>
      <c r="K1084" s="5" t="str">
        <f t="shared" si="1084"/>
        <v>Rp1754127</v>
      </c>
      <c r="L1084" s="5" t="str">
        <f t="shared" si="3"/>
        <v>1754127</v>
      </c>
    </row>
    <row r="1085">
      <c r="A1085" s="6" t="s">
        <v>2015</v>
      </c>
      <c r="B1085" s="7" t="str">
        <f>HYPERLINK("https://shopee.co.id/SECA-HYALURONIC-ACID-Solution-3-Serum-i.373749700.8472913138", "https://shopee.co.id/SECA-HYALURONIC-ACID-Solution-3-Serum-i.373749700.8472913138")</f>
        <v>https://shopee.co.id/SECA-HYALURONIC-ACID-Solution-3-Serum-i.373749700.8472913138</v>
      </c>
      <c r="C1085" s="6" t="s">
        <v>985</v>
      </c>
      <c r="D1085" s="6" t="s">
        <v>986</v>
      </c>
      <c r="E1085" s="6" t="s">
        <v>12</v>
      </c>
      <c r="F1085" s="6" t="s">
        <v>13</v>
      </c>
      <c r="G1085" s="6" t="s">
        <v>36</v>
      </c>
      <c r="H1085" s="8" t="s">
        <v>2016</v>
      </c>
      <c r="I1085" s="9">
        <v>6627000.0</v>
      </c>
      <c r="J1085" s="5" t="str">
        <f t="shared" ref="J1085:K1085" si="1085">SUBSTITUTE(H1085, ",", "")</f>
        <v>23</v>
      </c>
      <c r="K1085" s="5" t="str">
        <f t="shared" si="1085"/>
        <v>Rp6627000</v>
      </c>
      <c r="L1085" s="5" t="str">
        <f t="shared" si="3"/>
        <v>6627000</v>
      </c>
    </row>
    <row r="1086">
      <c r="A1086" s="6" t="s">
        <v>2017</v>
      </c>
      <c r="B1086" s="7" t="str">
        <f>HYPERLINK("https://shopee.co.id/Joylab-Skinotic-Water-Essence-50ml-with-Probiotic-i.127604258.6526035544", "https://shopee.co.id/Joylab-Skinotic-Water-Essence-50ml-with-Probiotic-i.127604258.6526035544")</f>
        <v>https://shopee.co.id/Joylab-Skinotic-Water-Essence-50ml-with-Probiotic-i.127604258.6526035544</v>
      </c>
      <c r="C1086" s="6" t="s">
        <v>1795</v>
      </c>
      <c r="D1086" s="6" t="s">
        <v>1796</v>
      </c>
      <c r="E1086" s="6" t="s">
        <v>12</v>
      </c>
      <c r="F1086" s="6" t="s">
        <v>13</v>
      </c>
      <c r="G1086" s="6" t="s">
        <v>98</v>
      </c>
      <c r="H1086" s="8" t="s">
        <v>2016</v>
      </c>
      <c r="I1086" s="9">
        <v>2740800.0</v>
      </c>
      <c r="J1086" s="5" t="str">
        <f t="shared" ref="J1086:K1086" si="1086">SUBSTITUTE(H1086, ",", "")</f>
        <v>23</v>
      </c>
      <c r="K1086" s="5" t="str">
        <f t="shared" si="1086"/>
        <v>Rp2740800</v>
      </c>
      <c r="L1086" s="5" t="str">
        <f t="shared" si="3"/>
        <v>2740800</v>
      </c>
    </row>
    <row r="1087">
      <c r="A1087" s="6" t="s">
        <v>2018</v>
      </c>
      <c r="B1087" s="7" t="str">
        <f>HYPERLINK("https://shopee.co.id/AVOSKIN-Hydrating-Treatment-Essence-100ml-i.68111.1635800553", "https://shopee.co.id/AVOSKIN-Hydrating-Treatment-Essence-100ml-i.68111.1635800553")</f>
        <v>https://shopee.co.id/AVOSKIN-Hydrating-Treatment-Essence-100ml-i.68111.1635800553</v>
      </c>
      <c r="C1087" s="6" t="s">
        <v>83</v>
      </c>
      <c r="D1087" s="6" t="s">
        <v>441</v>
      </c>
      <c r="E1087" s="6" t="s">
        <v>12</v>
      </c>
      <c r="F1087" s="6" t="s">
        <v>13</v>
      </c>
      <c r="G1087" s="6" t="s">
        <v>130</v>
      </c>
      <c r="H1087" s="8" t="s">
        <v>2016</v>
      </c>
      <c r="I1087" s="9">
        <v>687000.0</v>
      </c>
      <c r="J1087" s="5" t="str">
        <f t="shared" ref="J1087:K1087" si="1087">SUBSTITUTE(H1087, ",", "")</f>
        <v>23</v>
      </c>
      <c r="K1087" s="5" t="str">
        <f t="shared" si="1087"/>
        <v>Rp687000</v>
      </c>
      <c r="L1087" s="5" t="str">
        <f t="shared" si="3"/>
        <v>687000</v>
      </c>
    </row>
    <row r="1088">
      <c r="A1088" s="6" t="s">
        <v>2019</v>
      </c>
      <c r="B1088" s="7" t="str">
        <f>HYPERLINK("https://shopee.co.id/MD-Glowing-Acne-Serum-Serum-Wajah-Serum-Muka-Meratakan-Bekas-Jerawat--i.98061713.6295722175", "https://shopee.co.id/MD-Glowing-Acne-Serum-Serum-Wajah-Serum-Muka-Meratakan-Bekas-Jerawat--i.98061713.6295722175")</f>
        <v>https://shopee.co.id/MD-Glowing-Acne-Serum-Serum-Wajah-Serum-Muka-Meratakan-Bekas-Jerawat--i.98061713.6295722175</v>
      </c>
      <c r="C1088" s="6" t="s">
        <v>1353</v>
      </c>
      <c r="D1088" s="6" t="s">
        <v>1354</v>
      </c>
      <c r="E1088" s="6" t="s">
        <v>12</v>
      </c>
      <c r="F1088" s="6" t="s">
        <v>13</v>
      </c>
      <c r="G1088" s="6" t="s">
        <v>370</v>
      </c>
      <c r="H1088" s="8" t="s">
        <v>2016</v>
      </c>
      <c r="I1088" s="9">
        <v>1045000.0</v>
      </c>
      <c r="J1088" s="5" t="str">
        <f t="shared" ref="J1088:K1088" si="1088">SUBSTITUTE(H1088, ",", "")</f>
        <v>23</v>
      </c>
      <c r="K1088" s="5" t="str">
        <f t="shared" si="1088"/>
        <v>Rp1045000</v>
      </c>
      <c r="L1088" s="5" t="str">
        <f t="shared" si="3"/>
        <v>1045000</v>
      </c>
    </row>
    <row r="1089">
      <c r="A1089" s="6" t="s">
        <v>2020</v>
      </c>
      <c r="B1089" s="7" t="str">
        <f>HYPERLINK("https://shopee.co.id/Click-House-Skin-Brightening-Serum-i.130532371.4812233039", "https://shopee.co.id/Click-House-Skin-Brightening-Serum-i.130532371.4812233039")</f>
        <v>https://shopee.co.id/Click-House-Skin-Brightening-Serum-i.130532371.4812233039</v>
      </c>
      <c r="C1089" s="6" t="s">
        <v>2021</v>
      </c>
      <c r="D1089" s="6" t="s">
        <v>2022</v>
      </c>
      <c r="E1089" s="6" t="s">
        <v>12</v>
      </c>
      <c r="F1089" s="6" t="s">
        <v>13</v>
      </c>
      <c r="G1089" s="6" t="s">
        <v>98</v>
      </c>
      <c r="H1089" s="8" t="s">
        <v>2016</v>
      </c>
      <c r="I1089" s="9">
        <v>5205200.0</v>
      </c>
      <c r="J1089" s="5" t="str">
        <f t="shared" ref="J1089:K1089" si="1089">SUBSTITUTE(H1089, ",", "")</f>
        <v>23</v>
      </c>
      <c r="K1089" s="5" t="str">
        <f t="shared" si="1089"/>
        <v>Rp5205200</v>
      </c>
      <c r="L1089" s="5" t="str">
        <f t="shared" si="3"/>
        <v>5205200</v>
      </c>
    </row>
    <row r="1090">
      <c r="A1090" s="6" t="s">
        <v>2023</v>
      </c>
      <c r="B1090" s="7" t="str">
        <f>HYPERLINK("https://shopee.co.id/Purivera-Perfect-Combination-for-Dull-Skin-Chromabright-Tamanu-Bakuchiol-1--i.43724442.8851716849", "https://shopee.co.id/Purivera-Perfect-Combination-for-Dull-Skin-Chromabright-Tamanu-Bakuchiol-1--i.43724442.8851716849")</f>
        <v>https://shopee.co.id/Purivera-Perfect-Combination-for-Dull-Skin-Chromabright-Tamanu-Bakuchiol-1--i.43724442.8851716849</v>
      </c>
      <c r="C1090" s="6" t="s">
        <v>940</v>
      </c>
      <c r="D1090" s="6" t="s">
        <v>429</v>
      </c>
      <c r="E1090" s="6" t="s">
        <v>12</v>
      </c>
      <c r="F1090" s="6" t="s">
        <v>13</v>
      </c>
      <c r="G1090" s="6" t="s">
        <v>61</v>
      </c>
      <c r="H1090" s="8" t="s">
        <v>2016</v>
      </c>
      <c r="I1090" s="9">
        <v>3203500.0</v>
      </c>
      <c r="J1090" s="5" t="str">
        <f t="shared" ref="J1090:K1090" si="1090">SUBSTITUTE(H1090, ",", "")</f>
        <v>23</v>
      </c>
      <c r="K1090" s="5" t="str">
        <f t="shared" si="1090"/>
        <v>Rp3203500</v>
      </c>
      <c r="L1090" s="5" t="str">
        <f t="shared" si="3"/>
        <v>3203500</v>
      </c>
    </row>
    <row r="1091">
      <c r="A1091" s="6" t="s">
        <v>2024</v>
      </c>
      <c r="B1091" s="7" t="str">
        <f>HYPERLINK("https://shopee.co.id/Pack-of-2-Brightening-Essence-50ml-i.46300234.3347185379", "https://shopee.co.id/Pack-of-2-Brightening-Essence-50ml-i.46300234.3347185379")</f>
        <v>https://shopee.co.id/Pack-of-2-Brightening-Essence-50ml-i.46300234.3347185379</v>
      </c>
      <c r="C1091" s="6" t="s">
        <v>1974</v>
      </c>
      <c r="D1091" s="6" t="s">
        <v>472</v>
      </c>
      <c r="E1091" s="6" t="s">
        <v>12</v>
      </c>
      <c r="F1091" s="6" t="s">
        <v>13</v>
      </c>
      <c r="G1091" s="6" t="s">
        <v>98</v>
      </c>
      <c r="H1091" s="8" t="s">
        <v>2016</v>
      </c>
      <c r="I1091" s="9">
        <v>3728036.0</v>
      </c>
      <c r="J1091" s="5" t="str">
        <f t="shared" ref="J1091:K1091" si="1091">SUBSTITUTE(H1091, ",", "")</f>
        <v>23</v>
      </c>
      <c r="K1091" s="5" t="str">
        <f t="shared" si="1091"/>
        <v>Rp3728036</v>
      </c>
      <c r="L1091" s="5" t="str">
        <f t="shared" si="3"/>
        <v>3728036</v>
      </c>
    </row>
    <row r="1092">
      <c r="A1092" s="6" t="s">
        <v>2025</v>
      </c>
      <c r="B1092" s="7" t="str">
        <f>HYPERLINK("https://shopee.co.id/SECA-AHA-10-Serum-i.373749700.8972894760", "https://shopee.co.id/SECA-AHA-10-Serum-i.373749700.8972894760")</f>
        <v>https://shopee.co.id/SECA-AHA-10-Serum-i.373749700.8972894760</v>
      </c>
      <c r="C1092" s="6" t="s">
        <v>2026</v>
      </c>
      <c r="D1092" s="6" t="s">
        <v>986</v>
      </c>
      <c r="E1092" s="6" t="s">
        <v>12</v>
      </c>
      <c r="F1092" s="6" t="s">
        <v>13</v>
      </c>
      <c r="G1092" s="6" t="s">
        <v>36</v>
      </c>
      <c r="H1092" s="8" t="s">
        <v>2016</v>
      </c>
      <c r="I1092" s="9">
        <v>2700000.0</v>
      </c>
      <c r="J1092" s="5" t="str">
        <f t="shared" ref="J1092:K1092" si="1092">SUBSTITUTE(H1092, ",", "")</f>
        <v>23</v>
      </c>
      <c r="K1092" s="5" t="str">
        <f t="shared" si="1092"/>
        <v>Rp2700000</v>
      </c>
      <c r="L1092" s="5" t="str">
        <f t="shared" si="3"/>
        <v>2700000</v>
      </c>
    </row>
    <row r="1093">
      <c r="A1093" s="6" t="s">
        <v>2027</v>
      </c>
      <c r="B1093" s="7" t="str">
        <f>HYPERLINK("https://shopee.co.id/Scarlett-Acne-Serum-15-mL-i.65323877.9579237408", "https://shopee.co.id/Scarlett-Acne-Serum-15-mL-i.65323877.9579237408")</f>
        <v>https://shopee.co.id/Scarlett-Acne-Serum-15-mL-i.65323877.9579237408</v>
      </c>
      <c r="C1093" s="6" t="s">
        <v>19</v>
      </c>
      <c r="D1093" s="6" t="s">
        <v>1600</v>
      </c>
      <c r="E1093" s="6" t="s">
        <v>12</v>
      </c>
      <c r="F1093" s="6" t="s">
        <v>13</v>
      </c>
      <c r="G1093" s="6" t="s">
        <v>296</v>
      </c>
      <c r="H1093" s="8" t="s">
        <v>2016</v>
      </c>
      <c r="I1093" s="9">
        <v>1.356E7</v>
      </c>
      <c r="J1093" s="5" t="str">
        <f t="shared" ref="J1093:K1093" si="1093">SUBSTITUTE(H1093, ",", "")</f>
        <v>23</v>
      </c>
      <c r="K1093" s="5" t="str">
        <f t="shared" si="1093"/>
        <v>Rp13560000</v>
      </c>
      <c r="L1093" s="5" t="str">
        <f t="shared" si="3"/>
        <v>13560000</v>
      </c>
    </row>
    <row r="1094">
      <c r="A1094" s="6" t="s">
        <v>2028</v>
      </c>
      <c r="B1094" s="7" t="str">
        <f>HYPERLINK("https://shopee.co.id/L-OREAL-Revitalift-1-5-Hyaluronic-Acid-Serum-30ml-i.30736001.3356248589", "https://shopee.co.id/L-OREAL-Revitalift-1-5-Hyaluronic-Acid-Serum-30ml-i.30736001.3356248589")</f>
        <v>https://shopee.co.id/L-OREAL-Revitalift-1-5-Hyaluronic-Acid-Serum-30ml-i.30736001.3356248589</v>
      </c>
      <c r="C1094" s="6" t="s">
        <v>105</v>
      </c>
      <c r="D1094" s="6" t="s">
        <v>335</v>
      </c>
      <c r="E1094" s="6" t="s">
        <v>12</v>
      </c>
      <c r="F1094" s="6" t="s">
        <v>13</v>
      </c>
      <c r="G1094" s="6" t="s">
        <v>36</v>
      </c>
      <c r="H1094" s="8" t="s">
        <v>2016</v>
      </c>
      <c r="I1094" s="9">
        <v>1989100.0</v>
      </c>
      <c r="J1094" s="5" t="str">
        <f t="shared" ref="J1094:K1094" si="1094">SUBSTITUTE(H1094, ",", "")</f>
        <v>23</v>
      </c>
      <c r="K1094" s="5" t="str">
        <f t="shared" si="1094"/>
        <v>Rp1989100</v>
      </c>
      <c r="L1094" s="5" t="str">
        <f t="shared" si="3"/>
        <v>1989100</v>
      </c>
    </row>
    <row r="1095">
      <c r="A1095" s="6" t="s">
        <v>2029</v>
      </c>
      <c r="B1095" s="7" t="str">
        <f>HYPERLINK("https://shopee.co.id/Buy-1-Get-1-Glowing-Serum-i.63439817.9864404030", "https://shopee.co.id/Buy-1-Get-1-Glowing-Serum-i.63439817.9864404030")</f>
        <v>https://shopee.co.id/Buy-1-Get-1-Glowing-Serum-i.63439817.9864404030</v>
      </c>
      <c r="C1095" s="6" t="s">
        <v>2030</v>
      </c>
      <c r="D1095" s="6" t="s">
        <v>2031</v>
      </c>
      <c r="E1095" s="6" t="s">
        <v>12</v>
      </c>
      <c r="F1095" s="6" t="s">
        <v>13</v>
      </c>
      <c r="G1095" s="6" t="s">
        <v>2032</v>
      </c>
      <c r="H1095" s="8" t="s">
        <v>2016</v>
      </c>
      <c r="I1095" s="9">
        <v>4837000.0</v>
      </c>
      <c r="J1095" s="5" t="str">
        <f t="shared" ref="J1095:K1095" si="1095">SUBSTITUTE(H1095, ",", "")</f>
        <v>23</v>
      </c>
      <c r="K1095" s="5" t="str">
        <f t="shared" si="1095"/>
        <v>Rp4837000</v>
      </c>
      <c r="L1095" s="5" t="str">
        <f t="shared" si="3"/>
        <v>4837000</v>
      </c>
    </row>
    <row r="1096">
      <c r="A1096" s="6" t="s">
        <v>2033</v>
      </c>
      <c r="B1096" s="7" t="str">
        <f>HYPERLINK("https://shopee.co.id/Envygreen-Pore-Minimizer-Serum-5gr-i.825870.7450706840", "https://shopee.co.id/Envygreen-Pore-Minimizer-Serum-5gr-i.825870.7450706840")</f>
        <v>https://shopee.co.id/Envygreen-Pore-Minimizer-Serum-5gr-i.825870.7450706840</v>
      </c>
      <c r="C1096" s="6" t="s">
        <v>2034</v>
      </c>
      <c r="D1096" s="6" t="s">
        <v>1184</v>
      </c>
      <c r="E1096" s="6" t="s">
        <v>12</v>
      </c>
      <c r="F1096" s="6" t="s">
        <v>13</v>
      </c>
      <c r="G1096" s="6" t="s">
        <v>21</v>
      </c>
      <c r="H1096" s="8" t="s">
        <v>2016</v>
      </c>
      <c r="I1096" s="9">
        <v>3552000.0</v>
      </c>
      <c r="J1096" s="5" t="str">
        <f t="shared" ref="J1096:K1096" si="1096">SUBSTITUTE(H1096, ",", "")</f>
        <v>23</v>
      </c>
      <c r="K1096" s="5" t="str">
        <f t="shared" si="1096"/>
        <v>Rp3552000</v>
      </c>
      <c r="L1096" s="5" t="str">
        <f t="shared" si="3"/>
        <v>3552000</v>
      </c>
    </row>
    <row r="1097">
      <c r="A1097" s="6" t="s">
        <v>2035</v>
      </c>
      <c r="B1097" s="7" t="str">
        <f>HYPERLINK("https://shopee.co.id/Nox-Coffee-Serum-i.34867453.800871161", "https://shopee.co.id/Nox-Coffee-Serum-i.34867453.800871161")</f>
        <v>https://shopee.co.id/Nox-Coffee-Serum-i.34867453.800871161</v>
      </c>
      <c r="C1097" s="6" t="s">
        <v>2036</v>
      </c>
      <c r="D1097" s="6" t="s">
        <v>2037</v>
      </c>
      <c r="E1097" s="6" t="s">
        <v>12</v>
      </c>
      <c r="F1097" s="6" t="s">
        <v>13</v>
      </c>
      <c r="G1097" s="6" t="s">
        <v>85</v>
      </c>
      <c r="H1097" s="8" t="s">
        <v>2016</v>
      </c>
      <c r="I1097" s="9">
        <v>3565000.0</v>
      </c>
      <c r="J1097" s="5" t="str">
        <f t="shared" ref="J1097:K1097" si="1097">SUBSTITUTE(H1097, ",", "")</f>
        <v>23</v>
      </c>
      <c r="K1097" s="5" t="str">
        <f t="shared" si="1097"/>
        <v>Rp3565000</v>
      </c>
      <c r="L1097" s="5" t="str">
        <f t="shared" si="3"/>
        <v>3565000</v>
      </c>
    </row>
    <row r="1098">
      <c r="A1098" s="6" t="s">
        <v>2038</v>
      </c>
      <c r="B1098" s="7" t="str">
        <f>HYPERLINK("https://shopee.co.id/Avoskin-Your-Skin-Bae-Salicylic-Acid-2-Zinc-30ml-i.825870.5481325869", "https://shopee.co.id/Avoskin-Your-Skin-Bae-Salicylic-Acid-2-Zinc-30ml-i.825870.5481325869")</f>
        <v>https://shopee.co.id/Avoskin-Your-Skin-Bae-Salicylic-Acid-2-Zinc-30ml-i.825870.5481325869</v>
      </c>
      <c r="C1098" s="6" t="s">
        <v>83</v>
      </c>
      <c r="D1098" s="6" t="s">
        <v>1184</v>
      </c>
      <c r="E1098" s="6" t="s">
        <v>12</v>
      </c>
      <c r="F1098" s="6" t="s">
        <v>13</v>
      </c>
      <c r="G1098" s="6" t="s">
        <v>21</v>
      </c>
      <c r="H1098" s="8" t="s">
        <v>2016</v>
      </c>
      <c r="I1098" s="9">
        <v>4818500.0</v>
      </c>
      <c r="J1098" s="5" t="str">
        <f t="shared" ref="J1098:K1098" si="1098">SUBSTITUTE(H1098, ",", "")</f>
        <v>23</v>
      </c>
      <c r="K1098" s="5" t="str">
        <f t="shared" si="1098"/>
        <v>Rp4818500</v>
      </c>
      <c r="L1098" s="5" t="str">
        <f t="shared" si="3"/>
        <v>4818500</v>
      </c>
    </row>
    <row r="1099">
      <c r="A1099" s="6" t="s">
        <v>2039</v>
      </c>
      <c r="B1099" s="7" t="str">
        <f>HYPERLINK("https://shopee.co.id/SECA-COLLAGEN-1-PEPTIDE-Serum-i.373749700.5493283176", "https://shopee.co.id/SECA-COLLAGEN-1-PEPTIDE-Serum-i.373749700.5493283176")</f>
        <v>https://shopee.co.id/SECA-COLLAGEN-1-PEPTIDE-Serum-i.373749700.5493283176</v>
      </c>
      <c r="C1099" s="6" t="s">
        <v>985</v>
      </c>
      <c r="D1099" s="6" t="s">
        <v>986</v>
      </c>
      <c r="E1099" s="6" t="s">
        <v>12</v>
      </c>
      <c r="F1099" s="6" t="s">
        <v>13</v>
      </c>
      <c r="G1099" s="6" t="s">
        <v>36</v>
      </c>
      <c r="H1099" s="8" t="s">
        <v>2016</v>
      </c>
      <c r="I1099" s="9">
        <v>1495000.0</v>
      </c>
      <c r="J1099" s="5" t="str">
        <f t="shared" ref="J1099:K1099" si="1099">SUBSTITUTE(H1099, ",", "")</f>
        <v>23</v>
      </c>
      <c r="K1099" s="5" t="str">
        <f t="shared" si="1099"/>
        <v>Rp1495000</v>
      </c>
      <c r="L1099" s="5" t="str">
        <f t="shared" si="3"/>
        <v>1495000</v>
      </c>
    </row>
    <row r="1100">
      <c r="A1100" s="6" t="s">
        <v>2040</v>
      </c>
      <c r="B1100" s="7" t="str">
        <f>HYPERLINK("https://shopee.co.id/Iunik-Tea-Tree-Relief-Serum-50ml-i.270765534.5848926445", "https://shopee.co.id/Iunik-Tea-Tree-Relief-Serum-50ml-i.270765534.5848926445")</f>
        <v>https://shopee.co.id/Iunik-Tea-Tree-Relief-Serum-50ml-i.270765534.5848926445</v>
      </c>
      <c r="C1100" s="6" t="s">
        <v>1658</v>
      </c>
      <c r="D1100" s="6" t="s">
        <v>1659</v>
      </c>
      <c r="E1100" s="6" t="s">
        <v>12</v>
      </c>
      <c r="F1100" s="6" t="s">
        <v>13</v>
      </c>
      <c r="G1100" s="6" t="s">
        <v>21</v>
      </c>
      <c r="H1100" s="8" t="s">
        <v>2016</v>
      </c>
      <c r="I1100" s="9">
        <v>3151000.0</v>
      </c>
      <c r="J1100" s="5" t="str">
        <f t="shared" ref="J1100:K1100" si="1100">SUBSTITUTE(H1100, ",", "")</f>
        <v>23</v>
      </c>
      <c r="K1100" s="5" t="str">
        <f t="shared" si="1100"/>
        <v>Rp3151000</v>
      </c>
      <c r="L1100" s="5" t="str">
        <f t="shared" si="3"/>
        <v>3151000</v>
      </c>
    </row>
    <row r="1101">
      <c r="A1101" s="6" t="s">
        <v>2041</v>
      </c>
      <c r="B1101" s="7" t="str">
        <f>HYPERLINK("https://shopee.co.id/Sarae-Glowing-Serum-Niacinamide-with-CICA-20ml-Centella-Asiatica-i.20723335.2923018280", "https://shopee.co.id/Sarae-Glowing-Serum-Niacinamide-with-CICA-20ml-Centella-Asiatica-i.20723335.2923018280")</f>
        <v>https://shopee.co.id/Sarae-Glowing-Serum-Niacinamide-with-CICA-20ml-Centella-Asiatica-i.20723335.2923018280</v>
      </c>
      <c r="C1101" s="6" t="s">
        <v>2042</v>
      </c>
      <c r="D1101" s="6" t="s">
        <v>2043</v>
      </c>
      <c r="E1101" s="6" t="s">
        <v>12</v>
      </c>
      <c r="F1101" s="6" t="s">
        <v>13</v>
      </c>
      <c r="G1101" s="6" t="s">
        <v>241</v>
      </c>
      <c r="H1101" s="8" t="s">
        <v>2016</v>
      </c>
      <c r="I1101" s="9">
        <v>2656500.0</v>
      </c>
      <c r="J1101" s="5" t="str">
        <f t="shared" ref="J1101:K1101" si="1101">SUBSTITUTE(H1101, ",", "")</f>
        <v>23</v>
      </c>
      <c r="K1101" s="5" t="str">
        <f t="shared" si="1101"/>
        <v>Rp2656500</v>
      </c>
      <c r="L1101" s="5" t="str">
        <f t="shared" si="3"/>
        <v>2656500</v>
      </c>
    </row>
    <row r="1102">
      <c r="A1102" s="6" t="s">
        <v>2044</v>
      </c>
      <c r="B1102" s="7" t="str">
        <f>HYPERLINK("https://shopee.co.id/L-Oreal-Paris-Brightening-Crystal-Skin-Set-i.62579622.5178807942", "https://shopee.co.id/L-Oreal-Paris-Brightening-Crystal-Skin-Set-i.62579622.5178807942")</f>
        <v>https://shopee.co.id/L-Oreal-Paris-Brightening-Crystal-Skin-Set-i.62579622.5178807942</v>
      </c>
      <c r="C1102" s="6" t="s">
        <v>105</v>
      </c>
      <c r="D1102" s="6" t="s">
        <v>106</v>
      </c>
      <c r="E1102" s="6" t="s">
        <v>12</v>
      </c>
      <c r="F1102" s="6" t="s">
        <v>13</v>
      </c>
      <c r="G1102" s="6" t="s">
        <v>61</v>
      </c>
      <c r="H1102" s="8" t="s">
        <v>2016</v>
      </c>
      <c r="I1102" s="9">
        <v>2066700.0</v>
      </c>
      <c r="J1102" s="5" t="str">
        <f t="shared" ref="J1102:K1102" si="1102">SUBSTITUTE(H1102, ",", "")</f>
        <v>23</v>
      </c>
      <c r="K1102" s="5" t="str">
        <f t="shared" si="1102"/>
        <v>Rp2066700</v>
      </c>
      <c r="L1102" s="5" t="str">
        <f t="shared" si="3"/>
        <v>2066700</v>
      </c>
    </row>
    <row r="1103">
      <c r="A1103" s="6" t="s">
        <v>2045</v>
      </c>
      <c r="B1103" s="7" t="str">
        <f>HYPERLINK("https://shopee.co.id/MSBB-Bio-Beauty-Lab-Phyto-Power-Essence-i.288588702.8341179080", "https://shopee.co.id/MSBB-Bio-Beauty-Lab-Phyto-Power-Essence-i.288588702.8341179080")</f>
        <v>https://shopee.co.id/MSBB-Bio-Beauty-Lab-Phyto-Power-Essence-i.288588702.8341179080</v>
      </c>
      <c r="C1103" s="6" t="s">
        <v>78</v>
      </c>
      <c r="D1103" s="6" t="s">
        <v>79</v>
      </c>
      <c r="E1103" s="6" t="s">
        <v>12</v>
      </c>
      <c r="F1103" s="6" t="s">
        <v>13</v>
      </c>
      <c r="G1103" s="6" t="s">
        <v>80</v>
      </c>
      <c r="H1103" s="8" t="s">
        <v>2016</v>
      </c>
      <c r="I1103" s="9">
        <v>1.3777E7</v>
      </c>
      <c r="J1103" s="5" t="str">
        <f t="shared" ref="J1103:K1103" si="1103">SUBSTITUTE(H1103, ",", "")</f>
        <v>23</v>
      </c>
      <c r="K1103" s="5" t="str">
        <f t="shared" si="1103"/>
        <v>Rp13777000</v>
      </c>
      <c r="L1103" s="5" t="str">
        <f t="shared" si="3"/>
        <v>13777000</v>
      </c>
    </row>
    <row r="1104">
      <c r="A1104" s="6" t="s">
        <v>2046</v>
      </c>
      <c r="B1104" s="7" t="str">
        <f>HYPERLINK("https://shopee.co.id/HUXLEY-Oil-Essence-Essence-Like-Oil-Like-30ml-i.199277424.7906629882", "https://shopee.co.id/HUXLEY-Oil-Essence-Essence-Like-Oil-Like-30ml-i.199277424.7906629882")</f>
        <v>https://shopee.co.id/HUXLEY-Oil-Essence-Essence-Like-Oil-Like-30ml-i.199277424.7906629882</v>
      </c>
      <c r="C1104" s="6" t="s">
        <v>1635</v>
      </c>
      <c r="D1104" s="6" t="s">
        <v>1884</v>
      </c>
      <c r="E1104" s="6" t="s">
        <v>12</v>
      </c>
      <c r="F1104" s="6" t="s">
        <v>13</v>
      </c>
      <c r="G1104" s="6" t="s">
        <v>80</v>
      </c>
      <c r="H1104" s="8" t="s">
        <v>2016</v>
      </c>
      <c r="I1104" s="9">
        <v>7107000.0</v>
      </c>
      <c r="J1104" s="5" t="str">
        <f t="shared" ref="J1104:K1104" si="1104">SUBSTITUTE(H1104, ",", "")</f>
        <v>23</v>
      </c>
      <c r="K1104" s="5" t="str">
        <f t="shared" si="1104"/>
        <v>Rp7107000</v>
      </c>
      <c r="L1104" s="5" t="str">
        <f t="shared" si="3"/>
        <v>7107000</v>
      </c>
    </row>
    <row r="1105">
      <c r="A1105" s="6" t="s">
        <v>2047</v>
      </c>
      <c r="B1105" s="7" t="str">
        <f>HYPERLINK("https://shopee.co.id/Dear-Me-Beauty-10-Lactic-Acid-AHA-Pineapple-Extract-Face-Serum-32ml-i.45495764.9048397064", "https://shopee.co.id/Dear-Me-Beauty-10-Lactic-Acid-AHA-Pineapple-Extract-Face-Serum-32ml-i.45495764.9048397064")</f>
        <v>https://shopee.co.id/Dear-Me-Beauty-10-Lactic-Acid-AHA-Pineapple-Extract-Face-Serum-32ml-i.45495764.9048397064</v>
      </c>
      <c r="C1105" s="6" t="s">
        <v>70</v>
      </c>
      <c r="D1105" s="6" t="s">
        <v>71</v>
      </c>
      <c r="E1105" s="6" t="s">
        <v>12</v>
      </c>
      <c r="F1105" s="6" t="s">
        <v>13</v>
      </c>
      <c r="G1105" s="6" t="s">
        <v>61</v>
      </c>
      <c r="H1105" s="8" t="s">
        <v>2048</v>
      </c>
      <c r="I1105" s="9">
        <v>5328600.0</v>
      </c>
      <c r="J1105" s="5" t="str">
        <f t="shared" ref="J1105:K1105" si="1105">SUBSTITUTE(H1105, ",", "")</f>
        <v>22</v>
      </c>
      <c r="K1105" s="5" t="str">
        <f t="shared" si="1105"/>
        <v>Rp5328600</v>
      </c>
      <c r="L1105" s="5" t="str">
        <f t="shared" si="3"/>
        <v>5328600</v>
      </c>
    </row>
    <row r="1106">
      <c r="A1106" s="6" t="s">
        <v>2049</v>
      </c>
      <c r="B1106" s="7" t="str">
        <f>HYPERLINK("https://shopee.co.id/PIXY-White-Aqua-Concentrated-Brightening-Serum-17-ML-Pixy-White-Aqua-Brightening-Mask-50-GR-i.168693892.7556369155", "https://shopee.co.id/PIXY-White-Aqua-Concentrated-Brightening-Serum-17-ML-Pixy-White-Aqua-Brightening-Mask-50-GR-i.168693892.7556369155")</f>
        <v>https://shopee.co.id/PIXY-White-Aqua-Concentrated-Brightening-Serum-17-ML-Pixy-White-Aqua-Brightening-Mask-50-GR-i.168693892.7556369155</v>
      </c>
      <c r="C1106" s="6" t="s">
        <v>1398</v>
      </c>
      <c r="D1106" s="6" t="s">
        <v>1399</v>
      </c>
      <c r="E1106" s="6" t="s">
        <v>12</v>
      </c>
      <c r="F1106" s="6" t="s">
        <v>13</v>
      </c>
      <c r="G1106" s="6" t="s">
        <v>61</v>
      </c>
      <c r="H1106" s="8" t="s">
        <v>2048</v>
      </c>
      <c r="I1106" s="9">
        <v>3231810.0</v>
      </c>
      <c r="J1106" s="5" t="str">
        <f t="shared" ref="J1106:K1106" si="1106">SUBSTITUTE(H1106, ",", "")</f>
        <v>22</v>
      </c>
      <c r="K1106" s="5" t="str">
        <f t="shared" si="1106"/>
        <v>Rp3231810</v>
      </c>
      <c r="L1106" s="5" t="str">
        <f t="shared" si="3"/>
        <v>3231810</v>
      </c>
    </row>
    <row r="1107">
      <c r="A1107" s="6" t="s">
        <v>2050</v>
      </c>
      <c r="B1107" s="7" t="str">
        <f>HYPERLINK("https://shopee.co.id/Age-Defy-Glowing-Raya-3-i.63823668.10000496723", "https://shopee.co.id/Age-Defy-Glowing-Raya-3-i.63823668.10000496723")</f>
        <v>https://shopee.co.id/Age-Defy-Glowing-Raya-3-i.63823668.10000496723</v>
      </c>
      <c r="C1107" s="6" t="s">
        <v>278</v>
      </c>
      <c r="D1107" s="6" t="s">
        <v>279</v>
      </c>
      <c r="E1107" s="6" t="s">
        <v>12</v>
      </c>
      <c r="F1107" s="6" t="s">
        <v>13</v>
      </c>
      <c r="G1107" s="6" t="s">
        <v>61</v>
      </c>
      <c r="H1107" s="8" t="s">
        <v>2048</v>
      </c>
      <c r="I1107" s="9">
        <v>517000.0</v>
      </c>
      <c r="J1107" s="5" t="str">
        <f t="shared" ref="J1107:K1107" si="1107">SUBSTITUTE(H1107, ",", "")</f>
        <v>22</v>
      </c>
      <c r="K1107" s="5" t="str">
        <f t="shared" si="1107"/>
        <v>Rp517000</v>
      </c>
      <c r="L1107" s="5" t="str">
        <f t="shared" si="3"/>
        <v>517000</v>
      </c>
    </row>
    <row r="1108">
      <c r="A1108" s="6" t="s">
        <v>2051</v>
      </c>
      <c r="B1108" s="7" t="str">
        <f>HYPERLINK("https://shopee.co.id/Avoskin-Your-Skin-Bae-Serum-Marine-Collagen-10-Ginseng-Root-30ml-i.50948181.7094152309", "https://shopee.co.id/Avoskin-Your-Skin-Bae-Serum-Marine-Collagen-10-Ginseng-Root-30ml-i.50948181.7094152309")</f>
        <v>https://shopee.co.id/Avoskin-Your-Skin-Bae-Serum-Marine-Collagen-10-Ginseng-Root-30ml-i.50948181.7094152309</v>
      </c>
      <c r="C1108" s="6" t="s">
        <v>83</v>
      </c>
      <c r="D1108" s="6" t="s">
        <v>1129</v>
      </c>
      <c r="E1108" s="6" t="s">
        <v>12</v>
      </c>
      <c r="F1108" s="6" t="s">
        <v>13</v>
      </c>
      <c r="G1108" s="6" t="s">
        <v>1130</v>
      </c>
      <c r="H1108" s="8" t="s">
        <v>2048</v>
      </c>
      <c r="I1108" s="9">
        <v>607700.0</v>
      </c>
      <c r="J1108" s="5" t="str">
        <f t="shared" ref="J1108:K1108" si="1108">SUBSTITUTE(H1108, ",", "")</f>
        <v>22</v>
      </c>
      <c r="K1108" s="5" t="str">
        <f t="shared" si="1108"/>
        <v>Rp607700</v>
      </c>
      <c r="L1108" s="5" t="str">
        <f t="shared" si="3"/>
        <v>607700</v>
      </c>
    </row>
    <row r="1109">
      <c r="A1109" s="6" t="s">
        <v>2052</v>
      </c>
      <c r="B1109" s="7" t="str">
        <f>HYPERLINK("https://shopee.co.id/AHC-Peony-Bright-Luminous-Serum-Size-40-ml-Edit-by-Sociolla-i.224957239.3245448269", "https://shopee.co.id/AHC-Peony-Bright-Luminous-Serum-Size-40-ml-Edit-by-Sociolla-i.224957239.3245448269")</f>
        <v>https://shopee.co.id/AHC-Peony-Bright-Luminous-Serum-Size-40-ml-Edit-by-Sociolla-i.224957239.3245448269</v>
      </c>
      <c r="C1109" s="6" t="s">
        <v>2053</v>
      </c>
      <c r="D1109" s="6" t="s">
        <v>492</v>
      </c>
      <c r="E1109" s="6" t="s">
        <v>12</v>
      </c>
      <c r="F1109" s="6" t="s">
        <v>13</v>
      </c>
      <c r="G1109" s="6" t="s">
        <v>21</v>
      </c>
      <c r="H1109" s="8" t="s">
        <v>2048</v>
      </c>
      <c r="I1109" s="9">
        <v>4867200.0</v>
      </c>
      <c r="J1109" s="5" t="str">
        <f t="shared" ref="J1109:K1109" si="1109">SUBSTITUTE(H1109, ",", "")</f>
        <v>22</v>
      </c>
      <c r="K1109" s="5" t="str">
        <f t="shared" si="1109"/>
        <v>Rp4867200</v>
      </c>
      <c r="L1109" s="5" t="str">
        <f t="shared" si="3"/>
        <v>4867200</v>
      </c>
    </row>
    <row r="1110">
      <c r="A1110" s="6" t="s">
        <v>2054</v>
      </c>
      <c r="B1110" s="7" t="str">
        <f>HYPERLINK("https://shopee.co.id/Elshe-Skin-Radiant-Skin-Serum-20-ml-i.68111.2375734925", "https://shopee.co.id/Elshe-Skin-Radiant-Skin-Serum-20-ml-i.68111.2375734925")</f>
        <v>https://shopee.co.id/Elshe-Skin-Radiant-Skin-Serum-20-ml-i.68111.2375734925</v>
      </c>
      <c r="C1110" s="6" t="s">
        <v>135</v>
      </c>
      <c r="D1110" s="6" t="s">
        <v>441</v>
      </c>
      <c r="E1110" s="6" t="s">
        <v>12</v>
      </c>
      <c r="F1110" s="6" t="s">
        <v>13</v>
      </c>
      <c r="G1110" s="6" t="s">
        <v>130</v>
      </c>
      <c r="H1110" s="8" t="s">
        <v>2048</v>
      </c>
      <c r="I1110" s="9">
        <v>6220800.0</v>
      </c>
      <c r="J1110" s="5" t="str">
        <f t="shared" ref="J1110:K1110" si="1110">SUBSTITUTE(H1110, ",", "")</f>
        <v>22</v>
      </c>
      <c r="K1110" s="5" t="str">
        <f t="shared" si="1110"/>
        <v>Rp6220800</v>
      </c>
      <c r="L1110" s="5" t="str">
        <f t="shared" si="3"/>
        <v>6220800</v>
      </c>
    </row>
    <row r="1111">
      <c r="A1111" s="6" t="s">
        <v>2055</v>
      </c>
      <c r="B1111" s="7" t="str">
        <f>HYPERLINK("https://shopee.co.id/NOW-OR-NEVER-BUNDLE-anti-aging-bundling-mencegah-kerutan-dan-melembabkan-i.312614769.9668285224", "https://shopee.co.id/NOW-OR-NEVER-BUNDLE-anti-aging-bundling-mencegah-kerutan-dan-melembabkan-i.312614769.9668285224")</f>
        <v>https://shopee.co.id/NOW-OR-NEVER-BUNDLE-anti-aging-bundling-mencegah-kerutan-dan-melembabkan-i.312614769.9668285224</v>
      </c>
      <c r="C1111" s="6" t="s">
        <v>375</v>
      </c>
      <c r="D1111" s="6" t="s">
        <v>376</v>
      </c>
      <c r="E1111" s="6" t="s">
        <v>12</v>
      </c>
      <c r="F1111" s="6" t="s">
        <v>13</v>
      </c>
      <c r="G1111" s="6" t="s">
        <v>61</v>
      </c>
      <c r="H1111" s="8" t="s">
        <v>2048</v>
      </c>
      <c r="I1111" s="9">
        <v>2922000.0</v>
      </c>
      <c r="J1111" s="5" t="str">
        <f t="shared" ref="J1111:K1111" si="1111">SUBSTITUTE(H1111, ",", "")</f>
        <v>22</v>
      </c>
      <c r="K1111" s="5" t="str">
        <f t="shared" si="1111"/>
        <v>Rp2922000</v>
      </c>
      <c r="L1111" s="5" t="str">
        <f t="shared" si="3"/>
        <v>2922000</v>
      </c>
    </row>
    <row r="1112">
      <c r="A1112" s="6" t="s">
        <v>2056</v>
      </c>
      <c r="B1112" s="7" t="str">
        <f>HYPERLINK("https://shopee.co.id/Avoskin-Miraculous-Retinol-Ampoule-30ml-i.10689.6835643473", "https://shopee.co.id/Avoskin-Miraculous-Retinol-Ampoule-30ml-i.10689.6835643473")</f>
        <v>https://shopee.co.id/Avoskin-Miraculous-Retinol-Ampoule-30ml-i.10689.6835643473</v>
      </c>
      <c r="C1112" s="6" t="s">
        <v>83</v>
      </c>
      <c r="D1112" s="6" t="s">
        <v>745</v>
      </c>
      <c r="E1112" s="6" t="s">
        <v>12</v>
      </c>
      <c r="F1112" s="6" t="s">
        <v>13</v>
      </c>
      <c r="G1112" s="6" t="s">
        <v>61</v>
      </c>
      <c r="H1112" s="8" t="s">
        <v>2048</v>
      </c>
      <c r="I1112" s="9">
        <v>2007440.0</v>
      </c>
      <c r="J1112" s="5" t="str">
        <f t="shared" ref="J1112:K1112" si="1112">SUBSTITUTE(H1112, ",", "")</f>
        <v>22</v>
      </c>
      <c r="K1112" s="5" t="str">
        <f t="shared" si="1112"/>
        <v>Rp2007440</v>
      </c>
      <c r="L1112" s="5" t="str">
        <f t="shared" si="3"/>
        <v>2007440</v>
      </c>
    </row>
    <row r="1113">
      <c r="A1113" s="6" t="s">
        <v>2057</v>
      </c>
      <c r="B1113" s="7" t="str">
        <f>HYPERLINK("https://shopee.co.id/Somethinc-10-Niacinamide-Moisture-Sabi-Beet-Max-Brightening-Serum-20ml-i.825870.8326260388", "https://shopee.co.id/Somethinc-10-Niacinamide-Moisture-Sabi-Beet-Max-Brightening-Serum-20ml-i.825870.8326260388")</f>
        <v>https://shopee.co.id/Somethinc-10-Niacinamide-Moisture-Sabi-Beet-Max-Brightening-Serum-20ml-i.825870.8326260388</v>
      </c>
      <c r="C1113" s="6" t="s">
        <v>45</v>
      </c>
      <c r="D1113" s="6" t="s">
        <v>1184</v>
      </c>
      <c r="E1113" s="6" t="s">
        <v>12</v>
      </c>
      <c r="F1113" s="6" t="s">
        <v>13</v>
      </c>
      <c r="G1113" s="6" t="s">
        <v>21</v>
      </c>
      <c r="H1113" s="8" t="s">
        <v>2048</v>
      </c>
      <c r="I1113" s="9">
        <v>4362200.0</v>
      </c>
      <c r="J1113" s="5" t="str">
        <f t="shared" ref="J1113:K1113" si="1113">SUBSTITUTE(H1113, ",", "")</f>
        <v>22</v>
      </c>
      <c r="K1113" s="5" t="str">
        <f t="shared" si="1113"/>
        <v>Rp4362200</v>
      </c>
      <c r="L1113" s="5" t="str">
        <f t="shared" si="3"/>
        <v>4362200</v>
      </c>
    </row>
    <row r="1114">
      <c r="A1114" s="6" t="s">
        <v>2058</v>
      </c>
      <c r="B1114" s="7" t="str">
        <f>HYPERLINK("https://shopee.co.id/AVOSKIN-YOUR-SKIN-BAE-SERIES-Azeclair-10-Kombucha-3-Niacinamide-2-5-Vaccine-Serum-i.68111.9774985016", "https://shopee.co.id/AVOSKIN-YOUR-SKIN-BAE-SERIES-Azeclair-10-Kombucha-3-Niacinamide-2-5-Vaccine-Serum-i.68111.9774985016")</f>
        <v>https://shopee.co.id/AVOSKIN-YOUR-SKIN-BAE-SERIES-Azeclair-10-Kombucha-3-Niacinamide-2-5-Vaccine-Serum-i.68111.9774985016</v>
      </c>
      <c r="C1114" s="6" t="s">
        <v>83</v>
      </c>
      <c r="D1114" s="6" t="s">
        <v>441</v>
      </c>
      <c r="E1114" s="6" t="s">
        <v>12</v>
      </c>
      <c r="F1114" s="6" t="s">
        <v>13</v>
      </c>
      <c r="G1114" s="6" t="s">
        <v>130</v>
      </c>
      <c r="H1114" s="8" t="s">
        <v>2048</v>
      </c>
      <c r="I1114" s="9">
        <v>2580500.0</v>
      </c>
      <c r="J1114" s="5" t="str">
        <f t="shared" ref="J1114:K1114" si="1114">SUBSTITUTE(H1114, ",", "")</f>
        <v>22</v>
      </c>
      <c r="K1114" s="5" t="str">
        <f t="shared" si="1114"/>
        <v>Rp2580500</v>
      </c>
      <c r="L1114" s="5" t="str">
        <f t="shared" si="3"/>
        <v>2580500</v>
      </c>
    </row>
    <row r="1115">
      <c r="A1115" s="6" t="s">
        <v>2059</v>
      </c>
      <c r="B1115" s="7" t="str">
        <f>HYPERLINK("https://shopee.co.id/SECA-Clarifying-Package-i.373749700.9077584462", "https://shopee.co.id/SECA-Clarifying-Package-i.373749700.9077584462")</f>
        <v>https://shopee.co.id/SECA-Clarifying-Package-i.373749700.9077584462</v>
      </c>
      <c r="C1115" s="6" t="s">
        <v>985</v>
      </c>
      <c r="D1115" s="6" t="s">
        <v>986</v>
      </c>
      <c r="E1115" s="6" t="s">
        <v>12</v>
      </c>
      <c r="F1115" s="6" t="s">
        <v>13</v>
      </c>
      <c r="G1115" s="6" t="s">
        <v>36</v>
      </c>
      <c r="H1115" s="8" t="s">
        <v>2048</v>
      </c>
      <c r="I1115" s="9">
        <v>2693900.0</v>
      </c>
      <c r="J1115" s="5" t="str">
        <f t="shared" ref="J1115:K1115" si="1115">SUBSTITUTE(H1115, ",", "")</f>
        <v>22</v>
      </c>
      <c r="K1115" s="5" t="str">
        <f t="shared" si="1115"/>
        <v>Rp2693900</v>
      </c>
      <c r="L1115" s="5" t="str">
        <f t="shared" si="3"/>
        <v>2693900</v>
      </c>
    </row>
    <row r="1116">
      <c r="A1116" s="6" t="s">
        <v>2060</v>
      </c>
      <c r="B1116" s="7" t="str">
        <f>HYPERLINK("https://shopee.co.id/NATURE-REPUBLIC-Snail-Solution-Skin-Booster-i.78838801.1413605491", "https://shopee.co.id/NATURE-REPUBLIC-Snail-Solution-Skin-Booster-i.78838801.1413605491")</f>
        <v>https://shopee.co.id/NATURE-REPUBLIC-Snail-Solution-Skin-Booster-i.78838801.1413605491</v>
      </c>
      <c r="C1116" s="6" t="s">
        <v>1079</v>
      </c>
      <c r="D1116" s="6" t="s">
        <v>1080</v>
      </c>
      <c r="E1116" s="6" t="s">
        <v>12</v>
      </c>
      <c r="F1116" s="6" t="s">
        <v>13</v>
      </c>
      <c r="G1116" s="6" t="s">
        <v>532</v>
      </c>
      <c r="H1116" s="8" t="s">
        <v>2048</v>
      </c>
      <c r="I1116" s="9">
        <v>2530000.0</v>
      </c>
      <c r="J1116" s="5" t="str">
        <f t="shared" ref="J1116:K1116" si="1116">SUBSTITUTE(H1116, ",", "")</f>
        <v>22</v>
      </c>
      <c r="K1116" s="5" t="str">
        <f t="shared" si="1116"/>
        <v>Rp2530000</v>
      </c>
      <c r="L1116" s="5" t="str">
        <f t="shared" si="3"/>
        <v>2530000</v>
      </c>
    </row>
    <row r="1117">
      <c r="A1117" s="6" t="s">
        <v>2061</v>
      </c>
      <c r="B1117" s="7" t="str">
        <f>HYPERLINK("https://shopee.co.id/Natasha-by-dr-Fredi-Setyawan-L22-Lightening-Oil-Serum-i.40121814.2337496957", "https://shopee.co.id/Natasha-by-dr-Fredi-Setyawan-L22-Lightening-Oil-Serum-i.40121814.2337496957")</f>
        <v>https://shopee.co.id/Natasha-by-dr-Fredi-Setyawan-L22-Lightening-Oil-Serum-i.40121814.2337496957</v>
      </c>
      <c r="C1117" s="6" t="s">
        <v>1752</v>
      </c>
      <c r="D1117" s="6" t="s">
        <v>794</v>
      </c>
      <c r="E1117" s="6" t="s">
        <v>12</v>
      </c>
      <c r="F1117" s="6" t="s">
        <v>13</v>
      </c>
      <c r="G1117" s="6" t="s">
        <v>380</v>
      </c>
      <c r="H1117" s="8" t="s">
        <v>2048</v>
      </c>
      <c r="I1117" s="9">
        <v>1670550.0</v>
      </c>
      <c r="J1117" s="5" t="str">
        <f t="shared" ref="J1117:K1117" si="1117">SUBSTITUTE(H1117, ",", "")</f>
        <v>22</v>
      </c>
      <c r="K1117" s="5" t="str">
        <f t="shared" si="1117"/>
        <v>Rp1670550</v>
      </c>
      <c r="L1117" s="5" t="str">
        <f t="shared" si="3"/>
        <v>1670550</v>
      </c>
    </row>
    <row r="1118">
      <c r="A1118" s="6" t="s">
        <v>2062</v>
      </c>
      <c r="B1118" s="7" t="str">
        <f>HYPERLINK("https://shopee.co.id/DREAMY-by-Nikita-Willy-Acne-Serum-i.120519530.1838179090", "https://shopee.co.id/DREAMY-by-Nikita-Willy-Acne-Serum-i.120519530.1838179090")</f>
        <v>https://shopee.co.id/DREAMY-by-Nikita-Willy-Acne-Serum-i.120519530.1838179090</v>
      </c>
      <c r="C1118" s="6" t="s">
        <v>2063</v>
      </c>
      <c r="D1118" s="6" t="s">
        <v>2064</v>
      </c>
      <c r="E1118" s="6" t="s">
        <v>12</v>
      </c>
      <c r="F1118" s="6" t="s">
        <v>13</v>
      </c>
      <c r="G1118" s="6" t="s">
        <v>296</v>
      </c>
      <c r="H1118" s="8" t="s">
        <v>2048</v>
      </c>
      <c r="I1118" s="9">
        <v>5419600.0</v>
      </c>
      <c r="J1118" s="5" t="str">
        <f t="shared" ref="J1118:K1118" si="1118">SUBSTITUTE(H1118, ",", "")</f>
        <v>22</v>
      </c>
      <c r="K1118" s="5" t="str">
        <f t="shared" si="1118"/>
        <v>Rp5419600</v>
      </c>
      <c r="L1118" s="5" t="str">
        <f t="shared" si="3"/>
        <v>5419600</v>
      </c>
    </row>
    <row r="1119">
      <c r="A1119" s="6" t="s">
        <v>2065</v>
      </c>
      <c r="B1119" s="7" t="str">
        <f>HYPERLINK("https://shopee.co.id/Beautybarme-Lacoco-Dark-Spot-Essence-Bpom-i.28781862.3059835706", "https://shopee.co.id/Beautybarme-Lacoco-Dark-Spot-Essence-Bpom-i.28781862.3059835706")</f>
        <v>https://shopee.co.id/Beautybarme-Lacoco-Dark-Spot-Essence-Bpom-i.28781862.3059835706</v>
      </c>
      <c r="C1119" s="6" t="s">
        <v>501</v>
      </c>
      <c r="D1119" s="6" t="s">
        <v>1189</v>
      </c>
      <c r="E1119" s="6" t="s">
        <v>12</v>
      </c>
      <c r="F1119" s="6" t="s">
        <v>13</v>
      </c>
      <c r="G1119" s="6" t="s">
        <v>1190</v>
      </c>
      <c r="H1119" s="8" t="s">
        <v>2048</v>
      </c>
      <c r="I1119" s="9">
        <v>3153800.0</v>
      </c>
      <c r="J1119" s="5" t="str">
        <f t="shared" ref="J1119:K1119" si="1119">SUBSTITUTE(H1119, ",", "")</f>
        <v>22</v>
      </c>
      <c r="K1119" s="5" t="str">
        <f t="shared" si="1119"/>
        <v>Rp3153800</v>
      </c>
      <c r="L1119" s="5" t="str">
        <f t="shared" si="3"/>
        <v>3153800</v>
      </c>
    </row>
    <row r="1120">
      <c r="A1120" s="6" t="s">
        <v>2066</v>
      </c>
      <c r="B1120" s="7" t="str">
        <f>HYPERLINK("https://shopee.co.id/Radi-Skin-Hyaluronic-Acid-Moist-Serum-i.147850476.2272948581", "https://shopee.co.id/Radi-Skin-Hyaluronic-Acid-Moist-Serum-i.147850476.2272948581")</f>
        <v>https://shopee.co.id/Radi-Skin-Hyaluronic-Acid-Moist-Serum-i.147850476.2272948581</v>
      </c>
      <c r="C1120" s="6" t="s">
        <v>1879</v>
      </c>
      <c r="D1120" s="6" t="s">
        <v>1880</v>
      </c>
      <c r="E1120" s="6" t="s">
        <v>12</v>
      </c>
      <c r="F1120" s="6" t="s">
        <v>13</v>
      </c>
      <c r="G1120" s="6" t="s">
        <v>61</v>
      </c>
      <c r="H1120" s="8" t="s">
        <v>2048</v>
      </c>
      <c r="I1120" s="9">
        <v>3938000.0</v>
      </c>
      <c r="J1120" s="5" t="str">
        <f t="shared" ref="J1120:K1120" si="1120">SUBSTITUTE(H1120, ",", "")</f>
        <v>22</v>
      </c>
      <c r="K1120" s="5" t="str">
        <f t="shared" si="1120"/>
        <v>Rp3938000</v>
      </c>
      <c r="L1120" s="5" t="str">
        <f t="shared" si="3"/>
        <v>3938000</v>
      </c>
    </row>
    <row r="1121">
      <c r="A1121" s="6" t="s">
        <v>2067</v>
      </c>
      <c r="B1121" s="7" t="str">
        <f>HYPERLINK("https://shopee.co.id/Trisia-Soybean-Whitening-Serum-i.250766364.3333372780", "https://shopee.co.id/Trisia-Soybean-Whitening-Serum-i.250766364.3333372780")</f>
        <v>https://shopee.co.id/Trisia-Soybean-Whitening-Serum-i.250766364.3333372780</v>
      </c>
      <c r="C1121" s="6" t="s">
        <v>2068</v>
      </c>
      <c r="D1121" s="6" t="s">
        <v>2069</v>
      </c>
      <c r="E1121" s="6" t="s">
        <v>12</v>
      </c>
      <c r="F1121" s="6" t="s">
        <v>13</v>
      </c>
      <c r="G1121" s="6" t="s">
        <v>61</v>
      </c>
      <c r="H1121" s="8" t="s">
        <v>2048</v>
      </c>
      <c r="I1121" s="9">
        <v>3410000.0</v>
      </c>
      <c r="J1121" s="5" t="str">
        <f t="shared" ref="J1121:K1121" si="1121">SUBSTITUTE(H1121, ",", "")</f>
        <v>22</v>
      </c>
      <c r="K1121" s="5" t="str">
        <f t="shared" si="1121"/>
        <v>Rp3410000</v>
      </c>
      <c r="L1121" s="5" t="str">
        <f t="shared" si="3"/>
        <v>3410000</v>
      </c>
    </row>
    <row r="1122">
      <c r="A1122" s="6" t="s">
        <v>2070</v>
      </c>
      <c r="B1122" s="7" t="str">
        <f>HYPERLINK("https://shopee.co.id/-innisfree-Forest-for-Men-Trouble-Care-All-In-One-Essence-100ML-Serum-Wajah-Perawatan-Wajah-i.61504589.5528571700", "https://shopee.co.id/-innisfree-Forest-for-Men-Trouble-Care-All-In-One-Essence-100ML-Serum-Wajah-Perawatan-Wajah-i.61504589.5528571700")</f>
        <v>https://shopee.co.id/-innisfree-Forest-for-Men-Trouble-Care-All-In-One-Essence-100ML-Serum-Wajah-Perawatan-Wajah-i.61504589.5528571700</v>
      </c>
      <c r="C1122" s="6" t="s">
        <v>294</v>
      </c>
      <c r="D1122" s="6" t="s">
        <v>295</v>
      </c>
      <c r="E1122" s="6" t="s">
        <v>12</v>
      </c>
      <c r="F1122" s="6" t="s">
        <v>13</v>
      </c>
      <c r="G1122" s="6" t="s">
        <v>296</v>
      </c>
      <c r="H1122" s="8" t="s">
        <v>2048</v>
      </c>
      <c r="I1122" s="9">
        <v>3751000.0</v>
      </c>
      <c r="J1122" s="5" t="str">
        <f t="shared" ref="J1122:K1122" si="1122">SUBSTITUTE(H1122, ",", "")</f>
        <v>22</v>
      </c>
      <c r="K1122" s="5" t="str">
        <f t="shared" si="1122"/>
        <v>Rp3751000</v>
      </c>
      <c r="L1122" s="5" t="str">
        <f t="shared" si="3"/>
        <v>3751000</v>
      </c>
    </row>
    <row r="1123">
      <c r="A1123" s="6" t="s">
        <v>2071</v>
      </c>
      <c r="B1123" s="7" t="str">
        <f>HYPERLINK("https://shopee.co.id/NPURE-Face-Essence-Centella-Asiatica-Cica-series-20ml-i.270965687.3468006174", "https://shopee.co.id/NPURE-Face-Essence-Centella-Asiatica-Cica-series-20ml-i.270965687.3468006174")</f>
        <v>https://shopee.co.id/NPURE-Face-Essence-Centella-Asiatica-Cica-series-20ml-i.270965687.3468006174</v>
      </c>
      <c r="C1123" s="6" t="s">
        <v>266</v>
      </c>
      <c r="D1123" s="6" t="s">
        <v>379</v>
      </c>
      <c r="E1123" s="6" t="s">
        <v>12</v>
      </c>
      <c r="F1123" s="6" t="s">
        <v>13</v>
      </c>
      <c r="G1123" s="6" t="s">
        <v>380</v>
      </c>
      <c r="H1123" s="8" t="s">
        <v>2048</v>
      </c>
      <c r="I1123" s="9">
        <v>1767980.0</v>
      </c>
      <c r="J1123" s="5" t="str">
        <f t="shared" ref="J1123:K1123" si="1123">SUBSTITUTE(H1123, ",", "")</f>
        <v>22</v>
      </c>
      <c r="K1123" s="5" t="str">
        <f t="shared" si="1123"/>
        <v>Rp1767980</v>
      </c>
      <c r="L1123" s="5" t="str">
        <f t="shared" si="3"/>
        <v>1767980</v>
      </c>
    </row>
    <row r="1124">
      <c r="A1124" s="6" t="s">
        <v>2072</v>
      </c>
      <c r="B1124" s="7" t="str">
        <f>HYPERLINK("https://shopee.co.id/SNP-PREP-Vitaronic-SOS-Ampoule-i.88399725.9400014358", "https://shopee.co.id/SNP-PREP-Vitaronic-SOS-Ampoule-i.88399725.9400014358")</f>
        <v>https://shopee.co.id/SNP-PREP-Vitaronic-SOS-Ampoule-i.88399725.9400014358</v>
      </c>
      <c r="C1124" s="6" t="s">
        <v>565</v>
      </c>
      <c r="D1124" s="6" t="s">
        <v>566</v>
      </c>
      <c r="E1124" s="6" t="s">
        <v>12</v>
      </c>
      <c r="F1124" s="6" t="s">
        <v>13</v>
      </c>
      <c r="G1124" s="6" t="s">
        <v>98</v>
      </c>
      <c r="H1124" s="8" t="s">
        <v>2048</v>
      </c>
      <c r="I1124" s="9">
        <v>1650000.0</v>
      </c>
      <c r="J1124" s="5" t="str">
        <f t="shared" ref="J1124:K1124" si="1124">SUBSTITUTE(H1124, ",", "")</f>
        <v>22</v>
      </c>
      <c r="K1124" s="5" t="str">
        <f t="shared" si="1124"/>
        <v>Rp1650000</v>
      </c>
      <c r="L1124" s="5" t="str">
        <f t="shared" si="3"/>
        <v>1650000</v>
      </c>
    </row>
    <row r="1125">
      <c r="A1125" s="6" t="s">
        <v>2073</v>
      </c>
      <c r="B1125" s="7" t="str">
        <f>HYPERLINK("https://shopee.co.id/Serum-NR-Serum-Wajah-Glowing-Nature-Reaction-Crystal-Bright-i.375565670.4197447800", "https://shopee.co.id/Serum-NR-Serum-Wajah-Glowing-Nature-Reaction-Crystal-Bright-i.375565670.4197447800")</f>
        <v>https://shopee.co.id/Serum-NR-Serum-Wajah-Glowing-Nature-Reaction-Crystal-Bright-i.375565670.4197447800</v>
      </c>
      <c r="C1125" s="6" t="s">
        <v>530</v>
      </c>
      <c r="D1125" s="6" t="s">
        <v>531</v>
      </c>
      <c r="E1125" s="6" t="s">
        <v>12</v>
      </c>
      <c r="F1125" s="6" t="s">
        <v>13</v>
      </c>
      <c r="G1125" s="6" t="s">
        <v>532</v>
      </c>
      <c r="H1125" s="8" t="s">
        <v>2074</v>
      </c>
      <c r="I1125" s="9">
        <v>706608.0</v>
      </c>
      <c r="J1125" s="5" t="str">
        <f t="shared" ref="J1125:K1125" si="1125">SUBSTITUTE(H1125, ",", "")</f>
        <v>21</v>
      </c>
      <c r="K1125" s="5" t="str">
        <f t="shared" si="1125"/>
        <v>Rp706608</v>
      </c>
      <c r="L1125" s="5" t="str">
        <f t="shared" si="3"/>
        <v>706608</v>
      </c>
    </row>
    <row r="1126">
      <c r="A1126" s="6" t="s">
        <v>2075</v>
      </c>
      <c r="B1126" s="7" t="str">
        <f>HYPERLINK("https://shopee.co.id/L-Occitane-Reine-Blanche-Whitening-Rich-Cream-50-mL--i.88079439.1480571620", "https://shopee.co.id/L-Occitane-Reine-Blanche-Whitening-Rich-Cream-50-mL--i.88079439.1480571620")</f>
        <v>https://shopee.co.id/L-Occitane-Reine-Blanche-Whitening-Rich-Cream-50-mL--i.88079439.1480571620</v>
      </c>
      <c r="C1126" s="6" t="s">
        <v>579</v>
      </c>
      <c r="D1126" s="6" t="s">
        <v>580</v>
      </c>
      <c r="E1126" s="6" t="s">
        <v>12</v>
      </c>
      <c r="F1126" s="6" t="s">
        <v>13</v>
      </c>
      <c r="G1126" s="6" t="s">
        <v>532</v>
      </c>
      <c r="H1126" s="8" t="s">
        <v>2074</v>
      </c>
      <c r="I1126" s="9">
        <v>6615000.0</v>
      </c>
      <c r="J1126" s="5" t="str">
        <f t="shared" ref="J1126:K1126" si="1126">SUBSTITUTE(H1126, ",", "")</f>
        <v>21</v>
      </c>
      <c r="K1126" s="5" t="str">
        <f t="shared" si="1126"/>
        <v>Rp6615000</v>
      </c>
      <c r="L1126" s="5" t="str">
        <f t="shared" si="3"/>
        <v>6615000</v>
      </c>
    </row>
    <row r="1127">
      <c r="A1127" s="6" t="s">
        <v>2076</v>
      </c>
      <c r="B1127" s="7" t="str">
        <f>HYPERLINK("https://shopee.co.id/Bio-Essence-Bio-Bounce-Collagen-Skin-Enhancer-100-ml-i.63822287.1671468812", "https://shopee.co.id/Bio-Essence-Bio-Bounce-Collagen-Skin-Enhancer-100-ml-i.63822287.1671468812")</f>
        <v>https://shopee.co.id/Bio-Essence-Bio-Bounce-Collagen-Skin-Enhancer-100-ml-i.63822287.1671468812</v>
      </c>
      <c r="C1127" s="6" t="s">
        <v>1254</v>
      </c>
      <c r="D1127" s="6" t="s">
        <v>835</v>
      </c>
      <c r="E1127" s="6" t="s">
        <v>12</v>
      </c>
      <c r="F1127" s="6" t="s">
        <v>13</v>
      </c>
      <c r="G1127" s="6" t="s">
        <v>61</v>
      </c>
      <c r="H1127" s="8" t="s">
        <v>2074</v>
      </c>
      <c r="I1127" s="9">
        <v>1335150.0</v>
      </c>
      <c r="J1127" s="5" t="str">
        <f t="shared" ref="J1127:K1127" si="1127">SUBSTITUTE(H1127, ",", "")</f>
        <v>21</v>
      </c>
      <c r="K1127" s="5" t="str">
        <f t="shared" si="1127"/>
        <v>Rp1335150</v>
      </c>
      <c r="L1127" s="5" t="str">
        <f t="shared" si="3"/>
        <v>1335150</v>
      </c>
    </row>
    <row r="1128">
      <c r="A1128" s="6" t="s">
        <v>2077</v>
      </c>
      <c r="B1128" s="7" t="str">
        <f>HYPERLINK("https://shopee.co.id/LV-OVERCONCENTRATED-LIFT-SERUM-5ML-TUBE-i.70687187.6371788053", "https://shopee.co.id/LV-OVERCONCENTRATED-LIFT-SERUM-5ML-TUBE-i.70687187.6371788053")</f>
        <v>https://shopee.co.id/LV-OVERCONCENTRATED-LIFT-SERUM-5ML-TUBE-i.70687187.6371788053</v>
      </c>
      <c r="C1128" s="6" t="s">
        <v>1672</v>
      </c>
      <c r="D1128" s="6" t="s">
        <v>1673</v>
      </c>
      <c r="E1128" s="6" t="s">
        <v>12</v>
      </c>
      <c r="F1128" s="6" t="s">
        <v>13</v>
      </c>
      <c r="G1128" s="6" t="s">
        <v>61</v>
      </c>
      <c r="H1128" s="8" t="s">
        <v>2074</v>
      </c>
      <c r="I1128" s="9">
        <v>1614377.0</v>
      </c>
      <c r="J1128" s="5" t="str">
        <f t="shared" ref="J1128:K1128" si="1128">SUBSTITUTE(H1128, ",", "")</f>
        <v>21</v>
      </c>
      <c r="K1128" s="5" t="str">
        <f t="shared" si="1128"/>
        <v>Rp1614377</v>
      </c>
      <c r="L1128" s="5" t="str">
        <f t="shared" si="3"/>
        <v>1614377</v>
      </c>
    </row>
    <row r="1129">
      <c r="A1129" s="6" t="s">
        <v>2078</v>
      </c>
      <c r="B1129" s="7" t="str">
        <f>HYPERLINK("https://shopee.co.id/Humphrey-Vitamin-C-Collagen-Plus-Serum-20ml-Kulit-Kering--i.83349.273099", "https://shopee.co.id/Humphrey-Vitamin-C-Collagen-Plus-Serum-20ml-Kulit-Kering--i.83349.273099")</f>
        <v>https://shopee.co.id/Humphrey-Vitamin-C-Collagen-Plus-Serum-20ml-Kulit-Kering--i.83349.273099</v>
      </c>
      <c r="C1129" s="6" t="s">
        <v>1832</v>
      </c>
      <c r="D1129" s="6" t="s">
        <v>1833</v>
      </c>
      <c r="E1129" s="6" t="s">
        <v>12</v>
      </c>
      <c r="F1129" s="6" t="s">
        <v>13</v>
      </c>
      <c r="G1129" s="6" t="s">
        <v>21</v>
      </c>
      <c r="H1129" s="8" t="s">
        <v>2074</v>
      </c>
      <c r="I1129" s="9">
        <v>4049600.0</v>
      </c>
      <c r="J1129" s="5" t="str">
        <f t="shared" ref="J1129:K1129" si="1129">SUBSTITUTE(H1129, ",", "")</f>
        <v>21</v>
      </c>
      <c r="K1129" s="5" t="str">
        <f t="shared" si="1129"/>
        <v>Rp4049600</v>
      </c>
      <c r="L1129" s="5" t="str">
        <f t="shared" si="3"/>
        <v>4049600</v>
      </c>
    </row>
    <row r="1130">
      <c r="A1130" s="6" t="s">
        <v>154</v>
      </c>
      <c r="B1130" s="7" t="str">
        <f>HYPERLINK("https://shopee.co.id/Avoskin-Miraculous-Refining-Serum-i.214358077.8227346907", "https://shopee.co.id/Avoskin-Miraculous-Refining-Serum-i.214358077.8227346907")</f>
        <v>https://shopee.co.id/Avoskin-Miraculous-Refining-Serum-i.214358077.8227346907</v>
      </c>
      <c r="C1130" s="6" t="s">
        <v>83</v>
      </c>
      <c r="D1130" s="6" t="s">
        <v>1259</v>
      </c>
      <c r="E1130" s="6" t="s">
        <v>12</v>
      </c>
      <c r="F1130" s="6" t="s">
        <v>13</v>
      </c>
      <c r="G1130" s="6" t="s">
        <v>469</v>
      </c>
      <c r="H1130" s="8" t="s">
        <v>2074</v>
      </c>
      <c r="I1130" s="9">
        <v>3045000.0</v>
      </c>
      <c r="J1130" s="5" t="str">
        <f t="shared" ref="J1130:K1130" si="1130">SUBSTITUTE(H1130, ",", "")</f>
        <v>21</v>
      </c>
      <c r="K1130" s="5" t="str">
        <f t="shared" si="1130"/>
        <v>Rp3045000</v>
      </c>
      <c r="L1130" s="5" t="str">
        <f t="shared" si="3"/>
        <v>3045000</v>
      </c>
    </row>
    <row r="1131">
      <c r="A1131" s="6" t="s">
        <v>2079</v>
      </c>
      <c r="B1131" s="7" t="str">
        <f>HYPERLINK("https://shopee.co.id/L-OREAL-L-Oreal-Paris-Revitalift-Crystal-Micro-Essence-65ml-i.30736001.5237175735", "https://shopee.co.id/L-OREAL-L-Oreal-Paris-Revitalift-Crystal-Micro-Essence-65ml-i.30736001.5237175735")</f>
        <v>https://shopee.co.id/L-OREAL-L-Oreal-Paris-Revitalift-Crystal-Micro-Essence-65ml-i.30736001.5237175735</v>
      </c>
      <c r="C1131" s="6" t="s">
        <v>105</v>
      </c>
      <c r="D1131" s="6" t="s">
        <v>335</v>
      </c>
      <c r="E1131" s="6" t="s">
        <v>12</v>
      </c>
      <c r="F1131" s="6" t="s">
        <v>13</v>
      </c>
      <c r="G1131" s="6" t="s">
        <v>36</v>
      </c>
      <c r="H1131" s="8" t="s">
        <v>2074</v>
      </c>
      <c r="I1131" s="9">
        <v>5496200.0</v>
      </c>
      <c r="J1131" s="5" t="str">
        <f t="shared" ref="J1131:K1131" si="1131">SUBSTITUTE(H1131, ",", "")</f>
        <v>21</v>
      </c>
      <c r="K1131" s="5" t="str">
        <f t="shared" si="1131"/>
        <v>Rp5496200</v>
      </c>
      <c r="L1131" s="5" t="str">
        <f t="shared" si="3"/>
        <v>5496200</v>
      </c>
    </row>
    <row r="1132">
      <c r="A1132" s="6" t="s">
        <v>2080</v>
      </c>
      <c r="B1132" s="7" t="str">
        <f>HYPERLINK("https://shopee.co.id/KF-Skin-Serum-Darkspot-i.298365554.5452071931", "https://shopee.co.id/KF-Skin-Serum-Darkspot-i.298365554.5452071931")</f>
        <v>https://shopee.co.id/KF-Skin-Serum-Darkspot-i.298365554.5452071931</v>
      </c>
      <c r="C1132" s="6" t="s">
        <v>1290</v>
      </c>
      <c r="D1132" s="6" t="s">
        <v>1291</v>
      </c>
      <c r="E1132" s="6" t="s">
        <v>12</v>
      </c>
      <c r="F1132" s="6" t="s">
        <v>13</v>
      </c>
      <c r="G1132" s="6" t="s">
        <v>1292</v>
      </c>
      <c r="H1132" s="8" t="s">
        <v>2074</v>
      </c>
      <c r="I1132" s="9">
        <v>3384990.0</v>
      </c>
      <c r="J1132" s="5" t="str">
        <f t="shared" ref="J1132:K1132" si="1132">SUBSTITUTE(H1132, ",", "")</f>
        <v>21</v>
      </c>
      <c r="K1132" s="5" t="str">
        <f t="shared" si="1132"/>
        <v>Rp3384990</v>
      </c>
      <c r="L1132" s="5" t="str">
        <f t="shared" si="3"/>
        <v>3384990</v>
      </c>
    </row>
    <row r="1133">
      <c r="A1133" s="6" t="s">
        <v>2081</v>
      </c>
      <c r="B1133" s="7" t="str">
        <f>HYPERLINK("https://shopee.co.id/Ozora-Timeless-Skin-Vitamin-C-Serum-i.33050847.4370564655", "https://shopee.co.id/Ozora-Timeless-Skin-Vitamin-C-Serum-i.33050847.4370564655")</f>
        <v>https://shopee.co.id/Ozora-Timeless-Skin-Vitamin-C-Serum-i.33050847.4370564655</v>
      </c>
      <c r="C1133" s="6" t="s">
        <v>2082</v>
      </c>
      <c r="D1133" s="6" t="s">
        <v>2083</v>
      </c>
      <c r="E1133" s="6" t="s">
        <v>12</v>
      </c>
      <c r="F1133" s="6" t="s">
        <v>13</v>
      </c>
      <c r="G1133" s="6" t="s">
        <v>85</v>
      </c>
      <c r="H1133" s="8" t="s">
        <v>2074</v>
      </c>
      <c r="I1133" s="9">
        <v>5445000.0</v>
      </c>
      <c r="J1133" s="5" t="str">
        <f t="shared" ref="J1133:K1133" si="1133">SUBSTITUTE(H1133, ",", "")</f>
        <v>21</v>
      </c>
      <c r="K1133" s="5" t="str">
        <f t="shared" si="1133"/>
        <v>Rp5445000</v>
      </c>
      <c r="L1133" s="5" t="str">
        <f t="shared" si="3"/>
        <v>5445000</v>
      </c>
    </row>
    <row r="1134">
      <c r="A1134" s="6" t="s">
        <v>2084</v>
      </c>
      <c r="B1134" s="7" t="str">
        <f>HYPERLINK("https://shopee.co.id/SCARLETT-WHITENING-GLOWTENING-Serum-15ml-i.270965687.4492485738", "https://shopee.co.id/SCARLETT-WHITENING-GLOWTENING-Serum-15ml-i.270965687.4492485738")</f>
        <v>https://shopee.co.id/SCARLETT-WHITENING-GLOWTENING-Serum-15ml-i.270965687.4492485738</v>
      </c>
      <c r="C1134" s="6" t="s">
        <v>19</v>
      </c>
      <c r="D1134" s="6" t="s">
        <v>379</v>
      </c>
      <c r="E1134" s="6" t="s">
        <v>12</v>
      </c>
      <c r="F1134" s="6" t="s">
        <v>13</v>
      </c>
      <c r="G1134" s="6" t="s">
        <v>380</v>
      </c>
      <c r="H1134" s="8" t="s">
        <v>2074</v>
      </c>
      <c r="I1134" s="9">
        <v>3969000.0</v>
      </c>
      <c r="J1134" s="5" t="str">
        <f t="shared" ref="J1134:K1134" si="1134">SUBSTITUTE(H1134, ",", "")</f>
        <v>21</v>
      </c>
      <c r="K1134" s="5" t="str">
        <f t="shared" si="1134"/>
        <v>Rp3969000</v>
      </c>
      <c r="L1134" s="5" t="str">
        <f t="shared" si="3"/>
        <v>3969000</v>
      </c>
    </row>
    <row r="1135">
      <c r="A1135" s="6" t="s">
        <v>2085</v>
      </c>
      <c r="B1135" s="7" t="str">
        <f>HYPERLINK("https://shopee.co.id/For-Skin-s-Sake-FSS-Vitamin-C-Serum-i.99513899.1620713040", "https://shopee.co.id/For-Skin-s-Sake-FSS-Vitamin-C-Serum-i.99513899.1620713040")</f>
        <v>https://shopee.co.id/For-Skin-s-Sake-FSS-Vitamin-C-Serum-i.99513899.1620713040</v>
      </c>
      <c r="C1135" s="6" t="s">
        <v>1772</v>
      </c>
      <c r="D1135" s="6" t="s">
        <v>1773</v>
      </c>
      <c r="E1135" s="6" t="s">
        <v>12</v>
      </c>
      <c r="F1135" s="6" t="s">
        <v>13</v>
      </c>
      <c r="G1135" s="6" t="s">
        <v>130</v>
      </c>
      <c r="H1135" s="8" t="s">
        <v>2074</v>
      </c>
      <c r="I1135" s="9">
        <v>4285000.0</v>
      </c>
      <c r="J1135" s="5" t="str">
        <f t="shared" ref="J1135:K1135" si="1135">SUBSTITUTE(H1135, ",", "")</f>
        <v>21</v>
      </c>
      <c r="K1135" s="5" t="str">
        <f t="shared" si="1135"/>
        <v>Rp4285000</v>
      </c>
      <c r="L1135" s="5" t="str">
        <f t="shared" si="3"/>
        <v>4285000</v>
      </c>
    </row>
    <row r="1136">
      <c r="A1136" s="6" t="s">
        <v>2086</v>
      </c>
      <c r="B1136" s="7" t="str">
        <f>HYPERLINK("https://shopee.co.id/-Yehwadam-Hwansaenggo-Ultimate-Rejuvenating-Serum-45ml-Original-i.34671748.8114522211", "https://shopee.co.id/-Yehwadam-Hwansaenggo-Ultimate-Rejuvenating-Serum-45ml-Original-i.34671748.8114522211")</f>
        <v>https://shopee.co.id/-Yehwadam-Hwansaenggo-Ultimate-Rejuvenating-Serum-45ml-Original-i.34671748.8114522211</v>
      </c>
      <c r="C1136" s="6" t="s">
        <v>1217</v>
      </c>
      <c r="D1136" s="6" t="s">
        <v>1218</v>
      </c>
      <c r="E1136" s="6" t="s">
        <v>12</v>
      </c>
      <c r="F1136" s="6" t="s">
        <v>13</v>
      </c>
      <c r="G1136" s="6" t="s">
        <v>61</v>
      </c>
      <c r="H1136" s="8" t="s">
        <v>2074</v>
      </c>
      <c r="I1136" s="9">
        <v>3490500.0</v>
      </c>
      <c r="J1136" s="5" t="str">
        <f t="shared" ref="J1136:K1136" si="1136">SUBSTITUTE(H1136, ",", "")</f>
        <v>21</v>
      </c>
      <c r="K1136" s="5" t="str">
        <f t="shared" si="1136"/>
        <v>Rp3490500</v>
      </c>
      <c r="L1136" s="5" t="str">
        <f t="shared" si="3"/>
        <v>3490500</v>
      </c>
    </row>
    <row r="1137">
      <c r="A1137" s="6" t="s">
        <v>2087</v>
      </c>
      <c r="B1137" s="7" t="str">
        <f>HYPERLINK("https://shopee.co.id/Iunik-Beta-Glucan-Power-Moisture-Serum-50ml-i.825870.3621746757", "https://shopee.co.id/Iunik-Beta-Glucan-Power-Moisture-Serum-50ml-i.825870.3621746757")</f>
        <v>https://shopee.co.id/Iunik-Beta-Glucan-Power-Moisture-Serum-50ml-i.825870.3621746757</v>
      </c>
      <c r="C1137" s="6" t="s">
        <v>1658</v>
      </c>
      <c r="D1137" s="6" t="s">
        <v>1184</v>
      </c>
      <c r="E1137" s="6" t="s">
        <v>12</v>
      </c>
      <c r="F1137" s="6" t="s">
        <v>13</v>
      </c>
      <c r="G1137" s="6" t="s">
        <v>21</v>
      </c>
      <c r="H1137" s="8" t="s">
        <v>2074</v>
      </c>
      <c r="I1137" s="9">
        <v>6076000.0</v>
      </c>
      <c r="J1137" s="5" t="str">
        <f t="shared" ref="J1137:K1137" si="1137">SUBSTITUTE(H1137, ",", "")</f>
        <v>21</v>
      </c>
      <c r="K1137" s="5" t="str">
        <f t="shared" si="1137"/>
        <v>Rp6076000</v>
      </c>
      <c r="L1137" s="5" t="str">
        <f t="shared" si="3"/>
        <v>6076000</v>
      </c>
    </row>
    <row r="1138">
      <c r="A1138" s="6" t="s">
        <v>455</v>
      </c>
      <c r="B1138" s="7" t="str">
        <f>HYPERLINK("https://shopee.co.id/Benton-Snail-Bee-High-Content-Essence-60ml-i.270965687.3736978455", "https://shopee.co.id/Benton-Snail-Bee-High-Content-Essence-60ml-i.270965687.3736978455")</f>
        <v>https://shopee.co.id/Benton-Snail-Bee-High-Content-Essence-60ml-i.270965687.3736978455</v>
      </c>
      <c r="C1138" s="6" t="s">
        <v>456</v>
      </c>
      <c r="D1138" s="6" t="s">
        <v>379</v>
      </c>
      <c r="E1138" s="6" t="s">
        <v>12</v>
      </c>
      <c r="F1138" s="6" t="s">
        <v>13</v>
      </c>
      <c r="G1138" s="6" t="s">
        <v>380</v>
      </c>
      <c r="H1138" s="8" t="s">
        <v>2074</v>
      </c>
      <c r="I1138" s="9">
        <v>2499000.0</v>
      </c>
      <c r="J1138" s="5" t="str">
        <f t="shared" ref="J1138:K1138" si="1138">SUBSTITUTE(H1138, ",", "")</f>
        <v>21</v>
      </c>
      <c r="K1138" s="5" t="str">
        <f t="shared" si="1138"/>
        <v>Rp2499000</v>
      </c>
      <c r="L1138" s="5" t="str">
        <f t="shared" si="3"/>
        <v>2499000</v>
      </c>
    </row>
    <row r="1139">
      <c r="A1139" s="6" t="s">
        <v>2088</v>
      </c>
      <c r="B1139" s="7" t="str">
        <f>HYPERLINK("https://shopee.co.id/SOMEBYMI-Galactomyces-Pure-Vitamin-C-Glow-Serum-30ml-i.270965687.5092356811", "https://shopee.co.id/SOMEBYMI-Galactomyces-Pure-Vitamin-C-Glow-Serum-30ml-i.270965687.5092356811")</f>
        <v>https://shopee.co.id/SOMEBYMI-Galactomyces-Pure-Vitamin-C-Glow-Serum-30ml-i.270965687.5092356811</v>
      </c>
      <c r="C1139" s="6" t="s">
        <v>213</v>
      </c>
      <c r="D1139" s="6" t="s">
        <v>379</v>
      </c>
      <c r="E1139" s="6" t="s">
        <v>12</v>
      </c>
      <c r="F1139" s="6" t="s">
        <v>13</v>
      </c>
      <c r="G1139" s="6" t="s">
        <v>380</v>
      </c>
      <c r="H1139" s="8" t="s">
        <v>2074</v>
      </c>
      <c r="I1139" s="9">
        <v>4289250.0</v>
      </c>
      <c r="J1139" s="5" t="str">
        <f t="shared" ref="J1139:K1139" si="1139">SUBSTITUTE(H1139, ",", "")</f>
        <v>21</v>
      </c>
      <c r="K1139" s="5" t="str">
        <f t="shared" si="1139"/>
        <v>Rp4289250</v>
      </c>
      <c r="L1139" s="5" t="str">
        <f t="shared" si="3"/>
        <v>4289250</v>
      </c>
    </row>
    <row r="1140">
      <c r="A1140" s="6" t="s">
        <v>2089</v>
      </c>
      <c r="B1140" s="7" t="str">
        <f>HYPERLINK("https://shopee.co.id/Hada-Labo-Shirojyun-ULT-Whit-Essence-30-gr-i.78713320.3214677669", "https://shopee.co.id/Hada-Labo-Shirojyun-ULT-Whit-Essence-30-gr-i.78713320.3214677669")</f>
        <v>https://shopee.co.id/Hada-Labo-Shirojyun-ULT-Whit-Essence-30-gr-i.78713320.3214677669</v>
      </c>
      <c r="C1140" s="6" t="s">
        <v>2090</v>
      </c>
      <c r="D1140" s="6" t="s">
        <v>831</v>
      </c>
      <c r="E1140" s="6" t="s">
        <v>12</v>
      </c>
      <c r="F1140" s="6" t="s">
        <v>13</v>
      </c>
      <c r="G1140" s="6" t="s">
        <v>61</v>
      </c>
      <c r="H1140" s="8" t="s">
        <v>2074</v>
      </c>
      <c r="I1140" s="9">
        <v>7757000.0</v>
      </c>
      <c r="J1140" s="5" t="str">
        <f t="shared" ref="J1140:K1140" si="1140">SUBSTITUTE(H1140, ",", "")</f>
        <v>21</v>
      </c>
      <c r="K1140" s="5" t="str">
        <f t="shared" si="1140"/>
        <v>Rp7757000</v>
      </c>
      <c r="L1140" s="5" t="str">
        <f t="shared" si="3"/>
        <v>7757000</v>
      </c>
    </row>
    <row r="1141">
      <c r="A1141" s="6" t="s">
        <v>2091</v>
      </c>
      <c r="B1141" s="7" t="str">
        <f>HYPERLINK("https://shopee.co.id/Histoire-Naturelle-Lactobacillus-Best-Couple-i.315746431.8134516856", "https://shopee.co.id/Histoire-Naturelle-Lactobacillus-Best-Couple-i.315746431.8134516856")</f>
        <v>https://shopee.co.id/Histoire-Naturelle-Lactobacillus-Best-Couple-i.315746431.8134516856</v>
      </c>
      <c r="C1141" s="6" t="s">
        <v>1854</v>
      </c>
      <c r="D1141" s="6" t="s">
        <v>1855</v>
      </c>
      <c r="E1141" s="6" t="s">
        <v>12</v>
      </c>
      <c r="F1141" s="6" t="s">
        <v>13</v>
      </c>
      <c r="G1141" s="6" t="s">
        <v>130</v>
      </c>
      <c r="H1141" s="8" t="s">
        <v>2074</v>
      </c>
      <c r="I1141" s="9">
        <v>4971000.0</v>
      </c>
      <c r="J1141" s="5" t="str">
        <f t="shared" ref="J1141:K1141" si="1141">SUBSTITUTE(H1141, ",", "")</f>
        <v>21</v>
      </c>
      <c r="K1141" s="5" t="str">
        <f t="shared" si="1141"/>
        <v>Rp4971000</v>
      </c>
      <c r="L1141" s="5" t="str">
        <f t="shared" si="3"/>
        <v>4971000</v>
      </c>
    </row>
    <row r="1142">
      <c r="A1142" s="6" t="s">
        <v>2092</v>
      </c>
      <c r="B1142" s="7" t="str">
        <f>HYPERLINK("https://shopee.co.id/NEOGEN-DERMALOGY-REAL-C-SERUM-i.61523009.4944159618", "https://shopee.co.id/NEOGEN-DERMALOGY-REAL-C-SERUM-i.61523009.4944159618")</f>
        <v>https://shopee.co.id/NEOGEN-DERMALOGY-REAL-C-SERUM-i.61523009.4944159618</v>
      </c>
      <c r="C1142" s="6" t="s">
        <v>2093</v>
      </c>
      <c r="D1142" s="6" t="s">
        <v>2094</v>
      </c>
      <c r="E1142" s="6" t="s">
        <v>12</v>
      </c>
      <c r="F1142" s="6" t="s">
        <v>13</v>
      </c>
      <c r="G1142" s="6" t="s">
        <v>98</v>
      </c>
      <c r="H1142" s="8" t="s">
        <v>2074</v>
      </c>
      <c r="I1142" s="9">
        <v>3285600.0</v>
      </c>
      <c r="J1142" s="5" t="str">
        <f t="shared" ref="J1142:K1142" si="1142">SUBSTITUTE(H1142, ",", "")</f>
        <v>21</v>
      </c>
      <c r="K1142" s="5" t="str">
        <f t="shared" si="1142"/>
        <v>Rp3285600</v>
      </c>
      <c r="L1142" s="5" t="str">
        <f t="shared" si="3"/>
        <v>3285600</v>
      </c>
    </row>
    <row r="1143">
      <c r="A1143" s="6" t="s">
        <v>2095</v>
      </c>
      <c r="B1143" s="7" t="str">
        <f>HYPERLINK("https://shopee.co.id/HAYEJIN-Blessing-of-Sprout-Enriched-Serum-Twinpack-2pcs-i.318720131.8079878803", "https://shopee.co.id/HAYEJIN-Blessing-of-Sprout-Enriched-Serum-Twinpack-2pcs-i.318720131.8079878803")</f>
        <v>https://shopee.co.id/HAYEJIN-Blessing-of-Sprout-Enriched-Serum-Twinpack-2pcs-i.318720131.8079878803</v>
      </c>
      <c r="C1143" s="6" t="s">
        <v>761</v>
      </c>
      <c r="D1143" s="6" t="s">
        <v>823</v>
      </c>
      <c r="E1143" s="6" t="s">
        <v>12</v>
      </c>
      <c r="F1143" s="6" t="s">
        <v>13</v>
      </c>
      <c r="G1143" s="6" t="s">
        <v>98</v>
      </c>
      <c r="H1143" s="8" t="s">
        <v>2074</v>
      </c>
      <c r="I1143" s="9">
        <v>3981810.0</v>
      </c>
      <c r="J1143" s="5" t="str">
        <f t="shared" ref="J1143:K1143" si="1143">SUBSTITUTE(H1143, ",", "")</f>
        <v>21</v>
      </c>
      <c r="K1143" s="5" t="str">
        <f t="shared" si="1143"/>
        <v>Rp3981810</v>
      </c>
      <c r="L1143" s="5" t="str">
        <f t="shared" si="3"/>
        <v>3981810</v>
      </c>
    </row>
    <row r="1144">
      <c r="A1144" s="6" t="s">
        <v>2096</v>
      </c>
      <c r="B1144" s="7" t="str">
        <f>HYPERLINK("https://shopee.co.id/Lysca-White-Serum-20ml-Whitening-Booster-i.267190835.8051641027", "https://shopee.co.id/Lysca-White-Serum-20ml-Whitening-Booster-i.267190835.8051641027")</f>
        <v>https://shopee.co.id/Lysca-White-Serum-20ml-Whitening-Booster-i.267190835.8051641027</v>
      </c>
      <c r="C1144" s="6" t="s">
        <v>2097</v>
      </c>
      <c r="D1144" s="6" t="s">
        <v>2098</v>
      </c>
      <c r="E1144" s="6" t="s">
        <v>12</v>
      </c>
      <c r="F1144" s="6" t="s">
        <v>13</v>
      </c>
      <c r="G1144" s="6" t="s">
        <v>115</v>
      </c>
      <c r="H1144" s="8" t="s">
        <v>2074</v>
      </c>
      <c r="I1144" s="9">
        <v>3549000.0</v>
      </c>
      <c r="J1144" s="5" t="str">
        <f t="shared" ref="J1144:K1144" si="1144">SUBSTITUTE(H1144, ",", "")</f>
        <v>21</v>
      </c>
      <c r="K1144" s="5" t="str">
        <f t="shared" si="1144"/>
        <v>Rp3549000</v>
      </c>
      <c r="L1144" s="5" t="str">
        <f t="shared" si="3"/>
        <v>3549000</v>
      </c>
    </row>
    <row r="1145">
      <c r="A1145" s="6" t="s">
        <v>2099</v>
      </c>
      <c r="B1145" s="7" t="str">
        <f>HYPERLINK("https://shopee.co.id/Somethinc-Level-1-Retinol-20ml-i.50948181.3971047199", "https://shopee.co.id/Somethinc-Level-1-Retinol-20ml-i.50948181.3971047199")</f>
        <v>https://shopee.co.id/Somethinc-Level-1-Retinol-20ml-i.50948181.3971047199</v>
      </c>
      <c r="C1145" s="6" t="s">
        <v>45</v>
      </c>
      <c r="D1145" s="6" t="s">
        <v>1129</v>
      </c>
      <c r="E1145" s="6" t="s">
        <v>12</v>
      </c>
      <c r="F1145" s="6" t="s">
        <v>13</v>
      </c>
      <c r="G1145" s="6" t="s">
        <v>1130</v>
      </c>
      <c r="H1145" s="8" t="s">
        <v>2074</v>
      </c>
      <c r="I1145" s="9">
        <v>2709000.0</v>
      </c>
      <c r="J1145" s="5" t="str">
        <f t="shared" ref="J1145:K1145" si="1145">SUBSTITUTE(H1145, ",", "")</f>
        <v>21</v>
      </c>
      <c r="K1145" s="5" t="str">
        <f t="shared" si="1145"/>
        <v>Rp2709000</v>
      </c>
      <c r="L1145" s="5" t="str">
        <f t="shared" si="3"/>
        <v>2709000</v>
      </c>
    </row>
    <row r="1146">
      <c r="A1146" s="6" t="s">
        <v>2100</v>
      </c>
      <c r="B1146" s="7" t="str">
        <f>HYPERLINK("https://shopee.co.id/Yves-Rocher-Anti-Age-Global-The-Anti-Aging-Illuminating-Care-15-ML-i.70687187.6401496096", "https://shopee.co.id/Yves-Rocher-Anti-Age-Global-The-Anti-Aging-Illuminating-Care-15-ML-i.70687187.6401496096")</f>
        <v>https://shopee.co.id/Yves-Rocher-Anti-Age-Global-The-Anti-Aging-Illuminating-Care-15-ML-i.70687187.6401496096</v>
      </c>
      <c r="C1146" s="6" t="s">
        <v>1672</v>
      </c>
      <c r="D1146" s="6" t="s">
        <v>1673</v>
      </c>
      <c r="E1146" s="6" t="s">
        <v>12</v>
      </c>
      <c r="F1146" s="6" t="s">
        <v>13</v>
      </c>
      <c r="G1146" s="6" t="s">
        <v>61</v>
      </c>
      <c r="H1146" s="8" t="s">
        <v>2074</v>
      </c>
      <c r="I1146" s="9">
        <v>487800.0</v>
      </c>
      <c r="J1146" s="5" t="str">
        <f t="shared" ref="J1146:K1146" si="1146">SUBSTITUTE(H1146, ",", "")</f>
        <v>21</v>
      </c>
      <c r="K1146" s="5" t="str">
        <f t="shared" si="1146"/>
        <v>Rp487800</v>
      </c>
      <c r="L1146" s="5" t="str">
        <f t="shared" si="3"/>
        <v>487800</v>
      </c>
    </row>
    <row r="1147">
      <c r="A1147" s="6" t="s">
        <v>2101</v>
      </c>
      <c r="B1147" s="7" t="str">
        <f>HYPERLINK("https://shopee.co.id/Rojukiss-Orange-C-Bright-Pore-Care-Serum-size-8-ml-Edit-by-Sociolla-i.224957239.9751326924", "https://shopee.co.id/Rojukiss-Orange-C-Bright-Pore-Care-Serum-size-8-ml-Edit-by-Sociolla-i.224957239.9751326924")</f>
        <v>https://shopee.co.id/Rojukiss-Orange-C-Bright-Pore-Care-Serum-size-8-ml-Edit-by-Sociolla-i.224957239.9751326924</v>
      </c>
      <c r="C1147" s="6" t="s">
        <v>1508</v>
      </c>
      <c r="D1147" s="6" t="s">
        <v>492</v>
      </c>
      <c r="E1147" s="6" t="s">
        <v>12</v>
      </c>
      <c r="F1147" s="6" t="s">
        <v>13</v>
      </c>
      <c r="G1147" s="6" t="s">
        <v>21</v>
      </c>
      <c r="H1147" s="8" t="s">
        <v>2074</v>
      </c>
      <c r="I1147" s="9">
        <v>3467490.0</v>
      </c>
      <c r="J1147" s="5" t="str">
        <f t="shared" ref="J1147:K1147" si="1147">SUBSTITUTE(H1147, ",", "")</f>
        <v>21</v>
      </c>
      <c r="K1147" s="5" t="str">
        <f t="shared" si="1147"/>
        <v>Rp3467490</v>
      </c>
      <c r="L1147" s="5" t="str">
        <f t="shared" si="3"/>
        <v>3467490</v>
      </c>
    </row>
    <row r="1148">
      <c r="A1148" s="6" t="s">
        <v>2102</v>
      </c>
      <c r="B1148" s="7" t="str">
        <f>HYPERLINK("https://shopee.co.id/ElsheSkin-Radiant-Supple-Serum-Daily-Protection-for-Acne-i.9035345.6685118955", "https://shopee.co.id/ElsheSkin-Radiant-Supple-Serum-Daily-Protection-for-Acne-i.9035345.6685118955")</f>
        <v>https://shopee.co.id/ElsheSkin-Radiant-Supple-Serum-Daily-Protection-for-Acne-i.9035345.6685118955</v>
      </c>
      <c r="C1148" s="6" t="s">
        <v>135</v>
      </c>
      <c r="D1148" s="6" t="s">
        <v>136</v>
      </c>
      <c r="E1148" s="6" t="s">
        <v>12</v>
      </c>
      <c r="F1148" s="6" t="s">
        <v>13</v>
      </c>
      <c r="G1148" s="6" t="s">
        <v>80</v>
      </c>
      <c r="H1148" s="8" t="s">
        <v>2103</v>
      </c>
      <c r="I1148" s="9">
        <v>1266990.0</v>
      </c>
      <c r="J1148" s="5" t="str">
        <f t="shared" ref="J1148:K1148" si="1148">SUBSTITUTE(H1148, ",", "")</f>
        <v>20</v>
      </c>
      <c r="K1148" s="5" t="str">
        <f t="shared" si="1148"/>
        <v>Rp1266990</v>
      </c>
      <c r="L1148" s="5" t="str">
        <f t="shared" si="3"/>
        <v>1266990</v>
      </c>
    </row>
    <row r="1149">
      <c r="A1149" s="6" t="s">
        <v>2104</v>
      </c>
      <c r="B1149" s="7" t="str">
        <f>HYPERLINK("https://shopee.co.id/HUXLEY-Essence-Grab-Water-30ml-i.199277424.4606630653", "https://shopee.co.id/HUXLEY-Essence-Grab-Water-30ml-i.199277424.4606630653")</f>
        <v>https://shopee.co.id/HUXLEY-Essence-Grab-Water-30ml-i.199277424.4606630653</v>
      </c>
      <c r="C1149" s="6" t="s">
        <v>1635</v>
      </c>
      <c r="D1149" s="6" t="s">
        <v>1884</v>
      </c>
      <c r="E1149" s="6" t="s">
        <v>12</v>
      </c>
      <c r="F1149" s="6" t="s">
        <v>13</v>
      </c>
      <c r="G1149" s="6" t="s">
        <v>80</v>
      </c>
      <c r="H1149" s="8" t="s">
        <v>2103</v>
      </c>
      <c r="I1149" s="9">
        <v>6920000.0</v>
      </c>
      <c r="J1149" s="5" t="str">
        <f t="shared" ref="J1149:K1149" si="1149">SUBSTITUTE(H1149, ",", "")</f>
        <v>20</v>
      </c>
      <c r="K1149" s="5" t="str">
        <f t="shared" si="1149"/>
        <v>Rp6920000</v>
      </c>
      <c r="L1149" s="5" t="str">
        <f t="shared" si="3"/>
        <v>6920000</v>
      </c>
    </row>
    <row r="1150">
      <c r="A1150" s="6" t="s">
        <v>2105</v>
      </c>
      <c r="B1150" s="7" t="str">
        <f>HYPERLINK("https://shopee.co.id/Beauty-Package-Retinoid-Overnight-Oil-Niacinamide-Serum-i.124549994.9842526833", "https://shopee.co.id/Beauty-Package-Retinoid-Overnight-Oil-Niacinamide-Serum-i.124549994.9842526833")</f>
        <v>https://shopee.co.id/Beauty-Package-Retinoid-Overnight-Oil-Niacinamide-Serum-i.124549994.9842526833</v>
      </c>
      <c r="C1150" s="6" t="s">
        <v>807</v>
      </c>
      <c r="D1150" s="6" t="s">
        <v>808</v>
      </c>
      <c r="E1150" s="6" t="s">
        <v>12</v>
      </c>
      <c r="F1150" s="6" t="s">
        <v>13</v>
      </c>
      <c r="G1150" s="6" t="s">
        <v>61</v>
      </c>
      <c r="H1150" s="8" t="s">
        <v>2103</v>
      </c>
      <c r="I1150" s="9">
        <v>1862000.0</v>
      </c>
      <c r="J1150" s="5" t="str">
        <f t="shared" ref="J1150:K1150" si="1150">SUBSTITUTE(H1150, ",", "")</f>
        <v>20</v>
      </c>
      <c r="K1150" s="5" t="str">
        <f t="shared" si="1150"/>
        <v>Rp1862000</v>
      </c>
      <c r="L1150" s="5" t="str">
        <f t="shared" si="3"/>
        <v>1862000</v>
      </c>
    </row>
    <row r="1151">
      <c r="A1151" s="6" t="s">
        <v>2106</v>
      </c>
      <c r="B1151" s="7" t="str">
        <f>HYPERLINK("https://shopee.co.id/TRUEVE-BHA-Cica-Acne-Serum-30ml-i.270965687.8022971618", "https://shopee.co.id/TRUEVE-BHA-Cica-Acne-Serum-30ml-i.270965687.8022971618")</f>
        <v>https://shopee.co.id/TRUEVE-BHA-Cica-Acne-Serum-30ml-i.270965687.8022971618</v>
      </c>
      <c r="C1151" s="6" t="s">
        <v>34</v>
      </c>
      <c r="D1151" s="6" t="s">
        <v>379</v>
      </c>
      <c r="E1151" s="6" t="s">
        <v>12</v>
      </c>
      <c r="F1151" s="6" t="s">
        <v>13</v>
      </c>
      <c r="G1151" s="6" t="s">
        <v>380</v>
      </c>
      <c r="H1151" s="8" t="s">
        <v>2103</v>
      </c>
      <c r="I1151" s="9">
        <v>510000.0</v>
      </c>
      <c r="J1151" s="5" t="str">
        <f t="shared" ref="J1151:K1151" si="1151">SUBSTITUTE(H1151, ",", "")</f>
        <v>20</v>
      </c>
      <c r="K1151" s="5" t="str">
        <f t="shared" si="1151"/>
        <v>Rp510000</v>
      </c>
      <c r="L1151" s="5" t="str">
        <f t="shared" si="3"/>
        <v>510000</v>
      </c>
    </row>
    <row r="1152">
      <c r="A1152" s="6" t="s">
        <v>2107</v>
      </c>
      <c r="B1152" s="7" t="str">
        <f>HYPERLINK("https://shopee.co.id/NPURE-Cica-Face-Essence-i.68111.5835620153", "https://shopee.co.id/NPURE-Cica-Face-Essence-i.68111.5835620153")</f>
        <v>https://shopee.co.id/NPURE-Cica-Face-Essence-i.68111.5835620153</v>
      </c>
      <c r="C1152" s="6" t="s">
        <v>266</v>
      </c>
      <c r="D1152" s="6" t="s">
        <v>441</v>
      </c>
      <c r="E1152" s="6" t="s">
        <v>12</v>
      </c>
      <c r="F1152" s="6" t="s">
        <v>13</v>
      </c>
      <c r="G1152" s="6" t="s">
        <v>130</v>
      </c>
      <c r="H1152" s="8" t="s">
        <v>2103</v>
      </c>
      <c r="I1152" s="9">
        <v>4200235.0</v>
      </c>
      <c r="J1152" s="5" t="str">
        <f t="shared" ref="J1152:K1152" si="1152">SUBSTITUTE(H1152, ",", "")</f>
        <v>20</v>
      </c>
      <c r="K1152" s="5" t="str">
        <f t="shared" si="1152"/>
        <v>Rp4200235</v>
      </c>
      <c r="L1152" s="5" t="str">
        <f t="shared" si="3"/>
        <v>4200235</v>
      </c>
    </row>
    <row r="1153">
      <c r="A1153" s="6" t="s">
        <v>2108</v>
      </c>
      <c r="B1153" s="7" t="str">
        <f>HYPERLINK("https://shopee.co.id/Bioderma-Atoderm-Creme-200ml-Hydrabio-Serum-40ml-Skin-Barrier-Set-i.134089202.8760140135", "https://shopee.co.id/Bioderma-Atoderm-Creme-200ml-Hydrabio-Serum-40ml-Skin-Barrier-Set-i.134089202.8760140135")</f>
        <v>https://shopee.co.id/Bioderma-Atoderm-Creme-200ml-Hydrabio-Serum-40ml-Skin-Barrier-Set-i.134089202.8760140135</v>
      </c>
      <c r="C1153" s="6" t="s">
        <v>1387</v>
      </c>
      <c r="D1153" s="6" t="s">
        <v>1388</v>
      </c>
      <c r="E1153" s="6" t="s">
        <v>12</v>
      </c>
      <c r="F1153" s="6" t="s">
        <v>13</v>
      </c>
      <c r="G1153" s="6" t="s">
        <v>130</v>
      </c>
      <c r="H1153" s="8" t="s">
        <v>2103</v>
      </c>
      <c r="I1153" s="9">
        <v>3366000.0</v>
      </c>
      <c r="J1153" s="5" t="str">
        <f t="shared" ref="J1153:K1153" si="1153">SUBSTITUTE(H1153, ",", "")</f>
        <v>20</v>
      </c>
      <c r="K1153" s="5" t="str">
        <f t="shared" si="1153"/>
        <v>Rp3366000</v>
      </c>
      <c r="L1153" s="5" t="str">
        <f t="shared" si="3"/>
        <v>3366000</v>
      </c>
    </row>
    <row r="1154">
      <c r="A1154" s="6" t="s">
        <v>2109</v>
      </c>
      <c r="B1154" s="7" t="str">
        <f>HYPERLINK("https://shopee.co.id/Mamonde-Vital-Vitamin-Essence-100ml-i.160417197.2413130414", "https://shopee.co.id/Mamonde-Vital-Vitamin-Essence-100ml-i.160417197.2413130414")</f>
        <v>https://shopee.co.id/Mamonde-Vital-Vitamin-Essence-100ml-i.160417197.2413130414</v>
      </c>
      <c r="C1154" s="6" t="s">
        <v>447</v>
      </c>
      <c r="D1154" s="6" t="s">
        <v>448</v>
      </c>
      <c r="E1154" s="6" t="s">
        <v>12</v>
      </c>
      <c r="F1154" s="6" t="s">
        <v>13</v>
      </c>
      <c r="G1154" s="6" t="s">
        <v>61</v>
      </c>
      <c r="H1154" s="8" t="s">
        <v>2103</v>
      </c>
      <c r="I1154" s="9">
        <v>2000650.0</v>
      </c>
      <c r="J1154" s="5" t="str">
        <f t="shared" ref="J1154:K1154" si="1154">SUBSTITUTE(H1154, ",", "")</f>
        <v>20</v>
      </c>
      <c r="K1154" s="5" t="str">
        <f t="shared" si="1154"/>
        <v>Rp2000650</v>
      </c>
      <c r="L1154" s="5" t="str">
        <f t="shared" si="3"/>
        <v>2000650</v>
      </c>
    </row>
    <row r="1155">
      <c r="A1155" s="6" t="s">
        <v>2110</v>
      </c>
      <c r="B1155" s="7" t="str">
        <f>HYPERLINK("https://shopee.co.id/Humprey-Anti-Acne-Plus-Serum-20ml-Kulit-Jerawat--i.83349.1808009665", "https://shopee.co.id/Humprey-Anti-Acne-Plus-Serum-20ml-Kulit-Jerawat--i.83349.1808009665")</f>
        <v>https://shopee.co.id/Humprey-Anti-Acne-Plus-Serum-20ml-Kulit-Jerawat--i.83349.1808009665</v>
      </c>
      <c r="C1155" s="6" t="s">
        <v>1832</v>
      </c>
      <c r="D1155" s="6" t="s">
        <v>1833</v>
      </c>
      <c r="E1155" s="6" t="s">
        <v>12</v>
      </c>
      <c r="F1155" s="6" t="s">
        <v>13</v>
      </c>
      <c r="G1155" s="6" t="s">
        <v>21</v>
      </c>
      <c r="H1155" s="8" t="s">
        <v>2103</v>
      </c>
      <c r="I1155" s="9">
        <v>1800000.0</v>
      </c>
      <c r="J1155" s="5" t="str">
        <f t="shared" ref="J1155:K1155" si="1155">SUBSTITUTE(H1155, ",", "")</f>
        <v>20</v>
      </c>
      <c r="K1155" s="5" t="str">
        <f t="shared" si="1155"/>
        <v>Rp1800000</v>
      </c>
      <c r="L1155" s="5" t="str">
        <f t="shared" si="3"/>
        <v>1800000</v>
      </c>
    </row>
    <row r="1156">
      <c r="A1156" s="6" t="s">
        <v>2111</v>
      </c>
      <c r="B1156" s="7" t="str">
        <f>HYPERLINK("https://shopee.co.id/BIYU-Hyaluronic-Acid-Serum-Pelembab--i.164501749.4019192016", "https://shopee.co.id/BIYU-Hyaluronic-Acid-Serum-Pelembab--i.164501749.4019192016")</f>
        <v>https://shopee.co.id/BIYU-Hyaluronic-Acid-Serum-Pelembab--i.164501749.4019192016</v>
      </c>
      <c r="C1156" s="6" t="s">
        <v>2112</v>
      </c>
      <c r="D1156" s="6" t="s">
        <v>2113</v>
      </c>
      <c r="E1156" s="6" t="s">
        <v>12</v>
      </c>
      <c r="F1156" s="6" t="s">
        <v>13</v>
      </c>
      <c r="G1156" s="6" t="s">
        <v>80</v>
      </c>
      <c r="H1156" s="8" t="s">
        <v>2103</v>
      </c>
      <c r="I1156" s="9">
        <v>1700000.0</v>
      </c>
      <c r="J1156" s="5" t="str">
        <f t="shared" ref="J1156:K1156" si="1156">SUBSTITUTE(H1156, ",", "")</f>
        <v>20</v>
      </c>
      <c r="K1156" s="5" t="str">
        <f t="shared" si="1156"/>
        <v>Rp1700000</v>
      </c>
      <c r="L1156" s="5" t="str">
        <f t="shared" si="3"/>
        <v>1700000</v>
      </c>
    </row>
    <row r="1157">
      <c r="A1157" s="6" t="s">
        <v>2114</v>
      </c>
      <c r="B1157" s="7" t="str">
        <f>HYPERLINK("https://shopee.co.id/So-Natural-Red-Peel-Tingle-Serum-35ml-i.317091141.7855801803", "https://shopee.co.id/So-Natural-Red-Peel-Tingle-Serum-35ml-i.317091141.7855801803")</f>
        <v>https://shopee.co.id/So-Natural-Red-Peel-Tingle-Serum-35ml-i.317091141.7855801803</v>
      </c>
      <c r="C1157" s="6" t="s">
        <v>2115</v>
      </c>
      <c r="D1157" s="6" t="s">
        <v>2116</v>
      </c>
      <c r="E1157" s="6" t="s">
        <v>12</v>
      </c>
      <c r="F1157" s="6" t="s">
        <v>13</v>
      </c>
      <c r="G1157" s="6" t="s">
        <v>21</v>
      </c>
      <c r="H1157" s="8" t="s">
        <v>2103</v>
      </c>
      <c r="I1157" s="9">
        <v>8459100.0</v>
      </c>
      <c r="J1157" s="5" t="str">
        <f t="shared" ref="J1157:K1157" si="1157">SUBSTITUTE(H1157, ",", "")</f>
        <v>20</v>
      </c>
      <c r="K1157" s="5" t="str">
        <f t="shared" si="1157"/>
        <v>Rp8459100</v>
      </c>
      <c r="L1157" s="5" t="str">
        <f t="shared" si="3"/>
        <v>8459100</v>
      </c>
    </row>
    <row r="1158">
      <c r="A1158" s="6" t="s">
        <v>2117</v>
      </c>
      <c r="B1158" s="7" t="str">
        <f>HYPERLINK("https://shopee.co.id/Yoqueen-Beauty-Light-Booster-Serum-30ml-i.48380572.7739084617", "https://shopee.co.id/Yoqueen-Beauty-Light-Booster-Serum-30ml-i.48380572.7739084617")</f>
        <v>https://shopee.co.id/Yoqueen-Beauty-Light-Booster-Serum-30ml-i.48380572.7739084617</v>
      </c>
      <c r="C1158" s="6" t="s">
        <v>2118</v>
      </c>
      <c r="D1158" s="6" t="s">
        <v>2119</v>
      </c>
      <c r="E1158" s="6" t="s">
        <v>12</v>
      </c>
      <c r="F1158" s="6" t="s">
        <v>13</v>
      </c>
      <c r="G1158" s="6" t="s">
        <v>2120</v>
      </c>
      <c r="H1158" s="8" t="s">
        <v>2103</v>
      </c>
      <c r="I1158" s="9">
        <v>2270000.0</v>
      </c>
      <c r="J1158" s="5" t="str">
        <f t="shared" ref="J1158:K1158" si="1158">SUBSTITUTE(H1158, ",", "")</f>
        <v>20</v>
      </c>
      <c r="K1158" s="5" t="str">
        <f t="shared" si="1158"/>
        <v>Rp2270000</v>
      </c>
      <c r="L1158" s="5" t="str">
        <f t="shared" si="3"/>
        <v>2270000</v>
      </c>
    </row>
    <row r="1159">
      <c r="A1159" s="6" t="s">
        <v>2121</v>
      </c>
      <c r="B1159" s="7" t="str">
        <f>HYPERLINK("https://shopee.co.id/Make-Over-Hydration-Serum-i.30736001.7337317450", "https://shopee.co.id/Make-Over-Hydration-Serum-i.30736001.7337317450")</f>
        <v>https://shopee.co.id/Make-Over-Hydration-Serum-i.30736001.7337317450</v>
      </c>
      <c r="C1159" s="6" t="s">
        <v>290</v>
      </c>
      <c r="D1159" s="6" t="s">
        <v>335</v>
      </c>
      <c r="E1159" s="6" t="s">
        <v>12</v>
      </c>
      <c r="F1159" s="6" t="s">
        <v>13</v>
      </c>
      <c r="G1159" s="6" t="s">
        <v>36</v>
      </c>
      <c r="H1159" s="8" t="s">
        <v>2103</v>
      </c>
      <c r="I1159" s="9">
        <v>4860000.0</v>
      </c>
      <c r="J1159" s="5" t="str">
        <f t="shared" ref="J1159:K1159" si="1159">SUBSTITUTE(H1159, ",", "")</f>
        <v>20</v>
      </c>
      <c r="K1159" s="5" t="str">
        <f t="shared" si="1159"/>
        <v>Rp4860000</v>
      </c>
      <c r="L1159" s="5" t="str">
        <f t="shared" si="3"/>
        <v>4860000</v>
      </c>
    </row>
    <row r="1160">
      <c r="A1160" s="6" t="s">
        <v>2122</v>
      </c>
      <c r="B1160" s="7" t="str">
        <f>HYPERLINK("https://shopee.co.id/I-Face-Vitamin-C-10-Ml-Iface-Serum-Vitamin-C-Serum-Pemutih-i.175375997.2913244330", "https://shopee.co.id/I-Face-Vitamin-C-10-Ml-Iface-Serum-Vitamin-C-Serum-Pemutih-i.175375997.2913244330")</f>
        <v>https://shopee.co.id/I-Face-Vitamin-C-10-Ml-Iface-Serum-Vitamin-C-Serum-Pemutih-i.175375997.2913244330</v>
      </c>
      <c r="C1160" s="6" t="s">
        <v>1116</v>
      </c>
      <c r="D1160" s="6" t="s">
        <v>2123</v>
      </c>
      <c r="E1160" s="6" t="s">
        <v>12</v>
      </c>
      <c r="F1160" s="6" t="s">
        <v>13</v>
      </c>
      <c r="G1160" s="6" t="s">
        <v>36</v>
      </c>
      <c r="H1160" s="8" t="s">
        <v>2103</v>
      </c>
      <c r="I1160" s="9">
        <v>1287000.0</v>
      </c>
      <c r="J1160" s="5" t="str">
        <f t="shared" ref="J1160:K1160" si="1160">SUBSTITUTE(H1160, ",", "")</f>
        <v>20</v>
      </c>
      <c r="K1160" s="5" t="str">
        <f t="shared" si="1160"/>
        <v>Rp1287000</v>
      </c>
      <c r="L1160" s="5" t="str">
        <f t="shared" si="3"/>
        <v>1287000</v>
      </c>
    </row>
    <row r="1161">
      <c r="A1161" s="6" t="s">
        <v>2124</v>
      </c>
      <c r="B1161" s="7" t="str">
        <f>HYPERLINK("https://shopee.co.id/Calysta-Serum-Untuk-Kulit-Berjerawat-i.3188555.1878297056", "https://shopee.co.id/Calysta-Serum-Untuk-Kulit-Berjerawat-i.3188555.1878297056")</f>
        <v>https://shopee.co.id/Calysta-Serum-Untuk-Kulit-Berjerawat-i.3188555.1878297056</v>
      </c>
      <c r="C1161" s="6" t="s">
        <v>1954</v>
      </c>
      <c r="D1161" s="6" t="s">
        <v>1692</v>
      </c>
      <c r="E1161" s="6" t="s">
        <v>12</v>
      </c>
      <c r="F1161" s="6" t="s">
        <v>13</v>
      </c>
      <c r="G1161" s="6" t="s">
        <v>241</v>
      </c>
      <c r="H1161" s="8" t="s">
        <v>2103</v>
      </c>
      <c r="I1161" s="9">
        <v>5856240.0</v>
      </c>
      <c r="J1161" s="5" t="str">
        <f t="shared" ref="J1161:K1161" si="1161">SUBSTITUTE(H1161, ",", "")</f>
        <v>20</v>
      </c>
      <c r="K1161" s="5" t="str">
        <f t="shared" si="1161"/>
        <v>Rp5856240</v>
      </c>
      <c r="L1161" s="5" t="str">
        <f t="shared" si="3"/>
        <v>5856240</v>
      </c>
    </row>
    <row r="1162">
      <c r="A1162" s="6" t="s">
        <v>1409</v>
      </c>
      <c r="B1162" s="7" t="str">
        <f>HYPERLINK("https://shopee.co.id/Azarine-AHA-BHA-Miraclear-Herbal-Peeling-Serum-20ml-i.65323877.10519054606", "https://shopee.co.id/Azarine-AHA-BHA-Miraclear-Herbal-Peeling-Serum-20ml-i.65323877.10519054606")</f>
        <v>https://shopee.co.id/Azarine-AHA-BHA-Miraclear-Herbal-Peeling-Serum-20ml-i.65323877.10519054606</v>
      </c>
      <c r="C1162" s="6" t="s">
        <v>233</v>
      </c>
      <c r="D1162" s="6" t="s">
        <v>1600</v>
      </c>
      <c r="E1162" s="6" t="s">
        <v>12</v>
      </c>
      <c r="F1162" s="6" t="s">
        <v>13</v>
      </c>
      <c r="G1162" s="6" t="s">
        <v>296</v>
      </c>
      <c r="H1162" s="8" t="s">
        <v>2103</v>
      </c>
      <c r="I1162" s="9">
        <v>1090200.0</v>
      </c>
      <c r="J1162" s="5" t="str">
        <f t="shared" ref="J1162:K1162" si="1162">SUBSTITUTE(H1162, ",", "")</f>
        <v>20</v>
      </c>
      <c r="K1162" s="5" t="str">
        <f t="shared" si="1162"/>
        <v>Rp1090200</v>
      </c>
      <c r="L1162" s="5" t="str">
        <f t="shared" si="3"/>
        <v>1090200</v>
      </c>
    </row>
    <row r="1163">
      <c r="A1163" s="6" t="s">
        <v>2125</v>
      </c>
      <c r="B1163" s="7" t="str">
        <f>HYPERLINK("https://shopee.co.id/ElsheSkin-Special-Bundle-for-You-i.9035345.11248164450", "https://shopee.co.id/ElsheSkin-Special-Bundle-for-You-i.9035345.11248164450")</f>
        <v>https://shopee.co.id/ElsheSkin-Special-Bundle-for-You-i.9035345.11248164450</v>
      </c>
      <c r="C1163" s="6" t="s">
        <v>135</v>
      </c>
      <c r="D1163" s="6" t="s">
        <v>136</v>
      </c>
      <c r="E1163" s="6" t="s">
        <v>12</v>
      </c>
      <c r="F1163" s="6" t="s">
        <v>13</v>
      </c>
      <c r="G1163" s="6" t="s">
        <v>80</v>
      </c>
      <c r="H1163" s="8" t="s">
        <v>2103</v>
      </c>
      <c r="I1163" s="9">
        <v>4956900.0</v>
      </c>
      <c r="J1163" s="5" t="str">
        <f t="shared" ref="J1163:K1163" si="1163">SUBSTITUTE(H1163, ",", "")</f>
        <v>20</v>
      </c>
      <c r="K1163" s="5" t="str">
        <f t="shared" si="1163"/>
        <v>Rp4956900</v>
      </c>
      <c r="L1163" s="5" t="str">
        <f t="shared" si="3"/>
        <v>4956900</v>
      </c>
    </row>
    <row r="1164">
      <c r="A1164" s="6" t="s">
        <v>2126</v>
      </c>
      <c r="B1164" s="7" t="str">
        <f>HYPERLINK("https://shopee.co.id/Saffbeautys-Serum-Brightening-Saffron-Niacinamide-Serum-Wajah-Serum-Muka-Glowing-Bpom-i.61316931.6328465064", "https://shopee.co.id/Saffbeautys-Serum-Brightening-Saffron-Niacinamide-Serum-Wajah-Serum-Muka-Glowing-Bpom-i.61316931.6328465064")</f>
        <v>https://shopee.co.id/Saffbeautys-Serum-Brightening-Saffron-Niacinamide-Serum-Wajah-Serum-Muka-Glowing-Bpom-i.61316931.6328465064</v>
      </c>
      <c r="C1164" s="6" t="s">
        <v>2127</v>
      </c>
      <c r="D1164" s="6" t="s">
        <v>2128</v>
      </c>
      <c r="E1164" s="6" t="s">
        <v>12</v>
      </c>
      <c r="F1164" s="6" t="s">
        <v>13</v>
      </c>
      <c r="G1164" s="6" t="s">
        <v>409</v>
      </c>
      <c r="H1164" s="8" t="s">
        <v>2103</v>
      </c>
      <c r="I1164" s="9">
        <v>2021600.0</v>
      </c>
      <c r="J1164" s="5" t="str">
        <f t="shared" ref="J1164:K1164" si="1164">SUBSTITUTE(H1164, ",", "")</f>
        <v>20</v>
      </c>
      <c r="K1164" s="5" t="str">
        <f t="shared" si="1164"/>
        <v>Rp2021600</v>
      </c>
      <c r="L1164" s="5" t="str">
        <f t="shared" si="3"/>
        <v>2021600</v>
      </c>
    </row>
    <row r="1165">
      <c r="A1165" s="6" t="s">
        <v>2129</v>
      </c>
      <c r="B1165" s="7" t="str">
        <f>HYPERLINK("https://shopee.co.id/NATURE-REPUBLIC-Snail-Solution-Essence-i.78838801.1586738824", "https://shopee.co.id/NATURE-REPUBLIC-Snail-Solution-Essence-i.78838801.1586738824")</f>
        <v>https://shopee.co.id/NATURE-REPUBLIC-Snail-Solution-Essence-i.78838801.1586738824</v>
      </c>
      <c r="C1165" s="6" t="s">
        <v>1079</v>
      </c>
      <c r="D1165" s="6" t="s">
        <v>1080</v>
      </c>
      <c r="E1165" s="6" t="s">
        <v>12</v>
      </c>
      <c r="F1165" s="6" t="s">
        <v>13</v>
      </c>
      <c r="G1165" s="6" t="s">
        <v>532</v>
      </c>
      <c r="H1165" s="8" t="s">
        <v>2103</v>
      </c>
      <c r="I1165" s="9">
        <v>8369900.0</v>
      </c>
      <c r="J1165" s="5" t="str">
        <f t="shared" ref="J1165:K1165" si="1165">SUBSTITUTE(H1165, ",", "")</f>
        <v>20</v>
      </c>
      <c r="K1165" s="5" t="str">
        <f t="shared" si="1165"/>
        <v>Rp8369900</v>
      </c>
      <c r="L1165" s="5" t="str">
        <f t="shared" si="3"/>
        <v>8369900</v>
      </c>
    </row>
    <row r="1166">
      <c r="A1166" s="6" t="s">
        <v>2130</v>
      </c>
      <c r="B1166" s="7" t="str">
        <f>HYPERLINK("https://shopee.co.id/SECA-Acne-Fighter-Bundle-BHA-Bakuchiol--i.373749700.8587242104", "https://shopee.co.id/SECA-Acne-Fighter-Bundle-BHA-Bakuchiol--i.373749700.8587242104")</f>
        <v>https://shopee.co.id/SECA-Acne-Fighter-Bundle-BHA-Bakuchiol--i.373749700.8587242104</v>
      </c>
      <c r="C1166" s="6" t="s">
        <v>985</v>
      </c>
      <c r="D1166" s="6" t="s">
        <v>986</v>
      </c>
      <c r="E1166" s="6" t="s">
        <v>12</v>
      </c>
      <c r="F1166" s="6" t="s">
        <v>13</v>
      </c>
      <c r="G1166" s="6" t="s">
        <v>36</v>
      </c>
      <c r="H1166" s="8" t="s">
        <v>2103</v>
      </c>
      <c r="I1166" s="9">
        <v>2380000.0</v>
      </c>
      <c r="J1166" s="5" t="str">
        <f t="shared" ref="J1166:K1166" si="1166">SUBSTITUTE(H1166, ",", "")</f>
        <v>20</v>
      </c>
      <c r="K1166" s="5" t="str">
        <f t="shared" si="1166"/>
        <v>Rp2380000</v>
      </c>
      <c r="L1166" s="5" t="str">
        <f t="shared" si="3"/>
        <v>2380000</v>
      </c>
    </row>
    <row r="1167">
      <c r="A1167" s="6" t="s">
        <v>2131</v>
      </c>
      <c r="B1167" s="7" t="str">
        <f>HYPERLINK("https://shopee.co.id/Energy-Serum-MS-GLOW-FOR-MEN-i.218954892.7515978220", "https://shopee.co.id/Energy-Serum-MS-GLOW-FOR-MEN-i.218954892.7515978220")</f>
        <v>https://shopee.co.id/Energy-Serum-MS-GLOW-FOR-MEN-i.218954892.7515978220</v>
      </c>
      <c r="C1167" s="6" t="s">
        <v>96</v>
      </c>
      <c r="D1167" s="6" t="s">
        <v>2132</v>
      </c>
      <c r="E1167" s="6" t="s">
        <v>12</v>
      </c>
      <c r="F1167" s="6" t="s">
        <v>13</v>
      </c>
      <c r="G1167" s="6" t="s">
        <v>532</v>
      </c>
      <c r="H1167" s="8" t="s">
        <v>2103</v>
      </c>
      <c r="I1167" s="9">
        <v>619800.0</v>
      </c>
      <c r="J1167" s="5" t="str">
        <f t="shared" ref="J1167:K1167" si="1167">SUBSTITUTE(H1167, ",", "")</f>
        <v>20</v>
      </c>
      <c r="K1167" s="5" t="str">
        <f t="shared" si="1167"/>
        <v>Rp619800</v>
      </c>
      <c r="L1167" s="5" t="str">
        <f t="shared" si="3"/>
        <v>619800</v>
      </c>
    </row>
    <row r="1168">
      <c r="A1168" s="6" t="s">
        <v>2133</v>
      </c>
      <c r="B1168" s="7" t="str">
        <f>HYPERLINK("https://shopee.co.id/Sulwhasoo-First-Care-Activating-Serum-15ml-i.274949344.8507362666", "https://shopee.co.id/Sulwhasoo-First-Care-Activating-Serum-15ml-i.274949344.8507362666")</f>
        <v>https://shopee.co.id/Sulwhasoo-First-Care-Activating-Serum-15ml-i.274949344.8507362666</v>
      </c>
      <c r="C1168" s="6" t="s">
        <v>282</v>
      </c>
      <c r="D1168" s="6" t="s">
        <v>283</v>
      </c>
      <c r="E1168" s="6" t="s">
        <v>12</v>
      </c>
      <c r="F1168" s="6" t="s">
        <v>13</v>
      </c>
      <c r="G1168" s="6" t="s">
        <v>61</v>
      </c>
      <c r="H1168" s="8" t="s">
        <v>2103</v>
      </c>
      <c r="I1168" s="9">
        <v>1301400.0</v>
      </c>
      <c r="J1168" s="5" t="str">
        <f t="shared" ref="J1168:K1168" si="1168">SUBSTITUTE(H1168, ",", "")</f>
        <v>20</v>
      </c>
      <c r="K1168" s="5" t="str">
        <f t="shared" si="1168"/>
        <v>Rp1301400</v>
      </c>
      <c r="L1168" s="5" t="str">
        <f t="shared" si="3"/>
        <v>1301400</v>
      </c>
    </row>
    <row r="1169">
      <c r="A1169" s="6" t="s">
        <v>2134</v>
      </c>
      <c r="B1169" s="7" t="str">
        <f>HYPERLINK("https://shopee.co.id/Jarkeen-Double-Brightening-Treatment-i.147936010.4566947544", "https://shopee.co.id/Jarkeen-Double-Brightening-Treatment-i.147936010.4566947544")</f>
        <v>https://shopee.co.id/Jarkeen-Double-Brightening-Treatment-i.147936010.4566947544</v>
      </c>
      <c r="C1169" s="6" t="s">
        <v>738</v>
      </c>
      <c r="D1169" s="6" t="s">
        <v>739</v>
      </c>
      <c r="E1169" s="6" t="s">
        <v>12</v>
      </c>
      <c r="F1169" s="6" t="s">
        <v>13</v>
      </c>
      <c r="G1169" s="6" t="s">
        <v>241</v>
      </c>
      <c r="H1169" s="8" t="s">
        <v>2103</v>
      </c>
      <c r="I1169" s="9">
        <v>1282500.0</v>
      </c>
      <c r="J1169" s="5" t="str">
        <f t="shared" ref="J1169:K1169" si="1169">SUBSTITUTE(H1169, ",", "")</f>
        <v>20</v>
      </c>
      <c r="K1169" s="5" t="str">
        <f t="shared" si="1169"/>
        <v>Rp1282500</v>
      </c>
      <c r="L1169" s="5" t="str">
        <f t="shared" si="3"/>
        <v>1282500</v>
      </c>
    </row>
    <row r="1170">
      <c r="A1170" s="6" t="s">
        <v>2135</v>
      </c>
      <c r="B1170" s="7" t="str">
        <f>HYPERLINK("https://shopee.co.id/SOMETHINC-Bright-Skin-Pair-20-ml-i.68111.13905900970", "https://shopee.co.id/SOMETHINC-Bright-Skin-Pair-20-ml-i.68111.13905900970")</f>
        <v>https://shopee.co.id/SOMETHINC-Bright-Skin-Pair-20-ml-i.68111.13905900970</v>
      </c>
      <c r="C1170" s="6" t="s">
        <v>45</v>
      </c>
      <c r="D1170" s="6" t="s">
        <v>441</v>
      </c>
      <c r="E1170" s="6" t="s">
        <v>12</v>
      </c>
      <c r="F1170" s="6" t="s">
        <v>13</v>
      </c>
      <c r="G1170" s="6" t="s">
        <v>130</v>
      </c>
      <c r="H1170" s="8" t="s">
        <v>2103</v>
      </c>
      <c r="I1170" s="9">
        <v>1971480.0</v>
      </c>
      <c r="J1170" s="5" t="str">
        <f t="shared" ref="J1170:K1170" si="1170">SUBSTITUTE(H1170, ",", "")</f>
        <v>20</v>
      </c>
      <c r="K1170" s="5" t="str">
        <f t="shared" si="1170"/>
        <v>Rp1971480</v>
      </c>
      <c r="L1170" s="5" t="str">
        <f t="shared" si="3"/>
        <v>1971480</v>
      </c>
    </row>
    <row r="1171">
      <c r="A1171" s="6" t="s">
        <v>2136</v>
      </c>
      <c r="B1171" s="7" t="str">
        <f>HYPERLINK("https://shopee.co.id/THE-AUBREE-Rose-Bloom-Petal-Essence-120ml-i.270965687.4577463858", "https://shopee.co.id/THE-AUBREE-Rose-Bloom-Petal-Essence-120ml-i.270965687.4577463858")</f>
        <v>https://shopee.co.id/THE-AUBREE-Rose-Bloom-Petal-Essence-120ml-i.270965687.4577463858</v>
      </c>
      <c r="C1171" s="6" t="s">
        <v>772</v>
      </c>
      <c r="D1171" s="6" t="s">
        <v>379</v>
      </c>
      <c r="E1171" s="6" t="s">
        <v>12</v>
      </c>
      <c r="F1171" s="6" t="s">
        <v>13</v>
      </c>
      <c r="G1171" s="6" t="s">
        <v>380</v>
      </c>
      <c r="H1171" s="8" t="s">
        <v>2103</v>
      </c>
      <c r="I1171" s="9">
        <v>4224500.0</v>
      </c>
      <c r="J1171" s="5" t="str">
        <f t="shared" ref="J1171:K1171" si="1171">SUBSTITUTE(H1171, ",", "")</f>
        <v>20</v>
      </c>
      <c r="K1171" s="5" t="str">
        <f t="shared" si="1171"/>
        <v>Rp4224500</v>
      </c>
      <c r="L1171" s="5" t="str">
        <f t="shared" si="3"/>
        <v>4224500</v>
      </c>
    </row>
    <row r="1172">
      <c r="A1172" s="6" t="s">
        <v>2137</v>
      </c>
      <c r="B1172" s="7" t="str">
        <f>HYPERLINK("https://shopee.co.id/Rojukiss-Eggplant-Dark-Spot-Serum-Edit-by-Sociolla-i.224957239.9370553345", "https://shopee.co.id/Rojukiss-Eggplant-Dark-Spot-Serum-Edit-by-Sociolla-i.224957239.9370553345")</f>
        <v>https://shopee.co.id/Rojukiss-Eggplant-Dark-Spot-Serum-Edit-by-Sociolla-i.224957239.9370553345</v>
      </c>
      <c r="C1172" s="6" t="s">
        <v>1508</v>
      </c>
      <c r="D1172" s="6" t="s">
        <v>492</v>
      </c>
      <c r="E1172" s="6" t="s">
        <v>12</v>
      </c>
      <c r="F1172" s="6" t="s">
        <v>13</v>
      </c>
      <c r="G1172" s="6" t="s">
        <v>21</v>
      </c>
      <c r="H1172" s="8" t="s">
        <v>2103</v>
      </c>
      <c r="I1172" s="9">
        <v>2580000.0</v>
      </c>
      <c r="J1172" s="5" t="str">
        <f t="shared" ref="J1172:K1172" si="1172">SUBSTITUTE(H1172, ",", "")</f>
        <v>20</v>
      </c>
      <c r="K1172" s="5" t="str">
        <f t="shared" si="1172"/>
        <v>Rp2580000</v>
      </c>
      <c r="L1172" s="5" t="str">
        <f t="shared" si="3"/>
        <v>2580000</v>
      </c>
    </row>
    <row r="1173">
      <c r="A1173" s="6" t="s">
        <v>2138</v>
      </c>
      <c r="B1173" s="7" t="str">
        <f>HYPERLINK("https://shopee.co.id/Humphrey-Serum-Plus-Kemasan-Lama-20ml-i.83349.11146515710", "https://shopee.co.id/Humphrey-Serum-Plus-Kemasan-Lama-20ml-i.83349.11146515710")</f>
        <v>https://shopee.co.id/Humphrey-Serum-Plus-Kemasan-Lama-20ml-i.83349.11146515710</v>
      </c>
      <c r="C1173" s="6" t="s">
        <v>1832</v>
      </c>
      <c r="D1173" s="6" t="s">
        <v>1833</v>
      </c>
      <c r="E1173" s="6" t="s">
        <v>12</v>
      </c>
      <c r="F1173" s="6" t="s">
        <v>13</v>
      </c>
      <c r="G1173" s="6" t="s">
        <v>21</v>
      </c>
      <c r="H1173" s="8" t="s">
        <v>2139</v>
      </c>
      <c r="I1173" s="9">
        <v>1655400.0</v>
      </c>
      <c r="J1173" s="5" t="str">
        <f t="shared" ref="J1173:K1173" si="1173">SUBSTITUTE(H1173, ",", "")</f>
        <v>19</v>
      </c>
      <c r="K1173" s="5" t="str">
        <f t="shared" si="1173"/>
        <v>Rp1655400</v>
      </c>
      <c r="L1173" s="5" t="str">
        <f t="shared" si="3"/>
        <v>1655400</v>
      </c>
    </row>
    <row r="1174">
      <c r="A1174" s="6" t="s">
        <v>2140</v>
      </c>
      <c r="B1174" s="7" t="str">
        <f>HYPERLINK("https://shopee.co.id/Votre-Peau-Skin-Care-Advanced-30-Days-Brighter-Treatment-Package-i.46300234.8639332063", "https://shopee.co.id/Votre-Peau-Skin-Care-Advanced-30-Days-Brighter-Treatment-Package-i.46300234.8639332063")</f>
        <v>https://shopee.co.id/Votre-Peau-Skin-Care-Advanced-30-Days-Brighter-Treatment-Package-i.46300234.8639332063</v>
      </c>
      <c r="C1174" s="6" t="s">
        <v>999</v>
      </c>
      <c r="D1174" s="6" t="s">
        <v>472</v>
      </c>
      <c r="E1174" s="6" t="s">
        <v>12</v>
      </c>
      <c r="F1174" s="6" t="s">
        <v>13</v>
      </c>
      <c r="G1174" s="6" t="s">
        <v>98</v>
      </c>
      <c r="H1174" s="8" t="s">
        <v>2139</v>
      </c>
      <c r="I1174" s="9">
        <v>2972000.0</v>
      </c>
      <c r="J1174" s="5" t="str">
        <f t="shared" ref="J1174:K1174" si="1174">SUBSTITUTE(H1174, ",", "")</f>
        <v>19</v>
      </c>
      <c r="K1174" s="5" t="str">
        <f t="shared" si="1174"/>
        <v>Rp2972000</v>
      </c>
      <c r="L1174" s="5" t="str">
        <f t="shared" si="3"/>
        <v>2972000</v>
      </c>
    </row>
    <row r="1175">
      <c r="A1175" s="6" t="s">
        <v>2141</v>
      </c>
      <c r="B1175" s="7" t="str">
        <f>HYPERLINK("https://shopee.co.id/Glowlabs-AM-PM-Routine-Glo-C-Serum-Retinol-Cica-Night-Serum--i.336869851.9453874964", "https://shopee.co.id/Glowlabs-AM-PM-Routine-Glo-C-Serum-Retinol-Cica-Night-Serum--i.336869851.9453874964")</f>
        <v>https://shopee.co.id/Glowlabs-AM-PM-Routine-Glo-C-Serum-Retinol-Cica-Night-Serum--i.336869851.9453874964</v>
      </c>
      <c r="C1175" s="6" t="s">
        <v>407</v>
      </c>
      <c r="D1175" s="6" t="s">
        <v>408</v>
      </c>
      <c r="E1175" s="6" t="s">
        <v>12</v>
      </c>
      <c r="F1175" s="6" t="s">
        <v>13</v>
      </c>
      <c r="G1175" s="6" t="s">
        <v>409</v>
      </c>
      <c r="H1175" s="8" t="s">
        <v>2139</v>
      </c>
      <c r="I1175" s="9">
        <v>2641000.0</v>
      </c>
      <c r="J1175" s="5" t="str">
        <f t="shared" ref="J1175:K1175" si="1175">SUBSTITUTE(H1175, ",", "")</f>
        <v>19</v>
      </c>
      <c r="K1175" s="5" t="str">
        <f t="shared" si="1175"/>
        <v>Rp2641000</v>
      </c>
      <c r="L1175" s="5" t="str">
        <f t="shared" si="3"/>
        <v>2641000</v>
      </c>
    </row>
    <row r="1176">
      <c r="A1176" s="6" t="s">
        <v>2142</v>
      </c>
      <c r="B1176" s="7" t="str">
        <f>HYPERLINK("https://shopee.co.id/SOME-BY-MI-Galactomyces-Pure-Vitamin-C-Glow-Serum-i.125116082.9135519581", "https://shopee.co.id/SOME-BY-MI-Galactomyces-Pure-Vitamin-C-Glow-Serum-i.125116082.9135519581")</f>
        <v>https://shopee.co.id/SOME-BY-MI-Galactomyces-Pure-Vitamin-C-Glow-Serum-i.125116082.9135519581</v>
      </c>
      <c r="C1176" s="6" t="s">
        <v>213</v>
      </c>
      <c r="D1176" s="6" t="s">
        <v>713</v>
      </c>
      <c r="E1176" s="6" t="s">
        <v>12</v>
      </c>
      <c r="F1176" s="6" t="s">
        <v>13</v>
      </c>
      <c r="G1176" s="6" t="s">
        <v>61</v>
      </c>
      <c r="H1176" s="8" t="s">
        <v>2139</v>
      </c>
      <c r="I1176" s="9">
        <v>2071000.0</v>
      </c>
      <c r="J1176" s="5" t="str">
        <f t="shared" ref="J1176:K1176" si="1176">SUBSTITUTE(H1176, ",", "")</f>
        <v>19</v>
      </c>
      <c r="K1176" s="5" t="str">
        <f t="shared" si="1176"/>
        <v>Rp2071000</v>
      </c>
      <c r="L1176" s="5" t="str">
        <f t="shared" si="3"/>
        <v>2071000</v>
      </c>
    </row>
    <row r="1177">
      <c r="A1177" s="6" t="s">
        <v>2143</v>
      </c>
      <c r="B1177" s="7" t="str">
        <f>HYPERLINK("https://shopee.co.id/All-In-One-Serum-Booster-FREE-THR--i.132898967.10040553204", "https://shopee.co.id/All-In-One-Serum-Booster-FREE-THR--i.132898967.10040553204")</f>
        <v>https://shopee.co.id/All-In-One-Serum-Booster-FREE-THR--i.132898967.10040553204</v>
      </c>
      <c r="C1177" s="6" t="s">
        <v>244</v>
      </c>
      <c r="D1177" s="6" t="s">
        <v>2144</v>
      </c>
      <c r="E1177" s="6" t="s">
        <v>12</v>
      </c>
      <c r="F1177" s="6" t="s">
        <v>13</v>
      </c>
      <c r="G1177" s="6" t="s">
        <v>2145</v>
      </c>
      <c r="H1177" s="8" t="s">
        <v>2139</v>
      </c>
      <c r="I1177" s="9">
        <v>1967450.0</v>
      </c>
      <c r="J1177" s="5" t="str">
        <f t="shared" ref="J1177:K1177" si="1177">SUBSTITUTE(H1177, ",", "")</f>
        <v>19</v>
      </c>
      <c r="K1177" s="5" t="str">
        <f t="shared" si="1177"/>
        <v>Rp1967450</v>
      </c>
      <c r="L1177" s="5" t="str">
        <f t="shared" si="3"/>
        <v>1967450</v>
      </c>
    </row>
    <row r="1178">
      <c r="A1178" s="6" t="s">
        <v>2146</v>
      </c>
      <c r="B1178" s="7" t="str">
        <f>HYPERLINK("https://shopee.co.id/L-Oreal-Revitalift-Pro-Youth-Face-Mask-Skin-Elasticity-Anti-Aging-x-3pcs-i.62579622.6032742933", "https://shopee.co.id/L-Oreal-Revitalift-Pro-Youth-Face-Mask-Skin-Elasticity-Anti-Aging-x-3pcs-i.62579622.6032742933")</f>
        <v>https://shopee.co.id/L-Oreal-Revitalift-Pro-Youth-Face-Mask-Skin-Elasticity-Anti-Aging-x-3pcs-i.62579622.6032742933</v>
      </c>
      <c r="C1178" s="6" t="s">
        <v>105</v>
      </c>
      <c r="D1178" s="6" t="s">
        <v>106</v>
      </c>
      <c r="E1178" s="6" t="s">
        <v>12</v>
      </c>
      <c r="F1178" s="6" t="s">
        <v>13</v>
      </c>
      <c r="G1178" s="6" t="s">
        <v>61</v>
      </c>
      <c r="H1178" s="8" t="s">
        <v>2139</v>
      </c>
      <c r="I1178" s="9">
        <v>718637.0</v>
      </c>
      <c r="J1178" s="5" t="str">
        <f t="shared" ref="J1178:K1178" si="1178">SUBSTITUTE(H1178, ",", "")</f>
        <v>19</v>
      </c>
      <c r="K1178" s="5" t="str">
        <f t="shared" si="1178"/>
        <v>Rp718637</v>
      </c>
      <c r="L1178" s="5" t="str">
        <f t="shared" si="3"/>
        <v>718637</v>
      </c>
    </row>
    <row r="1179">
      <c r="A1179" s="6" t="s">
        <v>2147</v>
      </c>
      <c r="B1179" s="7" t="str">
        <f>HYPERLINK("https://shopee.co.id/FIRST-LAB-FIRST-LAB-Resveratrol-Ampoule-10ml-i.68111.2258687710", "https://shopee.co.id/FIRST-LAB-FIRST-LAB-Resveratrol-Ampoule-10ml-i.68111.2258687710")</f>
        <v>https://shopee.co.id/FIRST-LAB-FIRST-LAB-Resveratrol-Ampoule-10ml-i.68111.2258687710</v>
      </c>
      <c r="C1179" s="6" t="s">
        <v>1617</v>
      </c>
      <c r="D1179" s="6" t="s">
        <v>441</v>
      </c>
      <c r="E1179" s="6" t="s">
        <v>12</v>
      </c>
      <c r="F1179" s="6" t="s">
        <v>13</v>
      </c>
      <c r="G1179" s="6" t="s">
        <v>130</v>
      </c>
      <c r="H1179" s="8" t="s">
        <v>2139</v>
      </c>
      <c r="I1179" s="9">
        <v>2641000.0</v>
      </c>
      <c r="J1179" s="5" t="str">
        <f t="shared" ref="J1179:K1179" si="1179">SUBSTITUTE(H1179, ",", "")</f>
        <v>19</v>
      </c>
      <c r="K1179" s="5" t="str">
        <f t="shared" si="1179"/>
        <v>Rp2641000</v>
      </c>
      <c r="L1179" s="5" t="str">
        <f t="shared" si="3"/>
        <v>2641000</v>
      </c>
    </row>
    <row r="1180">
      <c r="A1180" s="6" t="s">
        <v>2148</v>
      </c>
      <c r="B1180" s="7" t="str">
        <f>HYPERLINK("https://shopee.co.id/Beautybarme-Nacific-Fresh-Herb-Origin-Serum-50-Ml-Original-100-Bpom-i.28781862.1121752032", "https://shopee.co.id/Beautybarme-Nacific-Fresh-Herb-Origin-Serum-50-Ml-Original-100-Bpom-i.28781862.1121752032")</f>
        <v>https://shopee.co.id/Beautybarme-Nacific-Fresh-Herb-Origin-Serum-50-Ml-Original-100-Bpom-i.28781862.1121752032</v>
      </c>
      <c r="C1180" s="6" t="s">
        <v>344</v>
      </c>
      <c r="D1180" s="6" t="s">
        <v>1189</v>
      </c>
      <c r="E1180" s="6" t="s">
        <v>12</v>
      </c>
      <c r="F1180" s="6" t="s">
        <v>13</v>
      </c>
      <c r="G1180" s="6" t="s">
        <v>1190</v>
      </c>
      <c r="H1180" s="8" t="s">
        <v>2139</v>
      </c>
      <c r="I1180" s="9">
        <v>2950000.0</v>
      </c>
      <c r="J1180" s="5" t="str">
        <f t="shared" ref="J1180:K1180" si="1180">SUBSTITUTE(H1180, ",", "")</f>
        <v>19</v>
      </c>
      <c r="K1180" s="5" t="str">
        <f t="shared" si="1180"/>
        <v>Rp2950000</v>
      </c>
      <c r="L1180" s="5" t="str">
        <f t="shared" si="3"/>
        <v>2950000</v>
      </c>
    </row>
    <row r="1181">
      <c r="A1181" s="6" t="s">
        <v>2149</v>
      </c>
      <c r="B1181" s="7" t="str">
        <f>HYPERLINK("https://shopee.co.id/Somethinc-Holygrail-Multipeptide-Youth-Elixir-20-ml-i.110573301.10604866852", "https://shopee.co.id/Somethinc-Holygrail-Multipeptide-Youth-Elixir-20-ml-i.110573301.10604866852")</f>
        <v>https://shopee.co.id/Somethinc-Holygrail-Multipeptide-Youth-Elixir-20-ml-i.110573301.10604866852</v>
      </c>
      <c r="C1181" s="6" t="s">
        <v>45</v>
      </c>
      <c r="D1181" s="6" t="s">
        <v>227</v>
      </c>
      <c r="E1181" s="6" t="s">
        <v>12</v>
      </c>
      <c r="F1181" s="6" t="s">
        <v>13</v>
      </c>
      <c r="G1181" s="6" t="s">
        <v>61</v>
      </c>
      <c r="H1181" s="8" t="s">
        <v>2139</v>
      </c>
      <c r="I1181" s="9">
        <v>1377500.0</v>
      </c>
      <c r="J1181" s="5" t="str">
        <f t="shared" ref="J1181:K1181" si="1181">SUBSTITUTE(H1181, ",", "")</f>
        <v>19</v>
      </c>
      <c r="K1181" s="5" t="str">
        <f t="shared" si="1181"/>
        <v>Rp1377500</v>
      </c>
      <c r="L1181" s="5" t="str">
        <f t="shared" si="3"/>
        <v>1377500</v>
      </c>
    </row>
    <row r="1182">
      <c r="A1182" s="6" t="s">
        <v>2150</v>
      </c>
      <c r="B1182" s="7" t="str">
        <f>HYPERLINK("https://shopee.co.id/SNAIL-WHITENING-SERUM-i.125491027.3701944825", "https://shopee.co.id/SNAIL-WHITENING-SERUM-i.125491027.3701944825")</f>
        <v>https://shopee.co.id/SNAIL-WHITENING-SERUM-i.125491027.3701944825</v>
      </c>
      <c r="C1182" s="6" t="s">
        <v>2151</v>
      </c>
      <c r="D1182" s="6" t="s">
        <v>2152</v>
      </c>
      <c r="E1182" s="6" t="s">
        <v>12</v>
      </c>
      <c r="F1182" s="6" t="s">
        <v>13</v>
      </c>
      <c r="G1182" s="6" t="s">
        <v>98</v>
      </c>
      <c r="H1182" s="8" t="s">
        <v>2139</v>
      </c>
      <c r="I1182" s="9">
        <v>3515000.0</v>
      </c>
      <c r="J1182" s="5" t="str">
        <f t="shared" ref="J1182:K1182" si="1182">SUBSTITUTE(H1182, ",", "")</f>
        <v>19</v>
      </c>
      <c r="K1182" s="5" t="str">
        <f t="shared" si="1182"/>
        <v>Rp3515000</v>
      </c>
      <c r="L1182" s="5" t="str">
        <f t="shared" si="3"/>
        <v>3515000</v>
      </c>
    </row>
    <row r="1183">
      <c r="A1183" s="6" t="s">
        <v>2153</v>
      </c>
      <c r="B1183" s="7" t="str">
        <f>HYPERLINK("https://shopee.co.id/COSRX-Pure-Fit-Cica-Serum-size-30-ml-Edit-by-Sociolla-i.224957239.8546461903", "https://shopee.co.id/COSRX-Pure-Fit-Cica-Serum-size-30-ml-Edit-by-Sociolla-i.224957239.8546461903")</f>
        <v>https://shopee.co.id/COSRX-Pure-Fit-Cica-Serum-size-30-ml-Edit-by-Sociolla-i.224957239.8546461903</v>
      </c>
      <c r="C1183" s="6" t="s">
        <v>305</v>
      </c>
      <c r="D1183" s="6" t="s">
        <v>492</v>
      </c>
      <c r="E1183" s="6" t="s">
        <v>12</v>
      </c>
      <c r="F1183" s="6" t="s">
        <v>13</v>
      </c>
      <c r="G1183" s="6" t="s">
        <v>21</v>
      </c>
      <c r="H1183" s="8" t="s">
        <v>2139</v>
      </c>
      <c r="I1183" s="9">
        <v>1891100.0</v>
      </c>
      <c r="J1183" s="5" t="str">
        <f t="shared" ref="J1183:K1183" si="1183">SUBSTITUTE(H1183, ",", "")</f>
        <v>19</v>
      </c>
      <c r="K1183" s="5" t="str">
        <f t="shared" si="1183"/>
        <v>Rp1891100</v>
      </c>
      <c r="L1183" s="5" t="str">
        <f t="shared" si="3"/>
        <v>1891100</v>
      </c>
    </row>
    <row r="1184">
      <c r="A1184" s="6" t="s">
        <v>2154</v>
      </c>
      <c r="B1184" s="7" t="str">
        <f>HYPERLINK("https://shopee.co.id/Garnier-Sakura-White-Booster-Serum-15ml-Micellar-Water-Rose-400ml-Untuk-Kulit-Glowing-Merona--i.62583853.5979248147", "https://shopee.co.id/Garnier-Sakura-White-Booster-Serum-15ml-Micellar-Water-Rose-400ml-Untuk-Kulit-Glowing-Merona--i.62583853.5979248147")</f>
        <v>https://shopee.co.id/Garnier-Sakura-White-Booster-Serum-15ml-Micellar-Water-Rose-400ml-Untuk-Kulit-Glowing-Merona--i.62583853.5979248147</v>
      </c>
      <c r="C1184" s="6" t="s">
        <v>74</v>
      </c>
      <c r="D1184" s="6" t="s">
        <v>75</v>
      </c>
      <c r="E1184" s="6" t="s">
        <v>12</v>
      </c>
      <c r="F1184" s="6" t="s">
        <v>13</v>
      </c>
      <c r="G1184" s="6" t="s">
        <v>61</v>
      </c>
      <c r="H1184" s="8" t="s">
        <v>2139</v>
      </c>
      <c r="I1184" s="9">
        <v>1311000.0</v>
      </c>
      <c r="J1184" s="5" t="str">
        <f t="shared" ref="J1184:K1184" si="1184">SUBSTITUTE(H1184, ",", "")</f>
        <v>19</v>
      </c>
      <c r="K1184" s="5" t="str">
        <f t="shared" si="1184"/>
        <v>Rp1311000</v>
      </c>
      <c r="L1184" s="5" t="str">
        <f t="shared" si="3"/>
        <v>1311000</v>
      </c>
    </row>
    <row r="1185">
      <c r="A1185" s="6" t="s">
        <v>2155</v>
      </c>
      <c r="B1185" s="7" t="str">
        <f>HYPERLINK("https://shopee.co.id/GLAMGLOW-SUPERSERUM-6-Acid-Refining-Treatment-i.37242565.2255171914", "https://shopee.co.id/GLAMGLOW-SUPERSERUM-6-Acid-Refining-Treatment-i.37242565.2255171914")</f>
        <v>https://shopee.co.id/GLAMGLOW-SUPERSERUM-6-Acid-Refining-Treatment-i.37242565.2255171914</v>
      </c>
      <c r="C1185" s="6" t="s">
        <v>2156</v>
      </c>
      <c r="D1185" s="6" t="s">
        <v>2157</v>
      </c>
      <c r="E1185" s="6" t="s">
        <v>12</v>
      </c>
      <c r="F1185" s="6" t="s">
        <v>13</v>
      </c>
      <c r="G1185" s="6" t="s">
        <v>98</v>
      </c>
      <c r="H1185" s="8" t="s">
        <v>2139</v>
      </c>
      <c r="I1185" s="9">
        <v>1235850.0</v>
      </c>
      <c r="J1185" s="5" t="str">
        <f t="shared" ref="J1185:K1185" si="1185">SUBSTITUTE(H1185, ",", "")</f>
        <v>19</v>
      </c>
      <c r="K1185" s="5" t="str">
        <f t="shared" si="1185"/>
        <v>Rp1235850</v>
      </c>
      <c r="L1185" s="5" t="str">
        <f t="shared" si="3"/>
        <v>1235850</v>
      </c>
    </row>
    <row r="1186">
      <c r="A1186" s="6" t="s">
        <v>2158</v>
      </c>
      <c r="B1186" s="7" t="str">
        <f>HYPERLINK("https://shopee.co.id/NATURE-REPUBLIC-Ginseng-Royal-Silk-Ampoule-Effector-4-Weeks-Program-i.78838801.7343829132", "https://shopee.co.id/NATURE-REPUBLIC-Ginseng-Royal-Silk-Ampoule-Effector-4-Weeks-Program-i.78838801.7343829132")</f>
        <v>https://shopee.co.id/NATURE-REPUBLIC-Ginseng-Royal-Silk-Ampoule-Effector-4-Weeks-Program-i.78838801.7343829132</v>
      </c>
      <c r="C1186" s="6" t="s">
        <v>1079</v>
      </c>
      <c r="D1186" s="6" t="s">
        <v>1080</v>
      </c>
      <c r="E1186" s="6" t="s">
        <v>12</v>
      </c>
      <c r="F1186" s="6" t="s">
        <v>13</v>
      </c>
      <c r="G1186" s="6" t="s">
        <v>532</v>
      </c>
      <c r="H1186" s="8" t="s">
        <v>2139</v>
      </c>
      <c r="I1186" s="9">
        <v>3403400.0</v>
      </c>
      <c r="J1186" s="5" t="str">
        <f t="shared" ref="J1186:K1186" si="1186">SUBSTITUTE(H1186, ",", "")</f>
        <v>19</v>
      </c>
      <c r="K1186" s="5" t="str">
        <f t="shared" si="1186"/>
        <v>Rp3403400</v>
      </c>
      <c r="L1186" s="5" t="str">
        <f t="shared" si="3"/>
        <v>3403400</v>
      </c>
    </row>
    <row r="1187">
      <c r="A1187" s="6" t="s">
        <v>2159</v>
      </c>
      <c r="B1187" s="7" t="str">
        <f>HYPERLINK("https://shopee.co.id/JUMISO-All-Day-Vitamin-Brightening-Balancing-Facial-Serum-30ml-i.270965687.9322947004", "https://shopee.co.id/JUMISO-All-Day-Vitamin-Brightening-Balancing-Facial-Serum-30ml-i.270965687.9322947004")</f>
        <v>https://shopee.co.id/JUMISO-All-Day-Vitamin-Brightening-Balancing-Facial-Serum-30ml-i.270965687.9322947004</v>
      </c>
      <c r="C1187" s="6" t="s">
        <v>1113</v>
      </c>
      <c r="D1187" s="6" t="s">
        <v>379</v>
      </c>
      <c r="E1187" s="6" t="s">
        <v>12</v>
      </c>
      <c r="F1187" s="6" t="s">
        <v>13</v>
      </c>
      <c r="G1187" s="6" t="s">
        <v>380</v>
      </c>
      <c r="H1187" s="8" t="s">
        <v>2139</v>
      </c>
      <c r="I1187" s="9">
        <v>2696000.0</v>
      </c>
      <c r="J1187" s="5" t="str">
        <f t="shared" ref="J1187:K1187" si="1187">SUBSTITUTE(H1187, ",", "")</f>
        <v>19</v>
      </c>
      <c r="K1187" s="5" t="str">
        <f t="shared" si="1187"/>
        <v>Rp2696000</v>
      </c>
      <c r="L1187" s="5" t="str">
        <f t="shared" si="3"/>
        <v>2696000</v>
      </c>
    </row>
    <row r="1188">
      <c r="A1188" s="6" t="s">
        <v>1657</v>
      </c>
      <c r="B1188" s="7" t="str">
        <f>HYPERLINK("https://shopee.co.id/Iunik-Propolis-Vitamin-Synergy-Serum-50ml-i.825870.2395328956", "https://shopee.co.id/Iunik-Propolis-Vitamin-Synergy-Serum-50ml-i.825870.2395328956")</f>
        <v>https://shopee.co.id/Iunik-Propolis-Vitamin-Synergy-Serum-50ml-i.825870.2395328956</v>
      </c>
      <c r="C1188" s="6" t="s">
        <v>1658</v>
      </c>
      <c r="D1188" s="6" t="s">
        <v>1184</v>
      </c>
      <c r="E1188" s="6" t="s">
        <v>12</v>
      </c>
      <c r="F1188" s="6" t="s">
        <v>13</v>
      </c>
      <c r="G1188" s="6" t="s">
        <v>21</v>
      </c>
      <c r="H1188" s="8" t="s">
        <v>2139</v>
      </c>
      <c r="I1188" s="9">
        <v>2018750.0</v>
      </c>
      <c r="J1188" s="5" t="str">
        <f t="shared" ref="J1188:K1188" si="1188">SUBSTITUTE(H1188, ",", "")</f>
        <v>19</v>
      </c>
      <c r="K1188" s="5" t="str">
        <f t="shared" si="1188"/>
        <v>Rp2018750</v>
      </c>
      <c r="L1188" s="5" t="str">
        <f t="shared" si="3"/>
        <v>2018750</v>
      </c>
    </row>
    <row r="1189">
      <c r="A1189" s="6" t="s">
        <v>2160</v>
      </c>
      <c r="B1189" s="7" t="str">
        <f>HYPERLINK("https://shopee.co.id/Rhein-Serum-Vit-C-i.240100481.3922935076", "https://shopee.co.id/Rhein-Serum-Vit-C-i.240100481.3922935076")</f>
        <v>https://shopee.co.id/Rhein-Serum-Vit-C-i.240100481.3922935076</v>
      </c>
      <c r="C1189" s="6" t="s">
        <v>2161</v>
      </c>
      <c r="D1189" s="6" t="s">
        <v>1196</v>
      </c>
      <c r="E1189" s="6" t="s">
        <v>12</v>
      </c>
      <c r="F1189" s="6" t="s">
        <v>13</v>
      </c>
      <c r="G1189" s="6" t="s">
        <v>98</v>
      </c>
      <c r="H1189" s="8" t="s">
        <v>2139</v>
      </c>
      <c r="I1189" s="9">
        <v>4759500.0</v>
      </c>
      <c r="J1189" s="5" t="str">
        <f t="shared" ref="J1189:K1189" si="1189">SUBSTITUTE(H1189, ",", "")</f>
        <v>19</v>
      </c>
      <c r="K1189" s="5" t="str">
        <f t="shared" si="1189"/>
        <v>Rp4759500</v>
      </c>
      <c r="L1189" s="5" t="str">
        <f t="shared" si="3"/>
        <v>4759500</v>
      </c>
    </row>
    <row r="1190">
      <c r="A1190" s="6" t="s">
        <v>1396</v>
      </c>
      <c r="B1190" s="7" t="str">
        <f>HYPERLINK("https://shopee.co.id/L-Oreal-Paris-Revitalift-Crystal-Micro-Essence-Serum-Mask-Skin-Care-Buy-3-Get-3-i.62579622.4657542034", "https://shopee.co.id/L-Oreal-Paris-Revitalift-Crystal-Micro-Essence-Serum-Mask-Skin-Care-Buy-3-Get-3-i.62579622.4657542034")</f>
        <v>https://shopee.co.id/L-Oreal-Paris-Revitalift-Crystal-Micro-Essence-Serum-Mask-Skin-Care-Buy-3-Get-3-i.62579622.4657542034</v>
      </c>
      <c r="C1190" s="6" t="s">
        <v>105</v>
      </c>
      <c r="D1190" s="6" t="s">
        <v>106</v>
      </c>
      <c r="E1190" s="6" t="s">
        <v>12</v>
      </c>
      <c r="F1190" s="6" t="s">
        <v>13</v>
      </c>
      <c r="G1190" s="6" t="s">
        <v>61</v>
      </c>
      <c r="H1190" s="8" t="s">
        <v>2139</v>
      </c>
      <c r="I1190" s="9">
        <v>1693000.0</v>
      </c>
      <c r="J1190" s="5" t="str">
        <f t="shared" ref="J1190:K1190" si="1190">SUBSTITUTE(H1190, ",", "")</f>
        <v>19</v>
      </c>
      <c r="K1190" s="5" t="str">
        <f t="shared" si="1190"/>
        <v>Rp1693000</v>
      </c>
      <c r="L1190" s="5" t="str">
        <f t="shared" si="3"/>
        <v>1693000</v>
      </c>
    </row>
    <row r="1191">
      <c r="A1191" s="6" t="s">
        <v>194</v>
      </c>
      <c r="B1191" s="7" t="str">
        <f>HYPERLINK("https://shopee.co.id/Nutrishe-Intensive-Bright-Glow-Serum-i.110573301.9615709116", "https://shopee.co.id/Nutrishe-Intensive-Bright-Glow-Serum-i.110573301.9615709116")</f>
        <v>https://shopee.co.id/Nutrishe-Intensive-Bright-Glow-Serum-i.110573301.9615709116</v>
      </c>
      <c r="C1191" s="6" t="s">
        <v>195</v>
      </c>
      <c r="D1191" s="6" t="s">
        <v>227</v>
      </c>
      <c r="E1191" s="6" t="s">
        <v>12</v>
      </c>
      <c r="F1191" s="6" t="s">
        <v>13</v>
      </c>
      <c r="G1191" s="6" t="s">
        <v>61</v>
      </c>
      <c r="H1191" s="8" t="s">
        <v>2139</v>
      </c>
      <c r="I1191" s="9">
        <v>1548785.0</v>
      </c>
      <c r="J1191" s="5" t="str">
        <f t="shared" ref="J1191:K1191" si="1191">SUBSTITUTE(H1191, ",", "")</f>
        <v>19</v>
      </c>
      <c r="K1191" s="5" t="str">
        <f t="shared" si="1191"/>
        <v>Rp1548785</v>
      </c>
      <c r="L1191" s="5" t="str">
        <f t="shared" si="3"/>
        <v>1548785</v>
      </c>
    </row>
    <row r="1192">
      <c r="A1192" s="6" t="s">
        <v>2162</v>
      </c>
      <c r="B1192" s="7" t="str">
        <f>HYPERLINK("https://shopee.co.id/Bio-Essence-Bio-White-Starter-Pack-Perawatan-Wajah-i.63822287.9739321485", "https://shopee.co.id/Bio-Essence-Bio-White-Starter-Pack-Perawatan-Wajah-i.63822287.9739321485")</f>
        <v>https://shopee.co.id/Bio-Essence-Bio-White-Starter-Pack-Perawatan-Wajah-i.63822287.9739321485</v>
      </c>
      <c r="C1192" s="6" t="s">
        <v>1254</v>
      </c>
      <c r="D1192" s="6" t="s">
        <v>835</v>
      </c>
      <c r="E1192" s="6" t="s">
        <v>12</v>
      </c>
      <c r="F1192" s="6" t="s">
        <v>13</v>
      </c>
      <c r="G1192" s="6" t="s">
        <v>61</v>
      </c>
      <c r="H1192" s="8" t="s">
        <v>2139</v>
      </c>
      <c r="I1192" s="9">
        <v>906300.0</v>
      </c>
      <c r="J1192" s="5" t="str">
        <f t="shared" ref="J1192:K1192" si="1192">SUBSTITUTE(H1192, ",", "")</f>
        <v>19</v>
      </c>
      <c r="K1192" s="5" t="str">
        <f t="shared" si="1192"/>
        <v>Rp906300</v>
      </c>
      <c r="L1192" s="5" t="str">
        <f t="shared" si="3"/>
        <v>906300</v>
      </c>
    </row>
    <row r="1193">
      <c r="A1193" s="6" t="s">
        <v>2163</v>
      </c>
      <c r="B1193" s="7" t="str">
        <f>HYPERLINK("https://shopee.co.id/L-Oreal-Paris-Revitalift-Crystal-Micro-Essence-Serum-Mask-Skin-Care-Kulit-Tampak-Sebening-Kristal--i.62579622.5239056974", "https://shopee.co.id/L-Oreal-Paris-Revitalift-Crystal-Micro-Essence-Serum-Mask-Skin-Care-Kulit-Tampak-Sebening-Kristal--i.62579622.5239056974")</f>
        <v>https://shopee.co.id/L-Oreal-Paris-Revitalift-Crystal-Micro-Essence-Serum-Mask-Skin-Care-Kulit-Tampak-Sebening-Kristal--i.62579622.5239056974</v>
      </c>
      <c r="C1193" s="6" t="s">
        <v>105</v>
      </c>
      <c r="D1193" s="6" t="s">
        <v>106</v>
      </c>
      <c r="E1193" s="6" t="s">
        <v>12</v>
      </c>
      <c r="F1193" s="6" t="s">
        <v>13</v>
      </c>
      <c r="G1193" s="6" t="s">
        <v>61</v>
      </c>
      <c r="H1193" s="8" t="s">
        <v>2139</v>
      </c>
      <c r="I1193" s="9">
        <v>2231000.0</v>
      </c>
      <c r="J1193" s="5" t="str">
        <f t="shared" ref="J1193:K1193" si="1193">SUBSTITUTE(H1193, ",", "")</f>
        <v>19</v>
      </c>
      <c r="K1193" s="5" t="str">
        <f t="shared" si="1193"/>
        <v>Rp2231000</v>
      </c>
      <c r="L1193" s="5" t="str">
        <f t="shared" si="3"/>
        <v>2231000</v>
      </c>
    </row>
    <row r="1194">
      <c r="A1194" s="6" t="s">
        <v>2164</v>
      </c>
      <c r="B1194" s="7" t="str">
        <f>HYPERLINK("https://shopee.co.id/DERMALUZ-Facial-Treatment-Power-Essence-with-Galactomyces-i.43690338.3169804932", "https://shopee.co.id/DERMALUZ-Facial-Treatment-Power-Essence-with-Galactomyces-i.43690338.3169804932")</f>
        <v>https://shopee.co.id/DERMALUZ-Facial-Treatment-Power-Essence-with-Galactomyces-i.43690338.3169804932</v>
      </c>
      <c r="C1194" s="6" t="s">
        <v>1064</v>
      </c>
      <c r="D1194" s="6" t="s">
        <v>1065</v>
      </c>
      <c r="E1194" s="6" t="s">
        <v>12</v>
      </c>
      <c r="F1194" s="6" t="s">
        <v>13</v>
      </c>
      <c r="G1194" s="6" t="s">
        <v>241</v>
      </c>
      <c r="H1194" s="8" t="s">
        <v>2139</v>
      </c>
      <c r="I1194" s="9">
        <v>3953700.0</v>
      </c>
      <c r="J1194" s="5" t="str">
        <f t="shared" ref="J1194:K1194" si="1194">SUBSTITUTE(H1194, ",", "")</f>
        <v>19</v>
      </c>
      <c r="K1194" s="5" t="str">
        <f t="shared" si="1194"/>
        <v>Rp3953700</v>
      </c>
      <c r="L1194" s="5" t="str">
        <f t="shared" si="3"/>
        <v>3953700</v>
      </c>
    </row>
    <row r="1195">
      <c r="A1195" s="6" t="s">
        <v>2165</v>
      </c>
      <c r="B1195" s="7" t="str">
        <f>HYPERLINK("https://shopee.co.id/Babor-3D-Firming-Fluid-2X7-ML-i.131188140.1971037931", "https://shopee.co.id/Babor-3D-Firming-Fluid-2X7-ML-i.131188140.1971037931")</f>
        <v>https://shopee.co.id/Babor-3D-Firming-Fluid-2X7-ML-i.131188140.1971037931</v>
      </c>
      <c r="C1195" s="6" t="s">
        <v>1433</v>
      </c>
      <c r="D1195" s="6" t="s">
        <v>1434</v>
      </c>
      <c r="E1195" s="6" t="s">
        <v>12</v>
      </c>
      <c r="F1195" s="6" t="s">
        <v>13</v>
      </c>
      <c r="G1195" s="6" t="s">
        <v>61</v>
      </c>
      <c r="H1195" s="8" t="s">
        <v>2139</v>
      </c>
      <c r="I1195" s="9">
        <v>1691000.0</v>
      </c>
      <c r="J1195" s="5" t="str">
        <f t="shared" ref="J1195:K1195" si="1195">SUBSTITUTE(H1195, ",", "")</f>
        <v>19</v>
      </c>
      <c r="K1195" s="5" t="str">
        <f t="shared" si="1195"/>
        <v>Rp1691000</v>
      </c>
      <c r="L1195" s="5" t="str">
        <f t="shared" si="3"/>
        <v>1691000</v>
      </c>
    </row>
    <row r="1196">
      <c r="A1196" s="6" t="s">
        <v>2166</v>
      </c>
      <c r="B1196" s="7" t="str">
        <f>HYPERLINK("https://shopee.co.id/Babor-Collagen-Booster-Fluid-7x2-ML-i.131188140.1971037853", "https://shopee.co.id/Babor-Collagen-Booster-Fluid-7x2-ML-i.131188140.1971037853")</f>
        <v>https://shopee.co.id/Babor-Collagen-Booster-Fluid-7x2-ML-i.131188140.1971037853</v>
      </c>
      <c r="C1196" s="6" t="s">
        <v>1433</v>
      </c>
      <c r="D1196" s="6" t="s">
        <v>1434</v>
      </c>
      <c r="E1196" s="6" t="s">
        <v>12</v>
      </c>
      <c r="F1196" s="6" t="s">
        <v>13</v>
      </c>
      <c r="G1196" s="6" t="s">
        <v>61</v>
      </c>
      <c r="H1196" s="8" t="s">
        <v>2139</v>
      </c>
      <c r="I1196" s="9">
        <v>4284500.0</v>
      </c>
      <c r="J1196" s="5" t="str">
        <f t="shared" ref="J1196:K1196" si="1196">SUBSTITUTE(H1196, ",", "")</f>
        <v>19</v>
      </c>
      <c r="K1196" s="5" t="str">
        <f t="shared" si="1196"/>
        <v>Rp4284500</v>
      </c>
      <c r="L1196" s="5" t="str">
        <f t="shared" si="3"/>
        <v>4284500</v>
      </c>
    </row>
    <row r="1197">
      <c r="A1197" s="6" t="s">
        <v>2167</v>
      </c>
      <c r="B1197" s="7" t="str">
        <f>HYPERLINK("https://shopee.co.id/Safi-Age-Defy-Gold-Water-Essence-30-ml-Naturals-Micellar-Water-with-Neem-100-ml-i.63823668.5743845883", "https://shopee.co.id/Safi-Age-Defy-Gold-Water-Essence-30-ml-Naturals-Micellar-Water-with-Neem-100-ml-i.63823668.5743845883")</f>
        <v>https://shopee.co.id/Safi-Age-Defy-Gold-Water-Essence-30-ml-Naturals-Micellar-Water-with-Neem-100-ml-i.63823668.5743845883</v>
      </c>
      <c r="C1197" s="6" t="s">
        <v>278</v>
      </c>
      <c r="D1197" s="6" t="s">
        <v>279</v>
      </c>
      <c r="E1197" s="6" t="s">
        <v>12</v>
      </c>
      <c r="F1197" s="6" t="s">
        <v>13</v>
      </c>
      <c r="G1197" s="6" t="s">
        <v>61</v>
      </c>
      <c r="H1197" s="8" t="s">
        <v>2139</v>
      </c>
      <c r="I1197" s="9">
        <v>2945000.0</v>
      </c>
      <c r="J1197" s="5" t="str">
        <f t="shared" ref="J1197:K1197" si="1197">SUBSTITUTE(H1197, ",", "")</f>
        <v>19</v>
      </c>
      <c r="K1197" s="5" t="str">
        <f t="shared" si="1197"/>
        <v>Rp2945000</v>
      </c>
      <c r="L1197" s="5" t="str">
        <f t="shared" si="3"/>
        <v>2945000</v>
      </c>
    </row>
    <row r="1198">
      <c r="A1198" s="6" t="s">
        <v>2168</v>
      </c>
      <c r="B1198" s="7" t="str">
        <f>HYPERLINK("https://shopee.co.id/Somethinc-HYALuronic9-Advanced-B5-Serum-i.10689.3713016626", "https://shopee.co.id/Somethinc-HYALuronic9-Advanced-B5-Serum-i.10689.3713016626")</f>
        <v>https://shopee.co.id/Somethinc-HYALuronic9-Advanced-B5-Serum-i.10689.3713016626</v>
      </c>
      <c r="C1198" s="6" t="s">
        <v>45</v>
      </c>
      <c r="D1198" s="6" t="s">
        <v>745</v>
      </c>
      <c r="E1198" s="6" t="s">
        <v>12</v>
      </c>
      <c r="F1198" s="6" t="s">
        <v>13</v>
      </c>
      <c r="G1198" s="6" t="s">
        <v>61</v>
      </c>
      <c r="H1198" s="8" t="s">
        <v>2139</v>
      </c>
      <c r="I1198" s="9">
        <v>1381500.0</v>
      </c>
      <c r="J1198" s="5" t="str">
        <f t="shared" ref="J1198:K1198" si="1198">SUBSTITUTE(H1198, ",", "")</f>
        <v>19</v>
      </c>
      <c r="K1198" s="5" t="str">
        <f t="shared" si="1198"/>
        <v>Rp1381500</v>
      </c>
      <c r="L1198" s="5" t="str">
        <f t="shared" si="3"/>
        <v>1381500</v>
      </c>
    </row>
    <row r="1199">
      <c r="A1199" s="6" t="s">
        <v>2169</v>
      </c>
      <c r="B1199" s="7" t="str">
        <f>HYPERLINK("https://shopee.co.id/KANEBO-Illuminating-Serum-Kit-i.169111593.3249564115", "https://shopee.co.id/KANEBO-Illuminating-Serum-Kit-i.169111593.3249564115")</f>
        <v>https://shopee.co.id/KANEBO-Illuminating-Serum-Kit-i.169111593.3249564115</v>
      </c>
      <c r="C1199" s="6" t="s">
        <v>1473</v>
      </c>
      <c r="D1199" s="6" t="s">
        <v>1474</v>
      </c>
      <c r="E1199" s="6" t="s">
        <v>12</v>
      </c>
      <c r="F1199" s="6" t="s">
        <v>13</v>
      </c>
      <c r="G1199" s="6" t="s">
        <v>532</v>
      </c>
      <c r="H1199" s="8" t="s">
        <v>2139</v>
      </c>
      <c r="I1199" s="9">
        <v>1732000.0</v>
      </c>
      <c r="J1199" s="5" t="str">
        <f t="shared" ref="J1199:K1199" si="1199">SUBSTITUTE(H1199, ",", "")</f>
        <v>19</v>
      </c>
      <c r="K1199" s="5" t="str">
        <f t="shared" si="1199"/>
        <v>Rp1732000</v>
      </c>
      <c r="L1199" s="5" t="str">
        <f t="shared" si="3"/>
        <v>1732000</v>
      </c>
    </row>
    <row r="1200">
      <c r="A1200" s="6" t="s">
        <v>2170</v>
      </c>
      <c r="B1200" s="7" t="str">
        <f>HYPERLINK("https://shopee.co.id/Aizen-Carnosine-Astaxanthin-4-Ultra-Ampoule-Serum-Antioxidant-Anti-Aging-Kulit-Wajah-i.89939211.9309135092", "https://shopee.co.id/Aizen-Carnosine-Astaxanthin-4-Ultra-Ampoule-Serum-Antioxidant-Anti-Aging-Kulit-Wajah-i.89939211.9309135092")</f>
        <v>https://shopee.co.id/Aizen-Carnosine-Astaxanthin-4-Ultra-Ampoule-Serum-Antioxidant-Anti-Aging-Kulit-Wajah-i.89939211.9309135092</v>
      </c>
      <c r="C1200" s="6" t="s">
        <v>1325</v>
      </c>
      <c r="D1200" s="6" t="s">
        <v>1326</v>
      </c>
      <c r="E1200" s="6" t="s">
        <v>12</v>
      </c>
      <c r="F1200" s="6" t="s">
        <v>13</v>
      </c>
      <c r="G1200" s="6" t="s">
        <v>14</v>
      </c>
      <c r="H1200" s="8" t="s">
        <v>2171</v>
      </c>
      <c r="I1200" s="9">
        <v>604800.0</v>
      </c>
      <c r="J1200" s="5" t="str">
        <f t="shared" ref="J1200:K1200" si="1200">SUBSTITUTE(H1200, ",", "")</f>
        <v>18</v>
      </c>
      <c r="K1200" s="5" t="str">
        <f t="shared" si="1200"/>
        <v>Rp604800</v>
      </c>
      <c r="L1200" s="5" t="str">
        <f t="shared" si="3"/>
        <v>604800</v>
      </c>
    </row>
    <row r="1201">
      <c r="A1201" s="6" t="s">
        <v>2172</v>
      </c>
      <c r="B1201" s="7" t="str">
        <f>HYPERLINK("https://shopee.co.id/Beauty-of-Joseon-Serum-Glow-Calming-Repair--i.270965687.6568137488", "https://shopee.co.id/Beauty-of-Joseon-Serum-Glow-Calming-Repair--i.270965687.6568137488")</f>
        <v>https://shopee.co.id/Beauty-of-Joseon-Serum-Glow-Calming-Repair--i.270965687.6568137488</v>
      </c>
      <c r="C1201" s="6" t="s">
        <v>2173</v>
      </c>
      <c r="D1201" s="6" t="s">
        <v>379</v>
      </c>
      <c r="E1201" s="6" t="s">
        <v>12</v>
      </c>
      <c r="F1201" s="6" t="s">
        <v>13</v>
      </c>
      <c r="G1201" s="6" t="s">
        <v>380</v>
      </c>
      <c r="H1201" s="8" t="s">
        <v>2171</v>
      </c>
      <c r="I1201" s="9">
        <v>8675400.0</v>
      </c>
      <c r="J1201" s="5" t="str">
        <f t="shared" ref="J1201:K1201" si="1201">SUBSTITUTE(H1201, ",", "")</f>
        <v>18</v>
      </c>
      <c r="K1201" s="5" t="str">
        <f t="shared" si="1201"/>
        <v>Rp8675400</v>
      </c>
      <c r="L1201" s="5" t="str">
        <f t="shared" si="3"/>
        <v>8675400</v>
      </c>
    </row>
    <row r="1202">
      <c r="A1202" s="6" t="s">
        <v>2174</v>
      </c>
      <c r="B1202" s="7" t="str">
        <f>HYPERLINK("https://shopee.co.id/Babor-Beauty-Rescue-Fluid-7X2ML-i.131188140.1971037798", "https://shopee.co.id/Babor-Beauty-Rescue-Fluid-7X2ML-i.131188140.1971037798")</f>
        <v>https://shopee.co.id/Babor-Beauty-Rescue-Fluid-7X2ML-i.131188140.1971037798</v>
      </c>
      <c r="C1202" s="6" t="s">
        <v>1433</v>
      </c>
      <c r="D1202" s="6" t="s">
        <v>1434</v>
      </c>
      <c r="E1202" s="6" t="s">
        <v>12</v>
      </c>
      <c r="F1202" s="6" t="s">
        <v>13</v>
      </c>
      <c r="G1202" s="6" t="s">
        <v>61</v>
      </c>
      <c r="H1202" s="8" t="s">
        <v>2171</v>
      </c>
      <c r="I1202" s="9">
        <v>1292900.0</v>
      </c>
      <c r="J1202" s="5" t="str">
        <f t="shared" ref="J1202:K1202" si="1202">SUBSTITUTE(H1202, ",", "")</f>
        <v>18</v>
      </c>
      <c r="K1202" s="5" t="str">
        <f t="shared" si="1202"/>
        <v>Rp1292900</v>
      </c>
      <c r="L1202" s="5" t="str">
        <f t="shared" si="3"/>
        <v>1292900</v>
      </c>
    </row>
    <row r="1203">
      <c r="A1203" s="6" t="s">
        <v>2175</v>
      </c>
      <c r="B1203" s="7" t="str">
        <f>HYPERLINK("https://shopee.co.id/Beautybarme-Somethinc-Niacinamide-40-Ml-20-Ml-i.28781862.7322113338", "https://shopee.co.id/Beautybarme-Somethinc-Niacinamide-40-Ml-20-Ml-i.28781862.7322113338")</f>
        <v>https://shopee.co.id/Beautybarme-Somethinc-Niacinamide-40-Ml-20-Ml-i.28781862.7322113338</v>
      </c>
      <c r="C1203" s="6" t="s">
        <v>45</v>
      </c>
      <c r="D1203" s="6" t="s">
        <v>1189</v>
      </c>
      <c r="E1203" s="6" t="s">
        <v>12</v>
      </c>
      <c r="F1203" s="6" t="s">
        <v>13</v>
      </c>
      <c r="G1203" s="6" t="s">
        <v>1190</v>
      </c>
      <c r="H1203" s="8" t="s">
        <v>2171</v>
      </c>
      <c r="I1203" s="9">
        <v>2729870.0</v>
      </c>
      <c r="J1203" s="5" t="str">
        <f t="shared" ref="J1203:K1203" si="1203">SUBSTITUTE(H1203, ",", "")</f>
        <v>18</v>
      </c>
      <c r="K1203" s="5" t="str">
        <f t="shared" si="1203"/>
        <v>Rp2729870</v>
      </c>
      <c r="L1203" s="5" t="str">
        <f t="shared" si="3"/>
        <v>2729870</v>
      </c>
    </row>
    <row r="1204">
      <c r="A1204" s="6" t="s">
        <v>2176</v>
      </c>
      <c r="B1204" s="7" t="str">
        <f>HYPERLINK("https://shopee.co.id/Bio-Essence-Bio-Water-Foamy-Cleanser-100-gr-Perawatan-Wajah-Sensitif-i.63822287.5517933362", "https://shopee.co.id/Bio-Essence-Bio-Water-Foamy-Cleanser-100-gr-Perawatan-Wajah-Sensitif-i.63822287.5517933362")</f>
        <v>https://shopee.co.id/Bio-Essence-Bio-Water-Foamy-Cleanser-100-gr-Perawatan-Wajah-Sensitif-i.63822287.5517933362</v>
      </c>
      <c r="C1204" s="6" t="s">
        <v>1254</v>
      </c>
      <c r="D1204" s="6" t="s">
        <v>835</v>
      </c>
      <c r="E1204" s="6" t="s">
        <v>12</v>
      </c>
      <c r="F1204" s="6" t="s">
        <v>13</v>
      </c>
      <c r="G1204" s="6" t="s">
        <v>61</v>
      </c>
      <c r="H1204" s="8" t="s">
        <v>2171</v>
      </c>
      <c r="I1204" s="9">
        <v>6244500.0</v>
      </c>
      <c r="J1204" s="5" t="str">
        <f t="shared" ref="J1204:K1204" si="1204">SUBSTITUTE(H1204, ",", "")</f>
        <v>18</v>
      </c>
      <c r="K1204" s="5" t="str">
        <f t="shared" si="1204"/>
        <v>Rp6244500</v>
      </c>
      <c r="L1204" s="5" t="str">
        <f t="shared" si="3"/>
        <v>6244500</v>
      </c>
    </row>
    <row r="1205">
      <c r="A1205" s="6" t="s">
        <v>2177</v>
      </c>
      <c r="B1205" s="7" t="str">
        <f>HYPERLINK("https://shopee.co.id/AHC-Peony-Bright-Luminous-Serum-Size-10-ml-Edit-by-Sociolla-i.224957239.7867957380", "https://shopee.co.id/AHC-Peony-Bright-Luminous-Serum-Size-10-ml-Edit-by-Sociolla-i.224957239.7867957380")</f>
        <v>https://shopee.co.id/AHC-Peony-Bright-Luminous-Serum-Size-10-ml-Edit-by-Sociolla-i.224957239.7867957380</v>
      </c>
      <c r="C1205" s="6" t="s">
        <v>2053</v>
      </c>
      <c r="D1205" s="6" t="s">
        <v>492</v>
      </c>
      <c r="E1205" s="6" t="s">
        <v>12</v>
      </c>
      <c r="F1205" s="6" t="s">
        <v>13</v>
      </c>
      <c r="G1205" s="6" t="s">
        <v>21</v>
      </c>
      <c r="H1205" s="8" t="s">
        <v>2171</v>
      </c>
      <c r="I1205" s="9">
        <v>5005000.0</v>
      </c>
      <c r="J1205" s="5" t="str">
        <f t="shared" ref="J1205:K1205" si="1205">SUBSTITUTE(H1205, ",", "")</f>
        <v>18</v>
      </c>
      <c r="K1205" s="5" t="str">
        <f t="shared" si="1205"/>
        <v>Rp5005000</v>
      </c>
      <c r="L1205" s="5" t="str">
        <f t="shared" si="3"/>
        <v>5005000</v>
      </c>
    </row>
    <row r="1206">
      <c r="A1206" s="6" t="s">
        <v>2178</v>
      </c>
      <c r="B1206" s="7" t="str">
        <f>HYPERLINK("https://shopee.co.id/Yoqueen-Beauty-Serum-for-Acne-30ml-i.48380572.7239084936", "https://shopee.co.id/Yoqueen-Beauty-Serum-for-Acne-30ml-i.48380572.7239084936")</f>
        <v>https://shopee.co.id/Yoqueen-Beauty-Serum-for-Acne-30ml-i.48380572.7239084936</v>
      </c>
      <c r="C1206" s="6" t="s">
        <v>2118</v>
      </c>
      <c r="D1206" s="6" t="s">
        <v>2119</v>
      </c>
      <c r="E1206" s="6" t="s">
        <v>12</v>
      </c>
      <c r="F1206" s="6" t="s">
        <v>13</v>
      </c>
      <c r="G1206" s="6" t="s">
        <v>2120</v>
      </c>
      <c r="H1206" s="8" t="s">
        <v>2171</v>
      </c>
      <c r="I1206" s="9">
        <v>1.98E7</v>
      </c>
      <c r="J1206" s="5" t="str">
        <f t="shared" ref="J1206:K1206" si="1206">SUBSTITUTE(H1206, ",", "")</f>
        <v>18</v>
      </c>
      <c r="K1206" s="5" t="str">
        <f t="shared" si="1206"/>
        <v>Rp19800000</v>
      </c>
      <c r="L1206" s="5" t="str">
        <f t="shared" si="3"/>
        <v>19800000</v>
      </c>
    </row>
    <row r="1207">
      <c r="A1207" s="6" t="s">
        <v>2179</v>
      </c>
      <c r="B1207" s="7" t="str">
        <f>HYPERLINK("https://shopee.co.id/Bio-Essence-Bio-Bounce-Collagen-Essence-30-ml-Perawatan-Wajah-i.63822287.1671468807", "https://shopee.co.id/Bio-Essence-Bio-Bounce-Collagen-Essence-30-ml-Perawatan-Wajah-i.63822287.1671468807")</f>
        <v>https://shopee.co.id/Bio-Essence-Bio-Bounce-Collagen-Essence-30-ml-Perawatan-Wajah-i.63822287.1671468807</v>
      </c>
      <c r="C1207" s="6" t="s">
        <v>1254</v>
      </c>
      <c r="D1207" s="6" t="s">
        <v>835</v>
      </c>
      <c r="E1207" s="6" t="s">
        <v>12</v>
      </c>
      <c r="F1207" s="6" t="s">
        <v>13</v>
      </c>
      <c r="G1207" s="6" t="s">
        <v>61</v>
      </c>
      <c r="H1207" s="8" t="s">
        <v>2171</v>
      </c>
      <c r="I1207" s="9">
        <v>3105900.0</v>
      </c>
      <c r="J1207" s="5" t="str">
        <f t="shared" ref="J1207:K1207" si="1207">SUBSTITUTE(H1207, ",", "")</f>
        <v>18</v>
      </c>
      <c r="K1207" s="5" t="str">
        <f t="shared" si="1207"/>
        <v>Rp3105900</v>
      </c>
      <c r="L1207" s="5" t="str">
        <f t="shared" si="3"/>
        <v>3105900</v>
      </c>
    </row>
    <row r="1208">
      <c r="A1208" s="6" t="s">
        <v>2180</v>
      </c>
      <c r="B1208" s="7" t="str">
        <f>HYPERLINK("https://shopee.co.id/PURITO-Centella-Green-Level-Buffet-Serum-i.233721470.7219315270", "https://shopee.co.id/PURITO-Centella-Green-Level-Buffet-Serum-i.233721470.7219315270")</f>
        <v>https://shopee.co.id/PURITO-Centella-Green-Level-Buffet-Serum-i.233721470.7219315270</v>
      </c>
      <c r="C1208" s="6" t="s">
        <v>1993</v>
      </c>
      <c r="D1208" s="6" t="s">
        <v>1994</v>
      </c>
      <c r="E1208" s="6" t="s">
        <v>12</v>
      </c>
      <c r="F1208" s="6" t="s">
        <v>13</v>
      </c>
      <c r="G1208" s="6" t="s">
        <v>21</v>
      </c>
      <c r="H1208" s="8" t="s">
        <v>2171</v>
      </c>
      <c r="I1208" s="9">
        <v>2044200.0</v>
      </c>
      <c r="J1208" s="5" t="str">
        <f t="shared" ref="J1208:K1208" si="1208">SUBSTITUTE(H1208, ",", "")</f>
        <v>18</v>
      </c>
      <c r="K1208" s="5" t="str">
        <f t="shared" si="1208"/>
        <v>Rp2044200</v>
      </c>
      <c r="L1208" s="5" t="str">
        <f t="shared" si="3"/>
        <v>2044200</v>
      </c>
    </row>
    <row r="1209">
      <c r="A1209" s="6" t="s">
        <v>2181</v>
      </c>
      <c r="B1209" s="7" t="str">
        <f>HYPERLINK("https://shopee.co.id/Mila-D-opiz-Cavia-Ampoule-5ml-Miladopiz-i.322619273.7958139352", "https://shopee.co.id/Mila-D-opiz-Cavia-Ampoule-5ml-Miladopiz-i.322619273.7958139352")</f>
        <v>https://shopee.co.id/Mila-D-opiz-Cavia-Ampoule-5ml-Miladopiz-i.322619273.7958139352</v>
      </c>
      <c r="C1209" s="6" t="s">
        <v>2182</v>
      </c>
      <c r="D1209" s="6" t="s">
        <v>2183</v>
      </c>
      <c r="E1209" s="6" t="s">
        <v>12</v>
      </c>
      <c r="F1209" s="6" t="s">
        <v>13</v>
      </c>
      <c r="G1209" s="6" t="s">
        <v>469</v>
      </c>
      <c r="H1209" s="8" t="s">
        <v>2171</v>
      </c>
      <c r="I1209" s="9">
        <v>1.49806E7</v>
      </c>
      <c r="J1209" s="5" t="str">
        <f t="shared" ref="J1209:K1209" si="1209">SUBSTITUTE(H1209, ",", "")</f>
        <v>18</v>
      </c>
      <c r="K1209" s="5" t="str">
        <f t="shared" si="1209"/>
        <v>Rp14980600</v>
      </c>
      <c r="L1209" s="5" t="str">
        <f t="shared" si="3"/>
        <v>14980600</v>
      </c>
    </row>
    <row r="1210">
      <c r="A1210" s="6" t="s">
        <v>715</v>
      </c>
      <c r="B1210" s="7" t="str">
        <f>HYPERLINK("https://shopee.co.id/Ponds-Bright-Beauty-Perfect-Potion-Essence-Normal-Skin-50ml--i.65323877.3595065096", "https://shopee.co.id/Ponds-Bright-Beauty-Perfect-Potion-Essence-Normal-Skin-50ml--i.65323877.3595065096")</f>
        <v>https://shopee.co.id/Ponds-Bright-Beauty-Perfect-Potion-Essence-Normal-Skin-50ml--i.65323877.3595065096</v>
      </c>
      <c r="C1210" s="6" t="s">
        <v>325</v>
      </c>
      <c r="D1210" s="6" t="s">
        <v>1600</v>
      </c>
      <c r="E1210" s="6" t="s">
        <v>12</v>
      </c>
      <c r="F1210" s="6" t="s">
        <v>13</v>
      </c>
      <c r="G1210" s="6" t="s">
        <v>296</v>
      </c>
      <c r="H1210" s="8" t="s">
        <v>2171</v>
      </c>
      <c r="I1210" s="9">
        <v>1756260.0</v>
      </c>
      <c r="J1210" s="5" t="str">
        <f t="shared" ref="J1210:K1210" si="1210">SUBSTITUTE(H1210, ",", "")</f>
        <v>18</v>
      </c>
      <c r="K1210" s="5" t="str">
        <f t="shared" si="1210"/>
        <v>Rp1756260</v>
      </c>
      <c r="L1210" s="5" t="str">
        <f t="shared" si="3"/>
        <v>1756260</v>
      </c>
    </row>
    <row r="1211">
      <c r="A1211" s="6" t="s">
        <v>2184</v>
      </c>
      <c r="B1211" s="7" t="str">
        <f>HYPERLINK("https://shopee.co.id/SOME-BY-MI-Super-Matcha-Pore-Tightening-Serum-i.125116082.9235519450", "https://shopee.co.id/SOME-BY-MI-Super-Matcha-Pore-Tightening-Serum-i.125116082.9235519450")</f>
        <v>https://shopee.co.id/SOME-BY-MI-Super-Matcha-Pore-Tightening-Serum-i.125116082.9235519450</v>
      </c>
      <c r="C1211" s="6" t="s">
        <v>213</v>
      </c>
      <c r="D1211" s="6" t="s">
        <v>713</v>
      </c>
      <c r="E1211" s="6" t="s">
        <v>12</v>
      </c>
      <c r="F1211" s="6" t="s">
        <v>13</v>
      </c>
      <c r="G1211" s="6" t="s">
        <v>61</v>
      </c>
      <c r="H1211" s="8" t="s">
        <v>2171</v>
      </c>
      <c r="I1211" s="9">
        <v>3239550.0</v>
      </c>
      <c r="J1211" s="5" t="str">
        <f t="shared" ref="J1211:K1211" si="1211">SUBSTITUTE(H1211, ",", "")</f>
        <v>18</v>
      </c>
      <c r="K1211" s="5" t="str">
        <f t="shared" si="1211"/>
        <v>Rp3239550</v>
      </c>
      <c r="L1211" s="5" t="str">
        <f t="shared" si="3"/>
        <v>3239550</v>
      </c>
    </row>
    <row r="1212">
      <c r="A1212" s="6" t="s">
        <v>2185</v>
      </c>
      <c r="B1212" s="7" t="str">
        <f>HYPERLINK("https://shopee.co.id/Joylab-Wonderskin-Power-Serum-15ml-i.127604258.11000504229", "https://shopee.co.id/Joylab-Wonderskin-Power-Serum-15ml-i.127604258.11000504229")</f>
        <v>https://shopee.co.id/Joylab-Wonderskin-Power-Serum-15ml-i.127604258.11000504229</v>
      </c>
      <c r="C1212" s="6" t="s">
        <v>1795</v>
      </c>
      <c r="D1212" s="6" t="s">
        <v>1796</v>
      </c>
      <c r="E1212" s="6" t="s">
        <v>12</v>
      </c>
      <c r="F1212" s="6" t="s">
        <v>13</v>
      </c>
      <c r="G1212" s="6" t="s">
        <v>98</v>
      </c>
      <c r="H1212" s="8" t="s">
        <v>2171</v>
      </c>
      <c r="I1212" s="9">
        <v>2174900.0</v>
      </c>
      <c r="J1212" s="5" t="str">
        <f t="shared" ref="J1212:K1212" si="1212">SUBSTITUTE(H1212, ",", "")</f>
        <v>18</v>
      </c>
      <c r="K1212" s="5" t="str">
        <f t="shared" si="1212"/>
        <v>Rp2174900</v>
      </c>
      <c r="L1212" s="5" t="str">
        <f t="shared" si="3"/>
        <v>2174900</v>
      </c>
    </row>
    <row r="1213">
      <c r="A1213" s="6" t="s">
        <v>2186</v>
      </c>
      <c r="B1213" s="7" t="str">
        <f>HYPERLINK("https://shopee.co.id/Garnier-Light-Complete-Booster-Serum-15ml-Micellar-Water-Pink-400ml-Untuk-Kulit-Bersih-Cerah--i.62583853.8114565380", "https://shopee.co.id/Garnier-Light-Complete-Booster-Serum-15ml-Micellar-Water-Pink-400ml-Untuk-Kulit-Bersih-Cerah--i.62583853.8114565380")</f>
        <v>https://shopee.co.id/Garnier-Light-Complete-Booster-Serum-15ml-Micellar-Water-Pink-400ml-Untuk-Kulit-Bersih-Cerah--i.62583853.8114565380</v>
      </c>
      <c r="C1213" s="6" t="s">
        <v>74</v>
      </c>
      <c r="D1213" s="6" t="s">
        <v>75</v>
      </c>
      <c r="E1213" s="6" t="s">
        <v>12</v>
      </c>
      <c r="F1213" s="6" t="s">
        <v>13</v>
      </c>
      <c r="G1213" s="6" t="s">
        <v>61</v>
      </c>
      <c r="H1213" s="8" t="s">
        <v>2171</v>
      </c>
      <c r="I1213" s="9">
        <v>3381840.0</v>
      </c>
      <c r="J1213" s="5" t="str">
        <f t="shared" ref="J1213:K1213" si="1213">SUBSTITUTE(H1213, ",", "")</f>
        <v>18</v>
      </c>
      <c r="K1213" s="5" t="str">
        <f t="shared" si="1213"/>
        <v>Rp3381840</v>
      </c>
      <c r="L1213" s="5" t="str">
        <f t="shared" si="3"/>
        <v>3381840</v>
      </c>
    </row>
    <row r="1214">
      <c r="A1214" s="6" t="s">
        <v>2187</v>
      </c>
      <c r="B1214" s="7" t="str">
        <f>HYPERLINK("https://shopee.co.id/Nacific-Fresh-Cica-Plus-Clear-Serum-50ml--i.238379974.8270053689", "https://shopee.co.id/Nacific-Fresh-Cica-Plus-Clear-Serum-50ml--i.238379974.8270053689")</f>
        <v>https://shopee.co.id/Nacific-Fresh-Cica-Plus-Clear-Serum-50ml--i.238379974.8270053689</v>
      </c>
      <c r="C1214" s="6" t="s">
        <v>344</v>
      </c>
      <c r="D1214" s="6" t="s">
        <v>345</v>
      </c>
      <c r="E1214" s="6" t="s">
        <v>12</v>
      </c>
      <c r="F1214" s="6" t="s">
        <v>13</v>
      </c>
      <c r="G1214" s="6" t="s">
        <v>130</v>
      </c>
      <c r="H1214" s="8" t="s">
        <v>2171</v>
      </c>
      <c r="I1214" s="9">
        <v>1152000.0</v>
      </c>
      <c r="J1214" s="5" t="str">
        <f t="shared" ref="J1214:K1214" si="1214">SUBSTITUTE(H1214, ",", "")</f>
        <v>18</v>
      </c>
      <c r="K1214" s="5" t="str">
        <f t="shared" si="1214"/>
        <v>Rp1152000</v>
      </c>
      <c r="L1214" s="5" t="str">
        <f t="shared" si="3"/>
        <v>1152000</v>
      </c>
    </row>
    <row r="1215">
      <c r="A1215" s="6" t="s">
        <v>2188</v>
      </c>
      <c r="B1215" s="7" t="str">
        <f>HYPERLINK("https://shopee.co.id/Tuesbelle-BHUMI-HPR-Retinol-Serum-30-ml-i.36872574.10539315928", "https://shopee.co.id/Tuesbelle-BHUMI-HPR-Retinol-Serum-30-ml-i.36872574.10539315928")</f>
        <v>https://shopee.co.id/Tuesbelle-BHUMI-HPR-Retinol-Serum-30-ml-i.36872574.10539315928</v>
      </c>
      <c r="C1215" s="6" t="s">
        <v>753</v>
      </c>
      <c r="D1215" s="6" t="s">
        <v>969</v>
      </c>
      <c r="E1215" s="6" t="s">
        <v>12</v>
      </c>
      <c r="F1215" s="6" t="s">
        <v>13</v>
      </c>
      <c r="G1215" s="6" t="s">
        <v>115</v>
      </c>
      <c r="H1215" s="8" t="s">
        <v>2171</v>
      </c>
      <c r="I1215" s="9">
        <v>3042000.0</v>
      </c>
      <c r="J1215" s="5" t="str">
        <f t="shared" ref="J1215:K1215" si="1215">SUBSTITUTE(H1215, ",", "")</f>
        <v>18</v>
      </c>
      <c r="K1215" s="5" t="str">
        <f t="shared" si="1215"/>
        <v>Rp3042000</v>
      </c>
      <c r="L1215" s="5" t="str">
        <f t="shared" si="3"/>
        <v>3042000</v>
      </c>
    </row>
    <row r="1216">
      <c r="A1216" s="6" t="s">
        <v>2189</v>
      </c>
      <c r="B1216" s="7" t="str">
        <f>HYPERLINK("https://shopee.co.id/Keybysa-Clearly-Gold-Serum-i.161217472.3864844008", "https://shopee.co.id/Keybysa-Clearly-Gold-Serum-i.161217472.3864844008")</f>
        <v>https://shopee.co.id/Keybysa-Clearly-Gold-Serum-i.161217472.3864844008</v>
      </c>
      <c r="C1216" s="6" t="s">
        <v>2190</v>
      </c>
      <c r="D1216" s="6" t="s">
        <v>2191</v>
      </c>
      <c r="E1216" s="6" t="s">
        <v>12</v>
      </c>
      <c r="F1216" s="6" t="s">
        <v>13</v>
      </c>
      <c r="G1216" s="6" t="s">
        <v>1314</v>
      </c>
      <c r="H1216" s="8" t="s">
        <v>2171</v>
      </c>
      <c r="I1216" s="9">
        <v>2068200.0</v>
      </c>
      <c r="J1216" s="5" t="str">
        <f t="shared" ref="J1216:K1216" si="1216">SUBSTITUTE(H1216, ",", "")</f>
        <v>18</v>
      </c>
      <c r="K1216" s="5" t="str">
        <f t="shared" si="1216"/>
        <v>Rp2068200</v>
      </c>
      <c r="L1216" s="5" t="str">
        <f t="shared" si="3"/>
        <v>2068200</v>
      </c>
    </row>
    <row r="1217">
      <c r="A1217" s="6" t="s">
        <v>2192</v>
      </c>
      <c r="B1217" s="7" t="str">
        <f>HYPERLINK("https://shopee.co.id/Kalonea-Skincare-Acne-Spot-Treatment-Serum-BPOM-i.199590923.4318298933", "https://shopee.co.id/Kalonea-Skincare-Acne-Spot-Treatment-Serum-BPOM-i.199590923.4318298933")</f>
        <v>https://shopee.co.id/Kalonea-Skincare-Acne-Spot-Treatment-Serum-BPOM-i.199590923.4318298933</v>
      </c>
      <c r="C1217" s="6" t="s">
        <v>1807</v>
      </c>
      <c r="D1217" s="6" t="s">
        <v>1808</v>
      </c>
      <c r="E1217" s="6" t="s">
        <v>12</v>
      </c>
      <c r="F1217" s="6" t="s">
        <v>13</v>
      </c>
      <c r="G1217" s="6" t="s">
        <v>1048</v>
      </c>
      <c r="H1217" s="8" t="s">
        <v>2171</v>
      </c>
      <c r="I1217" s="9">
        <v>1602000.0</v>
      </c>
      <c r="J1217" s="5" t="str">
        <f t="shared" ref="J1217:K1217" si="1217">SUBSTITUTE(H1217, ",", "")</f>
        <v>18</v>
      </c>
      <c r="K1217" s="5" t="str">
        <f t="shared" si="1217"/>
        <v>Rp1602000</v>
      </c>
      <c r="L1217" s="5" t="str">
        <f t="shared" si="3"/>
        <v>1602000</v>
      </c>
    </row>
    <row r="1218">
      <c r="A1218" s="6" t="s">
        <v>2193</v>
      </c>
      <c r="B1218" s="7" t="str">
        <f>HYPERLINK("https://shopee.co.id/SOMETHINC-Holygrail-Multipeptide-Youth-Elixir-20ml-i.68111.11502131019", "https://shopee.co.id/SOMETHINC-Holygrail-Multipeptide-Youth-Elixir-20ml-i.68111.11502131019")</f>
        <v>https://shopee.co.id/SOMETHINC-Holygrail-Multipeptide-Youth-Elixir-20ml-i.68111.11502131019</v>
      </c>
      <c r="C1218" s="6" t="s">
        <v>45</v>
      </c>
      <c r="D1218" s="6" t="s">
        <v>441</v>
      </c>
      <c r="E1218" s="6" t="s">
        <v>12</v>
      </c>
      <c r="F1218" s="6" t="s">
        <v>13</v>
      </c>
      <c r="G1218" s="6" t="s">
        <v>130</v>
      </c>
      <c r="H1218" s="8" t="s">
        <v>2171</v>
      </c>
      <c r="I1218" s="9">
        <v>2079000.0</v>
      </c>
      <c r="J1218" s="5" t="str">
        <f t="shared" ref="J1218:K1218" si="1218">SUBSTITUTE(H1218, ",", "")</f>
        <v>18</v>
      </c>
      <c r="K1218" s="5" t="str">
        <f t="shared" si="1218"/>
        <v>Rp2079000</v>
      </c>
      <c r="L1218" s="5" t="str">
        <f t="shared" si="3"/>
        <v>2079000</v>
      </c>
    </row>
    <row r="1219">
      <c r="A1219" s="6" t="s">
        <v>2194</v>
      </c>
      <c r="B1219" s="7" t="str">
        <f>HYPERLINK("https://shopee.co.id/CLINELLE-WhitenUp-Brightening-Serum-20-ml-Face-Serum-Wajah-i.173963911.6000741637", "https://shopee.co.id/CLINELLE-WhitenUp-Brightening-Serum-20-ml-Face-Serum-Wajah-i.173963911.6000741637")</f>
        <v>https://shopee.co.id/CLINELLE-WhitenUp-Brightening-Serum-20-ml-Face-Serum-Wajah-i.173963911.6000741637</v>
      </c>
      <c r="C1219" s="6" t="s">
        <v>1456</v>
      </c>
      <c r="D1219" s="6" t="s">
        <v>1457</v>
      </c>
      <c r="E1219" s="6" t="s">
        <v>12</v>
      </c>
      <c r="F1219" s="6" t="s">
        <v>13</v>
      </c>
      <c r="G1219" s="6" t="s">
        <v>21</v>
      </c>
      <c r="H1219" s="8" t="s">
        <v>2171</v>
      </c>
      <c r="I1219" s="9">
        <v>1350000.0</v>
      </c>
      <c r="J1219" s="5" t="str">
        <f t="shared" ref="J1219:K1219" si="1219">SUBSTITUTE(H1219, ",", "")</f>
        <v>18</v>
      </c>
      <c r="K1219" s="5" t="str">
        <f t="shared" si="1219"/>
        <v>Rp1350000</v>
      </c>
      <c r="L1219" s="5" t="str">
        <f t="shared" si="3"/>
        <v>1350000</v>
      </c>
    </row>
    <row r="1220">
      <c r="A1220" s="6" t="s">
        <v>2195</v>
      </c>
      <c r="B1220" s="7" t="str">
        <f>HYPERLINK("https://shopee.co.id/Mazaya-Dermo-Vitamin-C-Serum-with-Astaxanthin-10ml-i.111075825.7507839498", "https://shopee.co.id/Mazaya-Dermo-Vitamin-C-Serum-with-Astaxanthin-10ml-i.111075825.7507839498")</f>
        <v>https://shopee.co.id/Mazaya-Dermo-Vitamin-C-Serum-with-Astaxanthin-10ml-i.111075825.7507839498</v>
      </c>
      <c r="C1220" s="6" t="s">
        <v>2196</v>
      </c>
      <c r="D1220" s="6" t="s">
        <v>2197</v>
      </c>
      <c r="E1220" s="6" t="s">
        <v>12</v>
      </c>
      <c r="F1220" s="6" t="s">
        <v>13</v>
      </c>
      <c r="G1220" s="6" t="s">
        <v>1048</v>
      </c>
      <c r="H1220" s="8" t="s">
        <v>2198</v>
      </c>
      <c r="I1220" s="9">
        <v>646000.0</v>
      </c>
      <c r="J1220" s="5" t="str">
        <f t="shared" ref="J1220:K1220" si="1220">SUBSTITUTE(H1220, ",", "")</f>
        <v>17</v>
      </c>
      <c r="K1220" s="5" t="str">
        <f t="shared" si="1220"/>
        <v>Rp646000</v>
      </c>
      <c r="L1220" s="5" t="str">
        <f t="shared" si="3"/>
        <v>646000</v>
      </c>
    </row>
    <row r="1221">
      <c r="A1221" s="6" t="s">
        <v>2199</v>
      </c>
      <c r="B1221" s="7" t="str">
        <f>HYPERLINK("https://shopee.co.id/Nacific-Fresh-Herb-Origin-Serum-i.125116082.2752136974", "https://shopee.co.id/Nacific-Fresh-Herb-Origin-Serum-i.125116082.2752136974")</f>
        <v>https://shopee.co.id/Nacific-Fresh-Herb-Origin-Serum-i.125116082.2752136974</v>
      </c>
      <c r="C1221" s="6" t="s">
        <v>344</v>
      </c>
      <c r="D1221" s="6" t="s">
        <v>713</v>
      </c>
      <c r="E1221" s="6" t="s">
        <v>12</v>
      </c>
      <c r="F1221" s="6" t="s">
        <v>13</v>
      </c>
      <c r="G1221" s="6" t="s">
        <v>61</v>
      </c>
      <c r="H1221" s="8" t="s">
        <v>2198</v>
      </c>
      <c r="I1221" s="9">
        <v>2236000.0</v>
      </c>
      <c r="J1221" s="5" t="str">
        <f t="shared" ref="J1221:K1221" si="1221">SUBSTITUTE(H1221, ",", "")</f>
        <v>17</v>
      </c>
      <c r="K1221" s="5" t="str">
        <f t="shared" si="1221"/>
        <v>Rp2236000</v>
      </c>
      <c r="L1221" s="5" t="str">
        <f t="shared" si="3"/>
        <v>2236000</v>
      </c>
    </row>
    <row r="1222">
      <c r="A1222" s="6" t="s">
        <v>2200</v>
      </c>
      <c r="B1222" s="7" t="str">
        <f>HYPERLINK("https://shopee.co.id/Deep-Green-Tea-Serum-i.180415888.3978270528", "https://shopee.co.id/Deep-Green-Tea-Serum-i.180415888.3978270528")</f>
        <v>https://shopee.co.id/Deep-Green-Tea-Serum-i.180415888.3978270528</v>
      </c>
      <c r="C1222" s="6" t="s">
        <v>456</v>
      </c>
      <c r="D1222" s="6" t="s">
        <v>457</v>
      </c>
      <c r="E1222" s="6" t="s">
        <v>12</v>
      </c>
      <c r="F1222" s="6" t="s">
        <v>13</v>
      </c>
      <c r="G1222" s="6" t="s">
        <v>80</v>
      </c>
      <c r="H1222" s="8" t="s">
        <v>2198</v>
      </c>
      <c r="I1222" s="9">
        <v>4913000.0</v>
      </c>
      <c r="J1222" s="5" t="str">
        <f t="shared" ref="J1222:K1222" si="1222">SUBSTITUTE(H1222, ",", "")</f>
        <v>17</v>
      </c>
      <c r="K1222" s="5" t="str">
        <f t="shared" si="1222"/>
        <v>Rp4913000</v>
      </c>
      <c r="L1222" s="5" t="str">
        <f t="shared" si="3"/>
        <v>4913000</v>
      </c>
    </row>
    <row r="1223">
      <c r="A1223" s="6" t="s">
        <v>2040</v>
      </c>
      <c r="B1223" s="7" t="str">
        <f>HYPERLINK("https://shopee.co.id/Iunik-Tea-Tree-Relief-Serum-50ml-i.825870.2357270767", "https://shopee.co.id/Iunik-Tea-Tree-Relief-Serum-50ml-i.825870.2357270767")</f>
        <v>https://shopee.co.id/Iunik-Tea-Tree-Relief-Serum-50ml-i.825870.2357270767</v>
      </c>
      <c r="C1223" s="6" t="s">
        <v>1658</v>
      </c>
      <c r="D1223" s="6" t="s">
        <v>1184</v>
      </c>
      <c r="E1223" s="6" t="s">
        <v>12</v>
      </c>
      <c r="F1223" s="6" t="s">
        <v>13</v>
      </c>
      <c r="G1223" s="6" t="s">
        <v>21</v>
      </c>
      <c r="H1223" s="8" t="s">
        <v>2198</v>
      </c>
      <c r="I1223" s="9">
        <v>2550000.0</v>
      </c>
      <c r="J1223" s="5" t="str">
        <f t="shared" ref="J1223:K1223" si="1223">SUBSTITUTE(H1223, ",", "")</f>
        <v>17</v>
      </c>
      <c r="K1223" s="5" t="str">
        <f t="shared" si="1223"/>
        <v>Rp2550000</v>
      </c>
      <c r="L1223" s="5" t="str">
        <f t="shared" si="3"/>
        <v>2550000</v>
      </c>
    </row>
    <row r="1224">
      <c r="A1224" s="6" t="s">
        <v>2201</v>
      </c>
      <c r="B1224" s="7" t="str">
        <f>HYPERLINK("https://shopee.co.id/Aquila-Dazzling-Glow-Vitamin-C-Barrier-Serum-Mencerahkan-Flek-Hitam-i.268493582.4580000303", "https://shopee.co.id/Aquila-Dazzling-Glow-Vitamin-C-Barrier-Serum-Mencerahkan-Flek-Hitam-i.268493582.4580000303")</f>
        <v>https://shopee.co.id/Aquila-Dazzling-Glow-Vitamin-C-Barrier-Serum-Mencerahkan-Flek-Hitam-i.268493582.4580000303</v>
      </c>
      <c r="C1224" s="6" t="s">
        <v>2202</v>
      </c>
      <c r="D1224" s="6" t="s">
        <v>2203</v>
      </c>
      <c r="E1224" s="6" t="s">
        <v>12</v>
      </c>
      <c r="F1224" s="6" t="s">
        <v>13</v>
      </c>
      <c r="G1224" s="6" t="s">
        <v>2204</v>
      </c>
      <c r="H1224" s="8" t="s">
        <v>2198</v>
      </c>
      <c r="I1224" s="9">
        <v>4514900.0</v>
      </c>
      <c r="J1224" s="5" t="str">
        <f t="shared" ref="J1224:K1224" si="1224">SUBSTITUTE(H1224, ",", "")</f>
        <v>17</v>
      </c>
      <c r="K1224" s="5" t="str">
        <f t="shared" si="1224"/>
        <v>Rp4514900</v>
      </c>
      <c r="L1224" s="5" t="str">
        <f t="shared" si="3"/>
        <v>4514900</v>
      </c>
    </row>
    <row r="1225">
      <c r="A1225" s="6" t="s">
        <v>2205</v>
      </c>
      <c r="B1225" s="7" t="str">
        <f>HYPERLINK("https://shopee.co.id/Junkisui-Refreshing-Spots-Serum-i.105297385.7358213370", "https://shopee.co.id/Junkisui-Refreshing-Spots-Serum-i.105297385.7358213370")</f>
        <v>https://shopee.co.id/Junkisui-Refreshing-Spots-Serum-i.105297385.7358213370</v>
      </c>
      <c r="C1225" s="6" t="s">
        <v>1997</v>
      </c>
      <c r="D1225" s="6" t="s">
        <v>1998</v>
      </c>
      <c r="E1225" s="6" t="s">
        <v>12</v>
      </c>
      <c r="F1225" s="6" t="s">
        <v>13</v>
      </c>
      <c r="G1225" s="6" t="s">
        <v>532</v>
      </c>
      <c r="H1225" s="8" t="s">
        <v>2198</v>
      </c>
      <c r="I1225" s="9">
        <v>688800.0</v>
      </c>
      <c r="J1225" s="5" t="str">
        <f t="shared" ref="J1225:K1225" si="1225">SUBSTITUTE(H1225, ",", "")</f>
        <v>17</v>
      </c>
      <c r="K1225" s="5" t="str">
        <f t="shared" si="1225"/>
        <v>Rp688800</v>
      </c>
      <c r="L1225" s="5" t="str">
        <f t="shared" si="3"/>
        <v>688800</v>
      </c>
    </row>
    <row r="1226">
      <c r="A1226" s="6" t="s">
        <v>2206</v>
      </c>
      <c r="B1226" s="7" t="str">
        <f>HYPERLINK("https://shopee.co.id/Probeauty-Serum-Acne-Serum-Totol-Jerawat-Ampuh-1-Malam-Kempes-Galactosyl-Salicylate-Serum-i.9171679.1660003129", "https://shopee.co.id/Probeauty-Serum-Acne-Serum-Totol-Jerawat-Ampuh-1-Malam-Kempes-Galactosyl-Salicylate-Serum-i.9171679.1660003129")</f>
        <v>https://shopee.co.id/Probeauty-Serum-Acne-Serum-Totol-Jerawat-Ampuh-1-Malam-Kempes-Galactosyl-Salicylate-Serum-i.9171679.1660003129</v>
      </c>
      <c r="C1226" s="6" t="s">
        <v>2207</v>
      </c>
      <c r="D1226" s="6" t="s">
        <v>2208</v>
      </c>
      <c r="E1226" s="6" t="s">
        <v>12</v>
      </c>
      <c r="F1226" s="6" t="s">
        <v>13</v>
      </c>
      <c r="G1226" s="6" t="s">
        <v>2209</v>
      </c>
      <c r="H1226" s="8" t="s">
        <v>2198</v>
      </c>
      <c r="I1226" s="9">
        <v>3183000.0</v>
      </c>
      <c r="J1226" s="5" t="str">
        <f t="shared" ref="J1226:K1226" si="1226">SUBSTITUTE(H1226, ",", "")</f>
        <v>17</v>
      </c>
      <c r="K1226" s="5" t="str">
        <f t="shared" si="1226"/>
        <v>Rp3183000</v>
      </c>
      <c r="L1226" s="5" t="str">
        <f t="shared" si="3"/>
        <v>3183000</v>
      </c>
    </row>
    <row r="1227">
      <c r="A1227" s="6" t="s">
        <v>2210</v>
      </c>
      <c r="B1227" s="7" t="str">
        <f>HYPERLINK("https://shopee.co.id/TABITHA-SKIN-WHITE-Brightening-Serum-BrightSe--i.344192903.8651882498", "https://shopee.co.id/TABITHA-SKIN-WHITE-Brightening-Serum-BrightSe--i.344192903.8651882498")</f>
        <v>https://shopee.co.id/TABITHA-SKIN-WHITE-Brightening-Serum-BrightSe--i.344192903.8651882498</v>
      </c>
      <c r="C1227" s="6" t="s">
        <v>2211</v>
      </c>
      <c r="D1227" s="6" t="s">
        <v>2212</v>
      </c>
      <c r="E1227" s="6" t="s">
        <v>12</v>
      </c>
      <c r="F1227" s="6" t="s">
        <v>13</v>
      </c>
      <c r="G1227" s="6" t="s">
        <v>296</v>
      </c>
      <c r="H1227" s="8" t="s">
        <v>2198</v>
      </c>
      <c r="I1227" s="9">
        <v>2722500.0</v>
      </c>
      <c r="J1227" s="5" t="str">
        <f t="shared" ref="J1227:K1227" si="1227">SUBSTITUTE(H1227, ",", "")</f>
        <v>17</v>
      </c>
      <c r="K1227" s="5" t="str">
        <f t="shared" si="1227"/>
        <v>Rp2722500</v>
      </c>
      <c r="L1227" s="5" t="str">
        <f t="shared" si="3"/>
        <v>2722500</v>
      </c>
    </row>
    <row r="1228">
      <c r="A1228" s="6" t="s">
        <v>2213</v>
      </c>
      <c r="B1228" s="7" t="str">
        <f>HYPERLINK("https://shopee.co.id/MD-Glowing-Brightening-Plus-Collagen-Serum-i.98061713.1734058568", "https://shopee.co.id/MD-Glowing-Brightening-Plus-Collagen-Serum-i.98061713.1734058568")</f>
        <v>https://shopee.co.id/MD-Glowing-Brightening-Plus-Collagen-Serum-i.98061713.1734058568</v>
      </c>
      <c r="C1228" s="6" t="s">
        <v>1353</v>
      </c>
      <c r="D1228" s="6" t="s">
        <v>1354</v>
      </c>
      <c r="E1228" s="6" t="s">
        <v>12</v>
      </c>
      <c r="F1228" s="6" t="s">
        <v>13</v>
      </c>
      <c r="G1228" s="6" t="s">
        <v>370</v>
      </c>
      <c r="H1228" s="8" t="s">
        <v>2198</v>
      </c>
      <c r="I1228" s="9">
        <v>913000.0</v>
      </c>
      <c r="J1228" s="5" t="str">
        <f t="shared" ref="J1228:K1228" si="1228">SUBSTITUTE(H1228, ",", "")</f>
        <v>17</v>
      </c>
      <c r="K1228" s="5" t="str">
        <f t="shared" si="1228"/>
        <v>Rp913000</v>
      </c>
      <c r="L1228" s="5" t="str">
        <f t="shared" si="3"/>
        <v>913000</v>
      </c>
    </row>
    <row r="1229">
      <c r="A1229" s="6" t="s">
        <v>2214</v>
      </c>
      <c r="B1229" s="7" t="str">
        <f>HYPERLINK("https://shopee.co.id/SKEYNDOR-Power-Retinol-Intensive-Repairing-Serum-in-Cream-i.241089883.4826336864", "https://shopee.co.id/SKEYNDOR-Power-Retinol-Intensive-Repairing-Serum-in-Cream-i.241089883.4826336864")</f>
        <v>https://shopee.co.id/SKEYNDOR-Power-Retinol-Intensive-Repairing-Serum-in-Cream-i.241089883.4826336864</v>
      </c>
      <c r="C1229" s="6" t="s">
        <v>2215</v>
      </c>
      <c r="D1229" s="6" t="s">
        <v>2216</v>
      </c>
      <c r="E1229" s="6" t="s">
        <v>12</v>
      </c>
      <c r="F1229" s="6" t="s">
        <v>13</v>
      </c>
      <c r="G1229" s="6" t="s">
        <v>21</v>
      </c>
      <c r="H1229" s="8" t="s">
        <v>2198</v>
      </c>
      <c r="I1229" s="9">
        <v>4726000.0</v>
      </c>
      <c r="J1229" s="5" t="str">
        <f t="shared" ref="J1229:K1229" si="1229">SUBSTITUTE(H1229, ",", "")</f>
        <v>17</v>
      </c>
      <c r="K1229" s="5" t="str">
        <f t="shared" si="1229"/>
        <v>Rp4726000</v>
      </c>
      <c r="L1229" s="5" t="str">
        <f t="shared" si="3"/>
        <v>4726000</v>
      </c>
    </row>
    <row r="1230">
      <c r="A1230" s="6" t="s">
        <v>2217</v>
      </c>
      <c r="B1230" s="7" t="str">
        <f>HYPERLINK("https://shopee.co.id/NOVEXPERT-BOOSTER-SERUM-VITAMIN-C-Brightening-Treatment-30ml-i.37242565.547762247", "https://shopee.co.id/NOVEXPERT-BOOSTER-SERUM-VITAMIN-C-Brightening-Treatment-30ml-i.37242565.547762247")</f>
        <v>https://shopee.co.id/NOVEXPERT-BOOSTER-SERUM-VITAMIN-C-Brightening-Treatment-30ml-i.37242565.547762247</v>
      </c>
      <c r="C1230" s="6" t="s">
        <v>2218</v>
      </c>
      <c r="D1230" s="6" t="s">
        <v>2157</v>
      </c>
      <c r="E1230" s="6" t="s">
        <v>12</v>
      </c>
      <c r="F1230" s="6" t="s">
        <v>13</v>
      </c>
      <c r="G1230" s="6" t="s">
        <v>98</v>
      </c>
      <c r="H1230" s="8" t="s">
        <v>2198</v>
      </c>
      <c r="I1230" s="9">
        <v>4900000.0</v>
      </c>
      <c r="J1230" s="5" t="str">
        <f t="shared" ref="J1230:K1230" si="1230">SUBSTITUTE(H1230, ",", "")</f>
        <v>17</v>
      </c>
      <c r="K1230" s="5" t="str">
        <f t="shared" si="1230"/>
        <v>Rp4900000</v>
      </c>
      <c r="L1230" s="5" t="str">
        <f t="shared" si="3"/>
        <v>4900000</v>
      </c>
    </row>
    <row r="1231">
      <c r="A1231" s="6" t="s">
        <v>2219</v>
      </c>
      <c r="B1231" s="7" t="str">
        <f>HYPERLINK("https://shopee.co.id/SOME-BY-MI-AHABHAPHA-30-Days-Miracle-Serum-i.125116082.10011565570", "https://shopee.co.id/SOME-BY-MI-AHABHAPHA-30-Days-Miracle-Serum-i.125116082.10011565570")</f>
        <v>https://shopee.co.id/SOME-BY-MI-AHABHAPHA-30-Days-Miracle-Serum-i.125116082.10011565570</v>
      </c>
      <c r="C1231" s="6" t="s">
        <v>213</v>
      </c>
      <c r="D1231" s="6" t="s">
        <v>713</v>
      </c>
      <c r="E1231" s="6" t="s">
        <v>12</v>
      </c>
      <c r="F1231" s="6" t="s">
        <v>13</v>
      </c>
      <c r="G1231" s="6" t="s">
        <v>61</v>
      </c>
      <c r="H1231" s="8" t="s">
        <v>2198</v>
      </c>
      <c r="I1231" s="9">
        <v>1278400.0</v>
      </c>
      <c r="J1231" s="5" t="str">
        <f t="shared" ref="J1231:K1231" si="1231">SUBSTITUTE(H1231, ",", "")</f>
        <v>17</v>
      </c>
      <c r="K1231" s="5" t="str">
        <f t="shared" si="1231"/>
        <v>Rp1278400</v>
      </c>
      <c r="L1231" s="5" t="str">
        <f t="shared" si="3"/>
        <v>1278400</v>
      </c>
    </row>
    <row r="1232">
      <c r="A1232" s="6" t="s">
        <v>2220</v>
      </c>
      <c r="B1232" s="7" t="str">
        <f>HYPERLINK("https://shopee.co.id/BUHOTEI-Hanasui-Vit-C-Collagen-Facial-Serum-Anti-Acne-Serum-Vitamin-C-New-Look-New-Formula-BPOM-i.403097854.8088976330", "https://shopee.co.id/BUHOTEI-Hanasui-Vit-C-Collagen-Facial-Serum-Anti-Acne-Serum-Vitamin-C-New-Look-New-Formula-BPOM-i.403097854.8088976330")</f>
        <v>https://shopee.co.id/BUHOTEI-Hanasui-Vit-C-Collagen-Facial-Serum-Anti-Acne-Serum-Vitamin-C-New-Look-New-Formula-BPOM-i.403097854.8088976330</v>
      </c>
      <c r="C1232" s="6" t="s">
        <v>784</v>
      </c>
      <c r="D1232" s="6" t="s">
        <v>1035</v>
      </c>
      <c r="E1232" s="6" t="s">
        <v>12</v>
      </c>
      <c r="F1232" s="6" t="s">
        <v>13</v>
      </c>
      <c r="G1232" s="6" t="s">
        <v>61</v>
      </c>
      <c r="H1232" s="8" t="s">
        <v>2198</v>
      </c>
      <c r="I1232" s="9">
        <v>2189700.0</v>
      </c>
      <c r="J1232" s="5" t="str">
        <f t="shared" ref="J1232:K1232" si="1232">SUBSTITUTE(H1232, ",", "")</f>
        <v>17</v>
      </c>
      <c r="K1232" s="5" t="str">
        <f t="shared" si="1232"/>
        <v>Rp2189700</v>
      </c>
      <c r="L1232" s="5" t="str">
        <f t="shared" si="3"/>
        <v>2189700</v>
      </c>
    </row>
    <row r="1233">
      <c r="A1233" s="6" t="s">
        <v>2008</v>
      </c>
      <c r="B1233" s="7" t="str">
        <f>HYPERLINK("https://shopee.co.id/Iunik-Propolis-Vitamin-Synergy-Serum-15ml-i.270765534.3753357965", "https://shopee.co.id/Iunik-Propolis-Vitamin-Synergy-Serum-15ml-i.270765534.3753357965")</f>
        <v>https://shopee.co.id/Iunik-Propolis-Vitamin-Synergy-Serum-15ml-i.270765534.3753357965</v>
      </c>
      <c r="C1233" s="6" t="s">
        <v>1658</v>
      </c>
      <c r="D1233" s="6" t="s">
        <v>1659</v>
      </c>
      <c r="E1233" s="6" t="s">
        <v>12</v>
      </c>
      <c r="F1233" s="6" t="s">
        <v>13</v>
      </c>
      <c r="G1233" s="6" t="s">
        <v>21</v>
      </c>
      <c r="H1233" s="8" t="s">
        <v>2198</v>
      </c>
      <c r="I1233" s="9">
        <v>2552000.0</v>
      </c>
      <c r="J1233" s="5" t="str">
        <f t="shared" ref="J1233:K1233" si="1233">SUBSTITUTE(H1233, ",", "")</f>
        <v>17</v>
      </c>
      <c r="K1233" s="5" t="str">
        <f t="shared" si="1233"/>
        <v>Rp2552000</v>
      </c>
      <c r="L1233" s="5" t="str">
        <f t="shared" si="3"/>
        <v>2552000</v>
      </c>
    </row>
    <row r="1234">
      <c r="A1234" s="6" t="s">
        <v>2221</v>
      </c>
      <c r="B1234" s="7" t="str">
        <f>HYPERLINK("https://shopee.co.id/er-1-Gold-Serum-Serum-Anti-Aging-by-dr-Erna-Purnamasari-i.147564934.6791116217", "https://shopee.co.id/er-1-Gold-Serum-Serum-Anti-Aging-by-dr-Erna-Purnamasari-i.147564934.6791116217")</f>
        <v>https://shopee.co.id/er-1-Gold-Serum-Serum-Anti-Aging-by-dr-Erna-Purnamasari-i.147564934.6791116217</v>
      </c>
      <c r="C1234" s="6" t="s">
        <v>2222</v>
      </c>
      <c r="D1234" s="6" t="s">
        <v>2223</v>
      </c>
      <c r="E1234" s="6" t="s">
        <v>12</v>
      </c>
      <c r="F1234" s="6" t="s">
        <v>13</v>
      </c>
      <c r="G1234" s="6" t="s">
        <v>21</v>
      </c>
      <c r="H1234" s="8" t="s">
        <v>2198</v>
      </c>
      <c r="I1234" s="9">
        <v>202300.0</v>
      </c>
      <c r="J1234" s="5" t="str">
        <f t="shared" ref="J1234:K1234" si="1234">SUBSTITUTE(H1234, ",", "")</f>
        <v>17</v>
      </c>
      <c r="K1234" s="5" t="str">
        <f t="shared" si="1234"/>
        <v>Rp202300</v>
      </c>
      <c r="L1234" s="5" t="str">
        <f t="shared" si="3"/>
        <v>202300</v>
      </c>
    </row>
    <row r="1235">
      <c r="A1235" s="6" t="s">
        <v>2224</v>
      </c>
      <c r="B1235" s="7" t="str">
        <f>HYPERLINK("https://shopee.co.id/Bio-Essence-Bio-Water-Soothing-Cleanser-Gel-150-ml-Perawatan-Wajah-i.63822287.5517933391", "https://shopee.co.id/Bio-Essence-Bio-Water-Soothing-Cleanser-Gel-150-ml-Perawatan-Wajah-i.63822287.5517933391")</f>
        <v>https://shopee.co.id/Bio-Essence-Bio-Water-Soothing-Cleanser-Gel-150-ml-Perawatan-Wajah-i.63822287.5517933391</v>
      </c>
      <c r="C1235" s="6" t="s">
        <v>1254</v>
      </c>
      <c r="D1235" s="6" t="s">
        <v>835</v>
      </c>
      <c r="E1235" s="6" t="s">
        <v>12</v>
      </c>
      <c r="F1235" s="6" t="s">
        <v>13</v>
      </c>
      <c r="G1235" s="6" t="s">
        <v>61</v>
      </c>
      <c r="H1235" s="8" t="s">
        <v>2198</v>
      </c>
      <c r="I1235" s="9">
        <v>2504286.0</v>
      </c>
      <c r="J1235" s="5" t="str">
        <f t="shared" ref="J1235:K1235" si="1235">SUBSTITUTE(H1235, ",", "")</f>
        <v>17</v>
      </c>
      <c r="K1235" s="5" t="str">
        <f t="shared" si="1235"/>
        <v>Rp2504286</v>
      </c>
      <c r="L1235" s="5" t="str">
        <f t="shared" si="3"/>
        <v>2504286</v>
      </c>
    </row>
    <row r="1236">
      <c r="A1236" s="6" t="s">
        <v>2225</v>
      </c>
      <c r="B1236" s="7" t="str">
        <f>HYPERLINK("https://shopee.co.id/Mesoestetic-Aox-Ferulic-30ml-i.353481368.9704139796", "https://shopee.co.id/Mesoestetic-Aox-Ferulic-30ml-i.353481368.9704139796")</f>
        <v>https://shopee.co.id/Mesoestetic-Aox-Ferulic-30ml-i.353481368.9704139796</v>
      </c>
      <c r="C1236" s="6" t="s">
        <v>2226</v>
      </c>
      <c r="D1236" s="6" t="s">
        <v>2227</v>
      </c>
      <c r="E1236" s="6" t="s">
        <v>12</v>
      </c>
      <c r="F1236" s="6" t="s">
        <v>13</v>
      </c>
      <c r="G1236" s="6" t="s">
        <v>21</v>
      </c>
      <c r="H1236" s="8" t="s">
        <v>2198</v>
      </c>
      <c r="I1236" s="9">
        <v>1941300.0</v>
      </c>
      <c r="J1236" s="5" t="str">
        <f t="shared" ref="J1236:K1236" si="1236">SUBSTITUTE(H1236, ",", "")</f>
        <v>17</v>
      </c>
      <c r="K1236" s="5" t="str">
        <f t="shared" si="1236"/>
        <v>Rp1941300</v>
      </c>
      <c r="L1236" s="5" t="str">
        <f t="shared" si="3"/>
        <v>1941300</v>
      </c>
    </row>
    <row r="1237">
      <c r="A1237" s="6" t="s">
        <v>2228</v>
      </c>
      <c r="B1237" s="7" t="str">
        <f>HYPERLINK("https://shopee.co.id/KF-Skin-Serum-White-and-Beauty-i.298365554.6552078688", "https://shopee.co.id/KF-Skin-Serum-White-and-Beauty-i.298365554.6552078688")</f>
        <v>https://shopee.co.id/KF-Skin-Serum-White-and-Beauty-i.298365554.6552078688</v>
      </c>
      <c r="C1237" s="6" t="s">
        <v>1290</v>
      </c>
      <c r="D1237" s="6" t="s">
        <v>1291</v>
      </c>
      <c r="E1237" s="6" t="s">
        <v>12</v>
      </c>
      <c r="F1237" s="6" t="s">
        <v>13</v>
      </c>
      <c r="G1237" s="6" t="s">
        <v>1292</v>
      </c>
      <c r="H1237" s="8" t="s">
        <v>2198</v>
      </c>
      <c r="I1237" s="9">
        <v>2364720.0</v>
      </c>
      <c r="J1237" s="5" t="str">
        <f t="shared" ref="J1237:K1237" si="1237">SUBSTITUTE(H1237, ",", "")</f>
        <v>17</v>
      </c>
      <c r="K1237" s="5" t="str">
        <f t="shared" si="1237"/>
        <v>Rp2364720</v>
      </c>
      <c r="L1237" s="5" t="str">
        <f t="shared" si="3"/>
        <v>2364720</v>
      </c>
    </row>
    <row r="1238">
      <c r="A1238" s="6" t="s">
        <v>2229</v>
      </c>
      <c r="B1238" s="7" t="str">
        <f>HYPERLINK("https://shopee.co.id/FIRST-LAB-FIRST-LAB-Probiotic-Pore-Tightening-Essence-30ml-i.68111.2258676170", "https://shopee.co.id/FIRST-LAB-FIRST-LAB-Probiotic-Pore-Tightening-Essence-30ml-i.68111.2258676170")</f>
        <v>https://shopee.co.id/FIRST-LAB-FIRST-LAB-Probiotic-Pore-Tightening-Essence-30ml-i.68111.2258676170</v>
      </c>
      <c r="C1238" s="6" t="s">
        <v>1617</v>
      </c>
      <c r="D1238" s="6" t="s">
        <v>441</v>
      </c>
      <c r="E1238" s="6" t="s">
        <v>12</v>
      </c>
      <c r="F1238" s="6" t="s">
        <v>13</v>
      </c>
      <c r="G1238" s="6" t="s">
        <v>130</v>
      </c>
      <c r="H1238" s="8" t="s">
        <v>2198</v>
      </c>
      <c r="I1238" s="9">
        <v>3332000.0</v>
      </c>
      <c r="J1238" s="5" t="str">
        <f t="shared" ref="J1238:K1238" si="1238">SUBSTITUTE(H1238, ",", "")</f>
        <v>17</v>
      </c>
      <c r="K1238" s="5" t="str">
        <f t="shared" si="1238"/>
        <v>Rp3332000</v>
      </c>
      <c r="L1238" s="5" t="str">
        <f t="shared" si="3"/>
        <v>3332000</v>
      </c>
    </row>
    <row r="1239">
      <c r="A1239" s="6" t="s">
        <v>2230</v>
      </c>
      <c r="B1239" s="7" t="str">
        <f>HYPERLINK("https://shopee.co.id/Xi-XiU-FACE-SERUM-WHITENING-GOLD-i.222854973.8027187430", "https://shopee.co.id/Xi-XiU-FACE-SERUM-WHITENING-GOLD-i.222854973.8027187430")</f>
        <v>https://shopee.co.id/Xi-XiU-FACE-SERUM-WHITENING-GOLD-i.222854973.8027187430</v>
      </c>
      <c r="C1239" s="6" t="s">
        <v>2231</v>
      </c>
      <c r="D1239" s="6" t="s">
        <v>2232</v>
      </c>
      <c r="E1239" s="6" t="s">
        <v>12</v>
      </c>
      <c r="F1239" s="6" t="s">
        <v>13</v>
      </c>
      <c r="G1239" s="6" t="s">
        <v>36</v>
      </c>
      <c r="H1239" s="8" t="s">
        <v>2198</v>
      </c>
      <c r="I1239" s="9">
        <v>9634600.0</v>
      </c>
      <c r="J1239" s="5" t="str">
        <f t="shared" ref="J1239:K1239" si="1239">SUBSTITUTE(H1239, ",", "")</f>
        <v>17</v>
      </c>
      <c r="K1239" s="5" t="str">
        <f t="shared" si="1239"/>
        <v>Rp9634600</v>
      </c>
      <c r="L1239" s="5" t="str">
        <f t="shared" si="3"/>
        <v>9634600</v>
      </c>
    </row>
    <row r="1240">
      <c r="A1240" s="6" t="s">
        <v>2233</v>
      </c>
      <c r="B1240" s="7" t="str">
        <f>HYPERLINK("https://shopee.co.id/Envygreen-Pore-Minimizer-Serum-10gr-i.825870.4150712660", "https://shopee.co.id/Envygreen-Pore-Minimizer-Serum-10gr-i.825870.4150712660")</f>
        <v>https://shopee.co.id/Envygreen-Pore-Minimizer-Serum-10gr-i.825870.4150712660</v>
      </c>
      <c r="C1240" s="6" t="s">
        <v>2034</v>
      </c>
      <c r="D1240" s="6" t="s">
        <v>1184</v>
      </c>
      <c r="E1240" s="6" t="s">
        <v>12</v>
      </c>
      <c r="F1240" s="6" t="s">
        <v>13</v>
      </c>
      <c r="G1240" s="6" t="s">
        <v>21</v>
      </c>
      <c r="H1240" s="8" t="s">
        <v>2198</v>
      </c>
      <c r="I1240" s="9">
        <v>1914100.0</v>
      </c>
      <c r="J1240" s="5" t="str">
        <f t="shared" ref="J1240:K1240" si="1240">SUBSTITUTE(H1240, ",", "")</f>
        <v>17</v>
      </c>
      <c r="K1240" s="5" t="str">
        <f t="shared" si="1240"/>
        <v>Rp1914100</v>
      </c>
      <c r="L1240" s="5" t="str">
        <f t="shared" si="3"/>
        <v>1914100</v>
      </c>
    </row>
    <row r="1241">
      <c r="A1241" s="6" t="s">
        <v>2234</v>
      </c>
      <c r="B1241" s="7" t="str">
        <f>HYPERLINK("https://shopee.co.id/Bio-Essence-Bio-White-Advanced-Whitening-Refiner-100-ml-Bio-White-Advanced-Whitening-Serum-30-ml-i.63822287.4378876573", "https://shopee.co.id/Bio-Essence-Bio-White-Advanced-Whitening-Refiner-100-ml-Bio-White-Advanced-Whitening-Serum-30-ml-i.63822287.4378876573")</f>
        <v>https://shopee.co.id/Bio-Essence-Bio-White-Advanced-Whitening-Refiner-100-ml-Bio-White-Advanced-Whitening-Serum-30-ml-i.63822287.4378876573</v>
      </c>
      <c r="C1241" s="6" t="s">
        <v>1254</v>
      </c>
      <c r="D1241" s="6" t="s">
        <v>835</v>
      </c>
      <c r="E1241" s="6" t="s">
        <v>12</v>
      </c>
      <c r="F1241" s="6" t="s">
        <v>13</v>
      </c>
      <c r="G1241" s="6" t="s">
        <v>61</v>
      </c>
      <c r="H1241" s="8" t="s">
        <v>2198</v>
      </c>
      <c r="I1241" s="9">
        <v>1023750.0</v>
      </c>
      <c r="J1241" s="5" t="str">
        <f t="shared" ref="J1241:K1241" si="1241">SUBSTITUTE(H1241, ",", "")</f>
        <v>17</v>
      </c>
      <c r="K1241" s="5" t="str">
        <f t="shared" si="1241"/>
        <v>Rp1023750</v>
      </c>
      <c r="L1241" s="5" t="str">
        <f t="shared" si="3"/>
        <v>1023750</v>
      </c>
    </row>
    <row r="1242">
      <c r="A1242" s="6" t="s">
        <v>2235</v>
      </c>
      <c r="B1242" s="7" t="str">
        <f>HYPERLINK("https://shopee.co.id/SHAPELYNE-V-Shape-Facial-Lift-Serum-Untuk-Merampingkan-Wajah-i.285944023.8693367288", "https://shopee.co.id/SHAPELYNE-V-Shape-Facial-Lift-Serum-Untuk-Merampingkan-Wajah-i.285944023.8693367288")</f>
        <v>https://shopee.co.id/SHAPELYNE-V-Shape-Facial-Lift-Serum-Untuk-Merampingkan-Wajah-i.285944023.8693367288</v>
      </c>
      <c r="C1242" s="6" t="s">
        <v>2236</v>
      </c>
      <c r="D1242" s="6" t="s">
        <v>2237</v>
      </c>
      <c r="E1242" s="6" t="s">
        <v>12</v>
      </c>
      <c r="F1242" s="6" t="s">
        <v>13</v>
      </c>
      <c r="G1242" s="6" t="s">
        <v>2238</v>
      </c>
      <c r="H1242" s="8" t="s">
        <v>2198</v>
      </c>
      <c r="I1242" s="9">
        <v>1641453.0</v>
      </c>
      <c r="J1242" s="5" t="str">
        <f t="shared" ref="J1242:K1242" si="1242">SUBSTITUTE(H1242, ",", "")</f>
        <v>17</v>
      </c>
      <c r="K1242" s="5" t="str">
        <f t="shared" si="1242"/>
        <v>Rp1641453</v>
      </c>
      <c r="L1242" s="5" t="str">
        <f t="shared" si="3"/>
        <v>1641453</v>
      </c>
    </row>
    <row r="1243">
      <c r="A1243" s="6" t="s">
        <v>2239</v>
      </c>
      <c r="B1243" s="7" t="str">
        <f>HYPERLINK("https://shopee.co.id/Bio-Essence-Bio-Water-Moist-In-Water-Gel-Cream-50gr-Perawatan-Wajah-i.63822287.4017936475", "https://shopee.co.id/Bio-Essence-Bio-Water-Moist-In-Water-Gel-Cream-50gr-Perawatan-Wajah-i.63822287.4017936475")</f>
        <v>https://shopee.co.id/Bio-Essence-Bio-Water-Moist-In-Water-Gel-Cream-50gr-Perawatan-Wajah-i.63822287.4017936475</v>
      </c>
      <c r="C1243" s="6" t="s">
        <v>2240</v>
      </c>
      <c r="D1243" s="6" t="s">
        <v>835</v>
      </c>
      <c r="E1243" s="6" t="s">
        <v>12</v>
      </c>
      <c r="F1243" s="6" t="s">
        <v>13</v>
      </c>
      <c r="G1243" s="6" t="s">
        <v>61</v>
      </c>
      <c r="H1243" s="8" t="s">
        <v>2198</v>
      </c>
      <c r="I1243" s="9">
        <v>6265700.0</v>
      </c>
      <c r="J1243" s="5" t="str">
        <f t="shared" ref="J1243:K1243" si="1243">SUBSTITUTE(H1243, ",", "")</f>
        <v>17</v>
      </c>
      <c r="K1243" s="5" t="str">
        <f t="shared" si="1243"/>
        <v>Rp6265700</v>
      </c>
      <c r="L1243" s="5" t="str">
        <f t="shared" si="3"/>
        <v>6265700</v>
      </c>
    </row>
    <row r="1244">
      <c r="A1244" s="6" t="s">
        <v>2241</v>
      </c>
      <c r="B1244" s="7" t="str">
        <f>HYPERLINK("https://shopee.co.id/SKEYNDOR-Pure-Vitamin-C-Intense-Recovery-Factor-i.241089883.6227234325", "https://shopee.co.id/SKEYNDOR-Pure-Vitamin-C-Intense-Recovery-Factor-i.241089883.6227234325")</f>
        <v>https://shopee.co.id/SKEYNDOR-Pure-Vitamin-C-Intense-Recovery-Factor-i.241089883.6227234325</v>
      </c>
      <c r="C1244" s="6" t="s">
        <v>2215</v>
      </c>
      <c r="D1244" s="6" t="s">
        <v>2216</v>
      </c>
      <c r="E1244" s="6" t="s">
        <v>12</v>
      </c>
      <c r="F1244" s="6" t="s">
        <v>13</v>
      </c>
      <c r="G1244" s="6" t="s">
        <v>21</v>
      </c>
      <c r="H1244" s="8" t="s">
        <v>2198</v>
      </c>
      <c r="I1244" s="9">
        <v>1849600.0</v>
      </c>
      <c r="J1244" s="5" t="str">
        <f t="shared" ref="J1244:K1244" si="1244">SUBSTITUTE(H1244, ",", "")</f>
        <v>17</v>
      </c>
      <c r="K1244" s="5" t="str">
        <f t="shared" si="1244"/>
        <v>Rp1849600</v>
      </c>
      <c r="L1244" s="5" t="str">
        <f t="shared" si="3"/>
        <v>1849600</v>
      </c>
    </row>
    <row r="1245">
      <c r="A1245" s="6" t="s">
        <v>2242</v>
      </c>
      <c r="B1245" s="7" t="str">
        <f>HYPERLINK("https://shopee.co.id/-The-Face-Shop-Yehwadam-Plum-Flower-Revitalizing-Serum-45ml-Original-i.34671748.11112209595", "https://shopee.co.id/-The-Face-Shop-Yehwadam-Plum-Flower-Revitalizing-Serum-45ml-Original-i.34671748.11112209595")</f>
        <v>https://shopee.co.id/-The-Face-Shop-Yehwadam-Plum-Flower-Revitalizing-Serum-45ml-Original-i.34671748.11112209595</v>
      </c>
      <c r="C1245" s="6" t="s">
        <v>1217</v>
      </c>
      <c r="D1245" s="6" t="s">
        <v>1218</v>
      </c>
      <c r="E1245" s="6" t="s">
        <v>12</v>
      </c>
      <c r="F1245" s="6" t="s">
        <v>13</v>
      </c>
      <c r="G1245" s="6" t="s">
        <v>61</v>
      </c>
      <c r="H1245" s="8" t="s">
        <v>2198</v>
      </c>
      <c r="I1245" s="9">
        <v>1768000.0</v>
      </c>
      <c r="J1245" s="5" t="str">
        <f t="shared" ref="J1245:K1245" si="1245">SUBSTITUTE(H1245, ",", "")</f>
        <v>17</v>
      </c>
      <c r="K1245" s="5" t="str">
        <f t="shared" si="1245"/>
        <v>Rp1768000</v>
      </c>
      <c r="L1245" s="5" t="str">
        <f t="shared" si="3"/>
        <v>1768000</v>
      </c>
    </row>
    <row r="1246">
      <c r="A1246" s="6" t="s">
        <v>2243</v>
      </c>
      <c r="B1246" s="7" t="str">
        <f>HYPERLINK("https://shopee.co.id/MSBB-ElsheSkin-Active-Rejuvenating-Night-Serum-i.288588702.7451093952", "https://shopee.co.id/MSBB-ElsheSkin-Active-Rejuvenating-Night-Serum-i.288588702.7451093952")</f>
        <v>https://shopee.co.id/MSBB-ElsheSkin-Active-Rejuvenating-Night-Serum-i.288588702.7451093952</v>
      </c>
      <c r="C1246" s="6" t="s">
        <v>135</v>
      </c>
      <c r="D1246" s="6" t="s">
        <v>79</v>
      </c>
      <c r="E1246" s="6" t="s">
        <v>12</v>
      </c>
      <c r="F1246" s="6" t="s">
        <v>13</v>
      </c>
      <c r="G1246" s="6" t="s">
        <v>80</v>
      </c>
      <c r="H1246" s="8" t="s">
        <v>2198</v>
      </c>
      <c r="I1246" s="9">
        <v>4587250.0</v>
      </c>
      <c r="J1246" s="5" t="str">
        <f t="shared" ref="J1246:K1246" si="1246">SUBSTITUTE(H1246, ",", "")</f>
        <v>17</v>
      </c>
      <c r="K1246" s="5" t="str">
        <f t="shared" si="1246"/>
        <v>Rp4587250</v>
      </c>
      <c r="L1246" s="5" t="str">
        <f t="shared" si="3"/>
        <v>4587250</v>
      </c>
    </row>
    <row r="1247">
      <c r="A1247" s="6" t="s">
        <v>2244</v>
      </c>
      <c r="B1247" s="7" t="str">
        <f>HYPERLINK("https://shopee.co.id/THE-POTIONS-Azulene-Ampoule-20ml-i.379239733.6178488068", "https://shopee.co.id/THE-POTIONS-Azulene-Ampoule-20ml-i.379239733.6178488068")</f>
        <v>https://shopee.co.id/THE-POTIONS-Azulene-Ampoule-20ml-i.379239733.6178488068</v>
      </c>
      <c r="C1247" s="6" t="s">
        <v>2245</v>
      </c>
      <c r="D1247" s="6" t="s">
        <v>2246</v>
      </c>
      <c r="E1247" s="6" t="s">
        <v>12</v>
      </c>
      <c r="F1247" s="6" t="s">
        <v>13</v>
      </c>
      <c r="G1247" s="6" t="s">
        <v>130</v>
      </c>
      <c r="H1247" s="8" t="s">
        <v>2198</v>
      </c>
      <c r="I1247" s="9">
        <v>7652200.0</v>
      </c>
      <c r="J1247" s="5" t="str">
        <f t="shared" ref="J1247:K1247" si="1247">SUBSTITUTE(H1247, ",", "")</f>
        <v>17</v>
      </c>
      <c r="K1247" s="5" t="str">
        <f t="shared" si="1247"/>
        <v>Rp7652200</v>
      </c>
      <c r="L1247" s="5" t="str">
        <f t="shared" si="3"/>
        <v>7652200</v>
      </c>
    </row>
    <row r="1248">
      <c r="A1248" s="6" t="s">
        <v>2247</v>
      </c>
      <c r="B1248" s="7" t="str">
        <f>HYPERLINK("https://shopee.co.id/Moriganic-Avocado-Oil-Serum-30ml-BPOM-i.160415531.2622250898", "https://shopee.co.id/Moriganic-Avocado-Oil-Serum-30ml-BPOM-i.160415531.2622250898")</f>
        <v>https://shopee.co.id/Moriganic-Avocado-Oil-Serum-30ml-BPOM-i.160415531.2622250898</v>
      </c>
      <c r="C1248" s="6" t="s">
        <v>1421</v>
      </c>
      <c r="D1248" s="6" t="s">
        <v>1422</v>
      </c>
      <c r="E1248" s="6" t="s">
        <v>12</v>
      </c>
      <c r="F1248" s="6" t="s">
        <v>13</v>
      </c>
      <c r="G1248" s="6" t="s">
        <v>21</v>
      </c>
      <c r="H1248" s="8" t="s">
        <v>2198</v>
      </c>
      <c r="I1248" s="9">
        <v>2703000.0</v>
      </c>
      <c r="J1248" s="5" t="str">
        <f t="shared" ref="J1248:K1248" si="1248">SUBSTITUTE(H1248, ",", "")</f>
        <v>17</v>
      </c>
      <c r="K1248" s="5" t="str">
        <f t="shared" si="1248"/>
        <v>Rp2703000</v>
      </c>
      <c r="L1248" s="5" t="str">
        <f t="shared" si="3"/>
        <v>2703000</v>
      </c>
    </row>
    <row r="1249">
      <c r="A1249" s="6" t="s">
        <v>2248</v>
      </c>
      <c r="B1249" s="7" t="str">
        <f>HYPERLINK("https://shopee.co.id/Serum-Glass-Skin-for-Anti-Aging-Calming-Whitening-Marwah-Skin-Care-i.357101711.8941246350", "https://shopee.co.id/Serum-Glass-Skin-for-Anti-Aging-Calming-Whitening-Marwah-Skin-Care-i.357101711.8941246350")</f>
        <v>https://shopee.co.id/Serum-Glass-Skin-for-Anti-Aging-Calming-Whitening-Marwah-Skin-Care-i.357101711.8941246350</v>
      </c>
      <c r="C1249" s="6" t="s">
        <v>2249</v>
      </c>
      <c r="D1249" s="6" t="s">
        <v>2250</v>
      </c>
      <c r="E1249" s="6" t="s">
        <v>12</v>
      </c>
      <c r="F1249" s="6" t="s">
        <v>13</v>
      </c>
      <c r="G1249" s="6" t="s">
        <v>370</v>
      </c>
      <c r="H1249" s="8" t="s">
        <v>2198</v>
      </c>
      <c r="I1249" s="9">
        <v>1.74646E7</v>
      </c>
      <c r="J1249" s="5" t="str">
        <f t="shared" ref="J1249:K1249" si="1249">SUBSTITUTE(H1249, ",", "")</f>
        <v>17</v>
      </c>
      <c r="K1249" s="5" t="str">
        <f t="shared" si="1249"/>
        <v>Rp17464600</v>
      </c>
      <c r="L1249" s="5" t="str">
        <f t="shared" si="3"/>
        <v>17464600</v>
      </c>
    </row>
    <row r="1250">
      <c r="A1250" s="6" t="s">
        <v>2251</v>
      </c>
      <c r="B1250" s="7" t="str">
        <f>HYPERLINK("https://shopee.co.id/Beauty-Package-Niacinamide-Hyaluronic-Acid-Serum-i.124549994.9084538519", "https://shopee.co.id/Beauty-Package-Niacinamide-Hyaluronic-Acid-Serum-i.124549994.9084538519")</f>
        <v>https://shopee.co.id/Beauty-Package-Niacinamide-Hyaluronic-Acid-Serum-i.124549994.9084538519</v>
      </c>
      <c r="C1250" s="6" t="s">
        <v>807</v>
      </c>
      <c r="D1250" s="6" t="s">
        <v>808</v>
      </c>
      <c r="E1250" s="6" t="s">
        <v>12</v>
      </c>
      <c r="F1250" s="6" t="s">
        <v>13</v>
      </c>
      <c r="G1250" s="6" t="s">
        <v>61</v>
      </c>
      <c r="H1250" s="8" t="s">
        <v>2198</v>
      </c>
      <c r="I1250" s="9">
        <v>1.275E7</v>
      </c>
      <c r="J1250" s="5" t="str">
        <f t="shared" ref="J1250:K1250" si="1250">SUBSTITUTE(H1250, ",", "")</f>
        <v>17</v>
      </c>
      <c r="K1250" s="5" t="str">
        <f t="shared" si="1250"/>
        <v>Rp12750000</v>
      </c>
      <c r="L1250" s="5" t="str">
        <f t="shared" si="3"/>
        <v>12750000</v>
      </c>
    </row>
    <row r="1251">
      <c r="A1251" s="6" t="s">
        <v>2252</v>
      </c>
      <c r="B1251" s="7" t="str">
        <f>HYPERLINK("https://shopee.co.id/Sulwhasoo-Bloomstay-Vitalizing-Serum-30ml-i.274949344.8907362659", "https://shopee.co.id/Sulwhasoo-Bloomstay-Vitalizing-Serum-30ml-i.274949344.8907362659")</f>
        <v>https://shopee.co.id/Sulwhasoo-Bloomstay-Vitalizing-Serum-30ml-i.274949344.8907362659</v>
      </c>
      <c r="C1251" s="6" t="s">
        <v>282</v>
      </c>
      <c r="D1251" s="6" t="s">
        <v>283</v>
      </c>
      <c r="E1251" s="6" t="s">
        <v>12</v>
      </c>
      <c r="F1251" s="6" t="s">
        <v>13</v>
      </c>
      <c r="G1251" s="6" t="s">
        <v>61</v>
      </c>
      <c r="H1251" s="8" t="s">
        <v>2253</v>
      </c>
      <c r="I1251" s="9">
        <v>810546.0</v>
      </c>
      <c r="J1251" s="5" t="str">
        <f t="shared" ref="J1251:K1251" si="1251">SUBSTITUTE(H1251, ",", "")</f>
        <v>16</v>
      </c>
      <c r="K1251" s="5" t="str">
        <f t="shared" si="1251"/>
        <v>Rp810546</v>
      </c>
      <c r="L1251" s="5" t="str">
        <f t="shared" si="3"/>
        <v>810546</v>
      </c>
    </row>
    <row r="1252">
      <c r="A1252" s="6" t="s">
        <v>2254</v>
      </c>
      <c r="B1252" s="7" t="str">
        <f>HYPERLINK("https://shopee.co.id/Bio-Essence-Bio-Vlift-Face-Lifting-Cream-45-gr-i.63822287.8023471600", "https://shopee.co.id/Bio-Essence-Bio-Vlift-Face-Lifting-Cream-45-gr-i.63822287.8023471600")</f>
        <v>https://shopee.co.id/Bio-Essence-Bio-Vlift-Face-Lifting-Cream-45-gr-i.63822287.8023471600</v>
      </c>
      <c r="C1252" s="6" t="s">
        <v>1254</v>
      </c>
      <c r="D1252" s="6" t="s">
        <v>835</v>
      </c>
      <c r="E1252" s="6" t="s">
        <v>12</v>
      </c>
      <c r="F1252" s="6" t="s">
        <v>13</v>
      </c>
      <c r="G1252" s="6" t="s">
        <v>61</v>
      </c>
      <c r="H1252" s="8" t="s">
        <v>2253</v>
      </c>
      <c r="I1252" s="9">
        <v>550400.0</v>
      </c>
      <c r="J1252" s="5" t="str">
        <f t="shared" ref="J1252:K1252" si="1252">SUBSTITUTE(H1252, ",", "")</f>
        <v>16</v>
      </c>
      <c r="K1252" s="5" t="str">
        <f t="shared" si="1252"/>
        <v>Rp550400</v>
      </c>
      <c r="L1252" s="5" t="str">
        <f t="shared" si="3"/>
        <v>550400</v>
      </c>
    </row>
    <row r="1253">
      <c r="A1253" s="6" t="s">
        <v>2255</v>
      </c>
      <c r="B1253" s="7" t="str">
        <f>HYPERLINK("https://shopee.co.id/Gloskin-Xpert-Serum-Package-i.206769167.9142518365", "https://shopee.co.id/Gloskin-Xpert-Serum-Package-i.206769167.9142518365")</f>
        <v>https://shopee.co.id/Gloskin-Xpert-Serum-Package-i.206769167.9142518365</v>
      </c>
      <c r="C1253" s="6" t="s">
        <v>2256</v>
      </c>
      <c r="D1253" s="6" t="s">
        <v>2257</v>
      </c>
      <c r="E1253" s="6" t="s">
        <v>12</v>
      </c>
      <c r="F1253" s="6" t="s">
        <v>13</v>
      </c>
      <c r="G1253" s="6" t="s">
        <v>98</v>
      </c>
      <c r="H1253" s="8" t="s">
        <v>2253</v>
      </c>
      <c r="I1253" s="9">
        <v>550400.0</v>
      </c>
      <c r="J1253" s="5" t="str">
        <f t="shared" ref="J1253:K1253" si="1253">SUBSTITUTE(H1253, ",", "")</f>
        <v>16</v>
      </c>
      <c r="K1253" s="5" t="str">
        <f t="shared" si="1253"/>
        <v>Rp550400</v>
      </c>
      <c r="L1253" s="5" t="str">
        <f t="shared" si="3"/>
        <v>550400</v>
      </c>
    </row>
    <row r="1254">
      <c r="A1254" s="6" t="s">
        <v>2258</v>
      </c>
      <c r="B1254" s="7" t="str">
        <f>HYPERLINK("https://shopee.co.id/Bio-Essence-BioWater-Moistin-Water-Lotion-Toner-150ml-Wajah-Sensitif-i.63822287.6817934319", "https://shopee.co.id/Bio-Essence-BioWater-Moistin-Water-Lotion-Toner-150ml-Wajah-Sensitif-i.63822287.6817934319")</f>
        <v>https://shopee.co.id/Bio-Essence-BioWater-Moistin-Water-Lotion-Toner-150ml-Wajah-Sensitif-i.63822287.6817934319</v>
      </c>
      <c r="C1254" s="6" t="s">
        <v>1254</v>
      </c>
      <c r="D1254" s="6" t="s">
        <v>835</v>
      </c>
      <c r="E1254" s="6" t="s">
        <v>12</v>
      </c>
      <c r="F1254" s="6" t="s">
        <v>13</v>
      </c>
      <c r="G1254" s="6" t="s">
        <v>61</v>
      </c>
      <c r="H1254" s="8" t="s">
        <v>2253</v>
      </c>
      <c r="I1254" s="9">
        <v>5934000.0</v>
      </c>
      <c r="J1254" s="5" t="str">
        <f t="shared" ref="J1254:K1254" si="1254">SUBSTITUTE(H1254, ",", "")</f>
        <v>16</v>
      </c>
      <c r="K1254" s="5" t="str">
        <f t="shared" si="1254"/>
        <v>Rp5934000</v>
      </c>
      <c r="L1254" s="5" t="str">
        <f t="shared" si="3"/>
        <v>5934000</v>
      </c>
    </row>
    <row r="1255">
      <c r="A1255" s="6" t="s">
        <v>2259</v>
      </c>
      <c r="B1255" s="7" t="str">
        <f>HYPERLINK("https://shopee.co.id/Double-Anti-Aging-Brightening-Intensive-Serum-i.58821479.11345996379", "https://shopee.co.id/Double-Anti-Aging-Brightening-Intensive-Serum-i.58821479.11345996379")</f>
        <v>https://shopee.co.id/Double-Anti-Aging-Brightening-Intensive-Serum-i.58821479.11345996379</v>
      </c>
      <c r="C1255" s="6" t="s">
        <v>2260</v>
      </c>
      <c r="D1255" s="6" t="s">
        <v>2261</v>
      </c>
      <c r="E1255" s="6" t="s">
        <v>12</v>
      </c>
      <c r="F1255" s="6" t="s">
        <v>13</v>
      </c>
      <c r="G1255" s="6" t="s">
        <v>80</v>
      </c>
      <c r="H1255" s="8" t="s">
        <v>2253</v>
      </c>
      <c r="I1255" s="9">
        <v>319984.0</v>
      </c>
      <c r="J1255" s="5" t="str">
        <f t="shared" ref="J1255:K1255" si="1255">SUBSTITUTE(H1255, ",", "")</f>
        <v>16</v>
      </c>
      <c r="K1255" s="5" t="str">
        <f t="shared" si="1255"/>
        <v>Rp319984</v>
      </c>
      <c r="L1255" s="5" t="str">
        <f t="shared" si="3"/>
        <v>319984</v>
      </c>
    </row>
    <row r="1256">
      <c r="A1256" s="6" t="s">
        <v>2262</v>
      </c>
      <c r="B1256" s="7" t="str">
        <f>HYPERLINK("https://shopee.co.id/Nacific-Fresh-Cica-Plus-Clear-Serum-50ml-i.270965687.4837720398", "https://shopee.co.id/Nacific-Fresh-Cica-Plus-Clear-Serum-50ml-i.270965687.4837720398")</f>
        <v>https://shopee.co.id/Nacific-Fresh-Cica-Plus-Clear-Serum-50ml-i.270965687.4837720398</v>
      </c>
      <c r="C1256" s="6" t="s">
        <v>344</v>
      </c>
      <c r="D1256" s="6" t="s">
        <v>379</v>
      </c>
      <c r="E1256" s="6" t="s">
        <v>12</v>
      </c>
      <c r="F1256" s="6" t="s">
        <v>13</v>
      </c>
      <c r="G1256" s="6" t="s">
        <v>380</v>
      </c>
      <c r="H1256" s="8" t="s">
        <v>2253</v>
      </c>
      <c r="I1256" s="9">
        <v>2608500.0</v>
      </c>
      <c r="J1256" s="5" t="str">
        <f t="shared" ref="J1256:K1256" si="1256">SUBSTITUTE(H1256, ",", "")</f>
        <v>16</v>
      </c>
      <c r="K1256" s="5" t="str">
        <f t="shared" si="1256"/>
        <v>Rp2608500</v>
      </c>
      <c r="L1256" s="5" t="str">
        <f t="shared" si="3"/>
        <v>2608500</v>
      </c>
    </row>
    <row r="1257">
      <c r="A1257" s="6" t="s">
        <v>2263</v>
      </c>
      <c r="B1257" s="7" t="str">
        <f>HYPERLINK("https://shopee.co.id/Joylab-Bundling-Wonderskin-1-Serum-Creme-Free-Gotta-Matcha-Hydrating-Cleanser-Mini-i.127604258.11101460260", "https://shopee.co.id/Joylab-Bundling-Wonderskin-1-Serum-Creme-Free-Gotta-Matcha-Hydrating-Cleanser-Mini-i.127604258.11101460260")</f>
        <v>https://shopee.co.id/Joylab-Bundling-Wonderskin-1-Serum-Creme-Free-Gotta-Matcha-Hydrating-Cleanser-Mini-i.127604258.11101460260</v>
      </c>
      <c r="C1257" s="6" t="s">
        <v>1795</v>
      </c>
      <c r="D1257" s="6" t="s">
        <v>1796</v>
      </c>
      <c r="E1257" s="6" t="s">
        <v>12</v>
      </c>
      <c r="F1257" s="6" t="s">
        <v>13</v>
      </c>
      <c r="G1257" s="6" t="s">
        <v>98</v>
      </c>
      <c r="H1257" s="8" t="s">
        <v>2253</v>
      </c>
      <c r="I1257" s="9">
        <v>2195225.0</v>
      </c>
      <c r="J1257" s="5" t="str">
        <f t="shared" ref="J1257:K1257" si="1257">SUBSTITUTE(H1257, ",", "")</f>
        <v>16</v>
      </c>
      <c r="K1257" s="5" t="str">
        <f t="shared" si="1257"/>
        <v>Rp2195225</v>
      </c>
      <c r="L1257" s="5" t="str">
        <f t="shared" si="3"/>
        <v>2195225</v>
      </c>
    </row>
    <row r="1258">
      <c r="A1258" s="6" t="s">
        <v>2264</v>
      </c>
      <c r="B1258" s="7" t="str">
        <f>HYPERLINK("https://shopee.co.id/Holika-Holika-Prime-Youth-24K-Gold-Repair-Ampoule-i.18856010.1645478477", "https://shopee.co.id/Holika-Holika-Prime-Youth-24K-Gold-Repair-Ampoule-i.18856010.1645478477")</f>
        <v>https://shopee.co.id/Holika-Holika-Prime-Youth-24K-Gold-Repair-Ampoule-i.18856010.1645478477</v>
      </c>
      <c r="C1258" s="6" t="s">
        <v>2265</v>
      </c>
      <c r="D1258" s="6" t="s">
        <v>2266</v>
      </c>
      <c r="E1258" s="6" t="s">
        <v>12</v>
      </c>
      <c r="F1258" s="6" t="s">
        <v>13</v>
      </c>
      <c r="G1258" s="6" t="s">
        <v>21</v>
      </c>
      <c r="H1258" s="8" t="s">
        <v>2253</v>
      </c>
      <c r="I1258" s="9">
        <v>2224000.0</v>
      </c>
      <c r="J1258" s="5" t="str">
        <f t="shared" ref="J1258:K1258" si="1258">SUBSTITUTE(H1258, ",", "")</f>
        <v>16</v>
      </c>
      <c r="K1258" s="5" t="str">
        <f t="shared" si="1258"/>
        <v>Rp2224000</v>
      </c>
      <c r="L1258" s="5" t="str">
        <f t="shared" si="3"/>
        <v>2224000</v>
      </c>
    </row>
    <row r="1259">
      <c r="A1259" s="6" t="s">
        <v>2267</v>
      </c>
      <c r="B1259" s="7" t="str">
        <f>HYPERLINK("https://shopee.co.id/OMNISKIN-Watermelon-Glow-Waterfull-Whitening-Serum-20ml-i.68111.10400434943", "https://shopee.co.id/OMNISKIN-Watermelon-Glow-Waterfull-Whitening-Serum-20ml-i.68111.10400434943")</f>
        <v>https://shopee.co.id/OMNISKIN-Watermelon-Glow-Waterfull-Whitening-Serum-20ml-i.68111.10400434943</v>
      </c>
      <c r="C1259" s="6" t="s">
        <v>2268</v>
      </c>
      <c r="D1259" s="6" t="s">
        <v>441</v>
      </c>
      <c r="E1259" s="6" t="s">
        <v>12</v>
      </c>
      <c r="F1259" s="6" t="s">
        <v>13</v>
      </c>
      <c r="G1259" s="6" t="s">
        <v>130</v>
      </c>
      <c r="H1259" s="8" t="s">
        <v>2253</v>
      </c>
      <c r="I1259" s="9">
        <v>4760000.0</v>
      </c>
      <c r="J1259" s="5" t="str">
        <f t="shared" ref="J1259:K1259" si="1259">SUBSTITUTE(H1259, ",", "")</f>
        <v>16</v>
      </c>
      <c r="K1259" s="5" t="str">
        <f t="shared" si="1259"/>
        <v>Rp4760000</v>
      </c>
      <c r="L1259" s="5" t="str">
        <f t="shared" si="3"/>
        <v>4760000</v>
      </c>
    </row>
    <row r="1260">
      <c r="A1260" s="6" t="s">
        <v>2269</v>
      </c>
      <c r="B1260" s="7" t="str">
        <f>HYPERLINK("https://shopee.co.id/Hiqween-Bundling-Face-Essence-dan-Face-Serum-i.481417149.8077580458", "https://shopee.co.id/Hiqween-Bundling-Face-Essence-dan-Face-Serum-i.481417149.8077580458")</f>
        <v>https://shopee.co.id/Hiqween-Bundling-Face-Essence-dan-Face-Serum-i.481417149.8077580458</v>
      </c>
      <c r="C1260" s="6" t="s">
        <v>2270</v>
      </c>
      <c r="D1260" s="6" t="s">
        <v>2271</v>
      </c>
      <c r="E1260" s="6" t="s">
        <v>12</v>
      </c>
      <c r="F1260" s="6" t="s">
        <v>13</v>
      </c>
      <c r="G1260" s="6" t="s">
        <v>350</v>
      </c>
      <c r="H1260" s="8" t="s">
        <v>2253</v>
      </c>
      <c r="I1260" s="9">
        <v>2136000.0</v>
      </c>
      <c r="J1260" s="5" t="str">
        <f t="shared" ref="J1260:K1260" si="1260">SUBSTITUTE(H1260, ",", "")</f>
        <v>16</v>
      </c>
      <c r="K1260" s="5" t="str">
        <f t="shared" si="1260"/>
        <v>Rp2136000</v>
      </c>
      <c r="L1260" s="5" t="str">
        <f t="shared" si="3"/>
        <v>2136000</v>
      </c>
    </row>
    <row r="1261">
      <c r="A1261" s="6" t="s">
        <v>2272</v>
      </c>
      <c r="B1261" s="7" t="str">
        <f>HYPERLINK("https://shopee.co.id/Ponds-White-Beauty-Perfect-Potion-Essence-i.30736001.6537672461", "https://shopee.co.id/Ponds-White-Beauty-Perfect-Potion-Essence-i.30736001.6537672461")</f>
        <v>https://shopee.co.id/Ponds-White-Beauty-Perfect-Potion-Essence-i.30736001.6537672461</v>
      </c>
      <c r="C1261" s="6" t="s">
        <v>325</v>
      </c>
      <c r="D1261" s="6" t="s">
        <v>335</v>
      </c>
      <c r="E1261" s="6" t="s">
        <v>12</v>
      </c>
      <c r="F1261" s="6" t="s">
        <v>13</v>
      </c>
      <c r="G1261" s="6" t="s">
        <v>36</v>
      </c>
      <c r="H1261" s="8" t="s">
        <v>2253</v>
      </c>
      <c r="I1261" s="9">
        <v>2400000.0</v>
      </c>
      <c r="J1261" s="5" t="str">
        <f t="shared" ref="J1261:K1261" si="1261">SUBSTITUTE(H1261, ",", "")</f>
        <v>16</v>
      </c>
      <c r="K1261" s="5" t="str">
        <f t="shared" si="1261"/>
        <v>Rp2400000</v>
      </c>
      <c r="L1261" s="5" t="str">
        <f t="shared" si="3"/>
        <v>2400000</v>
      </c>
    </row>
    <row r="1262">
      <c r="A1262" s="6" t="s">
        <v>2273</v>
      </c>
      <c r="B1262" s="7" t="str">
        <f>HYPERLINK("https://shopee.co.id/Illuminare-Youth-Serum-30ml-Anti-Aging-Serum-Skin-Care-Anti-Kerutan-i.121791179.2172964348", "https://shopee.co.id/Illuminare-Youth-Serum-30ml-Anti-Aging-Serum-Skin-Care-Anti-Kerutan-i.121791179.2172964348")</f>
        <v>https://shopee.co.id/Illuminare-Youth-Serum-30ml-Anti-Aging-Serum-Skin-Care-Anti-Kerutan-i.121791179.2172964348</v>
      </c>
      <c r="C1262" s="6" t="s">
        <v>1750</v>
      </c>
      <c r="D1262" s="6" t="s">
        <v>1733</v>
      </c>
      <c r="E1262" s="6" t="s">
        <v>12</v>
      </c>
      <c r="F1262" s="6" t="s">
        <v>13</v>
      </c>
      <c r="G1262" s="6" t="s">
        <v>36</v>
      </c>
      <c r="H1262" s="8" t="s">
        <v>2253</v>
      </c>
      <c r="I1262" s="9">
        <v>4160000.0</v>
      </c>
      <c r="J1262" s="5" t="str">
        <f t="shared" ref="J1262:K1262" si="1262">SUBSTITUTE(H1262, ",", "")</f>
        <v>16</v>
      </c>
      <c r="K1262" s="5" t="str">
        <f t="shared" si="1262"/>
        <v>Rp4160000</v>
      </c>
      <c r="L1262" s="5" t="str">
        <f t="shared" si="3"/>
        <v>4160000</v>
      </c>
    </row>
    <row r="1263">
      <c r="A1263" s="6" t="s">
        <v>2274</v>
      </c>
      <c r="B1263" s="7" t="str">
        <f>HYPERLINK("https://shopee.co.id/Natur-E-White-Brightening-Serum-DANAWSRM--i.129461339.4420840249", "https://shopee.co.id/Natur-E-White-Brightening-Serum-DANAWSRM--i.129461339.4420840249")</f>
        <v>https://shopee.co.id/Natur-E-White-Brightening-Serum-DANAWSRM--i.129461339.4420840249</v>
      </c>
      <c r="C1263" s="6" t="s">
        <v>849</v>
      </c>
      <c r="D1263" s="6" t="s">
        <v>850</v>
      </c>
      <c r="E1263" s="6" t="s">
        <v>12</v>
      </c>
      <c r="F1263" s="6" t="s">
        <v>13</v>
      </c>
      <c r="G1263" s="6" t="s">
        <v>296</v>
      </c>
      <c r="H1263" s="8" t="s">
        <v>2253</v>
      </c>
      <c r="I1263" s="9">
        <v>4491000.0</v>
      </c>
      <c r="J1263" s="5" t="str">
        <f t="shared" ref="J1263:K1263" si="1263">SUBSTITUTE(H1263, ",", "")</f>
        <v>16</v>
      </c>
      <c r="K1263" s="5" t="str">
        <f t="shared" si="1263"/>
        <v>Rp4491000</v>
      </c>
      <c r="L1263" s="5" t="str">
        <f t="shared" si="3"/>
        <v>4491000</v>
      </c>
    </row>
    <row r="1264">
      <c r="A1264" s="6" t="s">
        <v>2275</v>
      </c>
      <c r="B1264" s="7" t="str">
        <f>HYPERLINK("https://shopee.co.id/THE-POTIONS-Peptide-Ampoule-20ml-i.379239733.4478479214", "https://shopee.co.id/THE-POTIONS-Peptide-Ampoule-20ml-i.379239733.4478479214")</f>
        <v>https://shopee.co.id/THE-POTIONS-Peptide-Ampoule-20ml-i.379239733.4478479214</v>
      </c>
      <c r="C1264" s="6" t="s">
        <v>2245</v>
      </c>
      <c r="D1264" s="6" t="s">
        <v>2246</v>
      </c>
      <c r="E1264" s="6" t="s">
        <v>12</v>
      </c>
      <c r="F1264" s="6" t="s">
        <v>13</v>
      </c>
      <c r="G1264" s="6" t="s">
        <v>130</v>
      </c>
      <c r="H1264" s="8" t="s">
        <v>2253</v>
      </c>
      <c r="I1264" s="9">
        <v>1464300.0</v>
      </c>
      <c r="J1264" s="5" t="str">
        <f t="shared" ref="J1264:K1264" si="1264">SUBSTITUTE(H1264, ",", "")</f>
        <v>16</v>
      </c>
      <c r="K1264" s="5" t="str">
        <f t="shared" si="1264"/>
        <v>Rp1464300</v>
      </c>
      <c r="L1264" s="5" t="str">
        <f t="shared" si="3"/>
        <v>1464300</v>
      </c>
    </row>
    <row r="1265">
      <c r="A1265" s="6" t="s">
        <v>2276</v>
      </c>
      <c r="B1265" s="7" t="str">
        <f>HYPERLINK("https://shopee.co.id/PROMO-Seger-Snow-Serum-Moisturizing-Skin-Lightening-Cream-Limited-Edition-GRATIS-Totebag-i.221165466.6976109940", "https://shopee.co.id/PROMO-Seger-Snow-Serum-Moisturizing-Skin-Lightening-Cream-Limited-Edition-GRATIS-Totebag-i.221165466.6976109940")</f>
        <v>https://shopee.co.id/PROMO-Seger-Snow-Serum-Moisturizing-Skin-Lightening-Cream-Limited-Edition-GRATIS-Totebag-i.221165466.6976109940</v>
      </c>
      <c r="C1265" s="6" t="s">
        <v>2005</v>
      </c>
      <c r="D1265" s="6" t="s">
        <v>2006</v>
      </c>
      <c r="E1265" s="6" t="s">
        <v>12</v>
      </c>
      <c r="F1265" s="6" t="s">
        <v>13</v>
      </c>
      <c r="G1265" s="6" t="s">
        <v>241</v>
      </c>
      <c r="H1265" s="8" t="s">
        <v>2253</v>
      </c>
      <c r="I1265" s="9">
        <v>3246500.0</v>
      </c>
      <c r="J1265" s="5" t="str">
        <f t="shared" ref="J1265:K1265" si="1265">SUBSTITUTE(H1265, ",", "")</f>
        <v>16</v>
      </c>
      <c r="K1265" s="5" t="str">
        <f t="shared" si="1265"/>
        <v>Rp3246500</v>
      </c>
      <c r="L1265" s="5" t="str">
        <f t="shared" si="3"/>
        <v>3246500</v>
      </c>
    </row>
    <row r="1266">
      <c r="A1266" s="6" t="s">
        <v>2277</v>
      </c>
      <c r="B1266" s="7" t="str">
        <f>HYPERLINK("https://shopee.co.id/Sekkisei-Clear-Treatment-Essence-i.105297385.1714581946", "https://shopee.co.id/Sekkisei-Clear-Treatment-Essence-i.105297385.1714581946")</f>
        <v>https://shopee.co.id/Sekkisei-Clear-Treatment-Essence-i.105297385.1714581946</v>
      </c>
      <c r="C1266" s="6" t="s">
        <v>1997</v>
      </c>
      <c r="D1266" s="6" t="s">
        <v>1998</v>
      </c>
      <c r="E1266" s="6" t="s">
        <v>12</v>
      </c>
      <c r="F1266" s="6" t="s">
        <v>13</v>
      </c>
      <c r="G1266" s="6" t="s">
        <v>532</v>
      </c>
      <c r="H1266" s="8" t="s">
        <v>2253</v>
      </c>
      <c r="I1266" s="9">
        <v>1519760.0</v>
      </c>
      <c r="J1266" s="5" t="str">
        <f t="shared" ref="J1266:K1266" si="1266">SUBSTITUTE(H1266, ",", "")</f>
        <v>16</v>
      </c>
      <c r="K1266" s="5" t="str">
        <f t="shared" si="1266"/>
        <v>Rp1519760</v>
      </c>
      <c r="L1266" s="5" t="str">
        <f t="shared" si="3"/>
        <v>1519760</v>
      </c>
    </row>
    <row r="1267">
      <c r="A1267" s="6" t="s">
        <v>2278</v>
      </c>
      <c r="B1267" s="7" t="str">
        <f>HYPERLINK("https://shopee.co.id/Dermacept-RX-VC-10-Serum-10ml-i.10689.1098356886", "https://shopee.co.id/Dermacept-RX-VC-10-Serum-10ml-i.10689.1098356886")</f>
        <v>https://shopee.co.id/Dermacept-RX-VC-10-Serum-10ml-i.10689.1098356886</v>
      </c>
      <c r="C1267" s="6" t="s">
        <v>2279</v>
      </c>
      <c r="D1267" s="6" t="s">
        <v>745</v>
      </c>
      <c r="E1267" s="6" t="s">
        <v>12</v>
      </c>
      <c r="F1267" s="6" t="s">
        <v>13</v>
      </c>
      <c r="G1267" s="6" t="s">
        <v>61</v>
      </c>
      <c r="H1267" s="8" t="s">
        <v>2253</v>
      </c>
      <c r="I1267" s="9">
        <v>1810490.0</v>
      </c>
      <c r="J1267" s="5" t="str">
        <f t="shared" ref="J1267:K1267" si="1267">SUBSTITUTE(H1267, ",", "")</f>
        <v>16</v>
      </c>
      <c r="K1267" s="5" t="str">
        <f t="shared" si="1267"/>
        <v>Rp1810490</v>
      </c>
      <c r="L1267" s="5" t="str">
        <f t="shared" si="3"/>
        <v>1810490</v>
      </c>
    </row>
    <row r="1268">
      <c r="A1268" s="6" t="s">
        <v>2280</v>
      </c>
      <c r="B1268" s="7" t="str">
        <f>HYPERLINK("https://shopee.co.id/Raiku-Brightening-Serum-30ml-i.82041605.1467702968", "https://shopee.co.id/Raiku-Brightening-Serum-30ml-i.82041605.1467702968")</f>
        <v>https://shopee.co.id/Raiku-Brightening-Serum-30ml-i.82041605.1467702968</v>
      </c>
      <c r="C1268" s="6" t="s">
        <v>2281</v>
      </c>
      <c r="D1268" s="6" t="s">
        <v>2282</v>
      </c>
      <c r="E1268" s="6" t="s">
        <v>12</v>
      </c>
      <c r="F1268" s="6" t="s">
        <v>13</v>
      </c>
      <c r="G1268" s="6" t="s">
        <v>21</v>
      </c>
      <c r="H1268" s="8" t="s">
        <v>2253</v>
      </c>
      <c r="I1268" s="9">
        <v>7154000.0</v>
      </c>
      <c r="J1268" s="5" t="str">
        <f t="shared" ref="J1268:K1268" si="1268">SUBSTITUTE(H1268, ",", "")</f>
        <v>16</v>
      </c>
      <c r="K1268" s="5" t="str">
        <f t="shared" si="1268"/>
        <v>Rp7154000</v>
      </c>
      <c r="L1268" s="5" t="str">
        <f t="shared" si="3"/>
        <v>7154000</v>
      </c>
    </row>
    <row r="1269">
      <c r="A1269" s="6" t="s">
        <v>2283</v>
      </c>
      <c r="B1269" s="7" t="str">
        <f>HYPERLINK("https://shopee.co.id/Berdua-Lebih-Hemat-Glowing-Night-Cream-Glowing-Serum-i.63439817.6291203781", "https://shopee.co.id/Berdua-Lebih-Hemat-Glowing-Night-Cream-Glowing-Serum-i.63439817.6291203781")</f>
        <v>https://shopee.co.id/Berdua-Lebih-Hemat-Glowing-Night-Cream-Glowing-Serum-i.63439817.6291203781</v>
      </c>
      <c r="C1269" s="6" t="s">
        <v>2030</v>
      </c>
      <c r="D1269" s="6" t="s">
        <v>2031</v>
      </c>
      <c r="E1269" s="6" t="s">
        <v>12</v>
      </c>
      <c r="F1269" s="6" t="s">
        <v>13</v>
      </c>
      <c r="G1269" s="6" t="s">
        <v>2032</v>
      </c>
      <c r="H1269" s="8" t="s">
        <v>2253</v>
      </c>
      <c r="I1269" s="9">
        <v>1568000.0</v>
      </c>
      <c r="J1269" s="5" t="str">
        <f t="shared" ref="J1269:K1269" si="1269">SUBSTITUTE(H1269, ",", "")</f>
        <v>16</v>
      </c>
      <c r="K1269" s="5" t="str">
        <f t="shared" si="1269"/>
        <v>Rp1568000</v>
      </c>
      <c r="L1269" s="5" t="str">
        <f t="shared" si="3"/>
        <v>1568000</v>
      </c>
    </row>
    <row r="1270">
      <c r="A1270" s="6" t="s">
        <v>2284</v>
      </c>
      <c r="B1270" s="7" t="str">
        <f>HYPERLINK("https://shopee.co.id/PURITO-Centella-Unscented-Serum-i.233721470.8649750382", "https://shopee.co.id/PURITO-Centella-Unscented-Serum-i.233721470.8649750382")</f>
        <v>https://shopee.co.id/PURITO-Centella-Unscented-Serum-i.233721470.8649750382</v>
      </c>
      <c r="C1270" s="6" t="s">
        <v>1993</v>
      </c>
      <c r="D1270" s="6" t="s">
        <v>1994</v>
      </c>
      <c r="E1270" s="6" t="s">
        <v>12</v>
      </c>
      <c r="F1270" s="6" t="s">
        <v>13</v>
      </c>
      <c r="G1270" s="6" t="s">
        <v>21</v>
      </c>
      <c r="H1270" s="8" t="s">
        <v>2253</v>
      </c>
      <c r="I1270" s="9">
        <v>3368000.0</v>
      </c>
      <c r="J1270" s="5" t="str">
        <f t="shared" ref="J1270:K1270" si="1270">SUBSTITUTE(H1270, ",", "")</f>
        <v>16</v>
      </c>
      <c r="K1270" s="5" t="str">
        <f t="shared" si="1270"/>
        <v>Rp3368000</v>
      </c>
      <c r="L1270" s="5" t="str">
        <f t="shared" si="3"/>
        <v>3368000</v>
      </c>
    </row>
    <row r="1271">
      <c r="A1271" s="6" t="s">
        <v>2285</v>
      </c>
      <c r="B1271" s="7" t="str">
        <f>HYPERLINK("https://shopee.co.id/Femmue-Lumi-re-Vital-C-i.293180359.7145461691", "https://shopee.co.id/Femmue-Lumi-re-Vital-C-i.293180359.7145461691")</f>
        <v>https://shopee.co.id/Femmue-Lumi-re-Vital-C-i.293180359.7145461691</v>
      </c>
      <c r="C1271" s="6" t="s">
        <v>2286</v>
      </c>
      <c r="D1271" s="6" t="s">
        <v>2287</v>
      </c>
      <c r="E1271" s="6" t="s">
        <v>12</v>
      </c>
      <c r="F1271" s="6" t="s">
        <v>13</v>
      </c>
      <c r="G1271" s="6" t="s">
        <v>61</v>
      </c>
      <c r="H1271" s="8" t="s">
        <v>2253</v>
      </c>
      <c r="I1271" s="9">
        <v>2160000.0</v>
      </c>
      <c r="J1271" s="5" t="str">
        <f t="shared" ref="J1271:K1271" si="1271">SUBSTITUTE(H1271, ",", "")</f>
        <v>16</v>
      </c>
      <c r="K1271" s="5" t="str">
        <f t="shared" si="1271"/>
        <v>Rp2160000</v>
      </c>
      <c r="L1271" s="5" t="str">
        <f t="shared" si="3"/>
        <v>2160000</v>
      </c>
    </row>
    <row r="1272">
      <c r="A1272" s="6" t="s">
        <v>2288</v>
      </c>
      <c r="B1272" s="7" t="str">
        <f>HYPERLINK("https://shopee.co.id/Olay-Regenerist-Micro-Sculpting-Serum-50gr-i.30736001.606806962", "https://shopee.co.id/Olay-Regenerist-Micro-Sculpting-Serum-50gr-i.30736001.606806962")</f>
        <v>https://shopee.co.id/Olay-Regenerist-Micro-Sculpting-Serum-50gr-i.30736001.606806962</v>
      </c>
      <c r="C1272" s="6" t="s">
        <v>317</v>
      </c>
      <c r="D1272" s="6" t="s">
        <v>335</v>
      </c>
      <c r="E1272" s="6" t="s">
        <v>12</v>
      </c>
      <c r="F1272" s="6" t="s">
        <v>13</v>
      </c>
      <c r="G1272" s="6" t="s">
        <v>36</v>
      </c>
      <c r="H1272" s="8" t="s">
        <v>2253</v>
      </c>
      <c r="I1272" s="9">
        <v>2192000.0</v>
      </c>
      <c r="J1272" s="5" t="str">
        <f t="shared" ref="J1272:K1272" si="1272">SUBSTITUTE(H1272, ",", "")</f>
        <v>16</v>
      </c>
      <c r="K1272" s="5" t="str">
        <f t="shared" si="1272"/>
        <v>Rp2192000</v>
      </c>
      <c r="L1272" s="5" t="str">
        <f t="shared" si="3"/>
        <v>2192000</v>
      </c>
    </row>
    <row r="1273">
      <c r="A1273" s="6" t="s">
        <v>2289</v>
      </c>
      <c r="B1273" s="7" t="str">
        <f>HYPERLINK("https://shopee.co.id/Wardah-Lightening-Facial-Serum-5x5ml-i.30736001.4937211080", "https://shopee.co.id/Wardah-Lightening-Facial-Serum-5x5ml-i.30736001.4937211080")</f>
        <v>https://shopee.co.id/Wardah-Lightening-Facial-Serum-5x5ml-i.30736001.4937211080</v>
      </c>
      <c r="C1273" s="6" t="s">
        <v>169</v>
      </c>
      <c r="D1273" s="6" t="s">
        <v>335</v>
      </c>
      <c r="E1273" s="6" t="s">
        <v>12</v>
      </c>
      <c r="F1273" s="6" t="s">
        <v>13</v>
      </c>
      <c r="G1273" s="6" t="s">
        <v>36</v>
      </c>
      <c r="H1273" s="8" t="s">
        <v>2253</v>
      </c>
      <c r="I1273" s="9">
        <v>2106000.0</v>
      </c>
      <c r="J1273" s="5" t="str">
        <f t="shared" ref="J1273:K1273" si="1273">SUBSTITUTE(H1273, ",", "")</f>
        <v>16</v>
      </c>
      <c r="K1273" s="5" t="str">
        <f t="shared" si="1273"/>
        <v>Rp2106000</v>
      </c>
      <c r="L1273" s="5" t="str">
        <f t="shared" si="3"/>
        <v>2106000</v>
      </c>
    </row>
    <row r="1274">
      <c r="A1274" s="6" t="s">
        <v>2290</v>
      </c>
      <c r="B1274" s="7" t="str">
        <f>HYPERLINK("https://shopee.co.id/Ultima-II-Procollagen-Supreme-Caviar-Face-Essence-30-ml-i.152254718.2681282461", "https://shopee.co.id/Ultima-II-Procollagen-Supreme-Caviar-Face-Essence-30-ml-i.152254718.2681282461")</f>
        <v>https://shopee.co.id/Ultima-II-Procollagen-Supreme-Caviar-Face-Essence-30-ml-i.152254718.2681282461</v>
      </c>
      <c r="C1274" s="6" t="s">
        <v>1210</v>
      </c>
      <c r="D1274" s="6" t="s">
        <v>1211</v>
      </c>
      <c r="E1274" s="6" t="s">
        <v>12</v>
      </c>
      <c r="F1274" s="6" t="s">
        <v>13</v>
      </c>
      <c r="G1274" s="6" t="s">
        <v>469</v>
      </c>
      <c r="H1274" s="8" t="s">
        <v>2253</v>
      </c>
      <c r="I1274" s="9">
        <v>2689600.0</v>
      </c>
      <c r="J1274" s="5" t="str">
        <f t="shared" ref="J1274:K1274" si="1274">SUBSTITUTE(H1274, ",", "")</f>
        <v>16</v>
      </c>
      <c r="K1274" s="5" t="str">
        <f t="shared" si="1274"/>
        <v>Rp2689600</v>
      </c>
      <c r="L1274" s="5" t="str">
        <f t="shared" si="3"/>
        <v>2689600</v>
      </c>
    </row>
    <row r="1275">
      <c r="A1275" s="6" t="s">
        <v>2291</v>
      </c>
      <c r="B1275" s="7" t="str">
        <f>HYPERLINK("https://shopee.co.id/Skin-Aqua-Tone-Up-UV-Essence-Sunscreen-SPF-50-40-gr-i.65323877.10919054821", "https://shopee.co.id/Skin-Aqua-Tone-Up-UV-Essence-Sunscreen-SPF-50-40-gr-i.65323877.10919054821")</f>
        <v>https://shopee.co.id/Skin-Aqua-Tone-Up-UV-Essence-Sunscreen-SPF-50-40-gr-i.65323877.10919054821</v>
      </c>
      <c r="C1275" s="6" t="s">
        <v>830</v>
      </c>
      <c r="D1275" s="6" t="s">
        <v>1600</v>
      </c>
      <c r="E1275" s="6" t="s">
        <v>12</v>
      </c>
      <c r="F1275" s="6" t="s">
        <v>13</v>
      </c>
      <c r="G1275" s="6" t="s">
        <v>296</v>
      </c>
      <c r="H1275" s="8" t="s">
        <v>2253</v>
      </c>
      <c r="I1275" s="9">
        <v>2000000.0</v>
      </c>
      <c r="J1275" s="5" t="str">
        <f t="shared" ref="J1275:K1275" si="1275">SUBSTITUTE(H1275, ",", "")</f>
        <v>16</v>
      </c>
      <c r="K1275" s="5" t="str">
        <f t="shared" si="1275"/>
        <v>Rp2000000</v>
      </c>
      <c r="L1275" s="5" t="str">
        <f t="shared" si="3"/>
        <v>2000000</v>
      </c>
    </row>
    <row r="1276">
      <c r="A1276" s="6" t="s">
        <v>2292</v>
      </c>
      <c r="B1276" s="7" t="str">
        <f>HYPERLINK("https://shopee.co.id/The-Potions-Azulene-Ampoule-20Ml-i.186214521.8143218676", "https://shopee.co.id/The-Potions-Azulene-Ampoule-20Ml-i.186214521.8143218676")</f>
        <v>https://shopee.co.id/The-Potions-Azulene-Ampoule-20Ml-i.186214521.8143218676</v>
      </c>
      <c r="C1276" s="6" t="s">
        <v>2245</v>
      </c>
      <c r="D1276" s="6" t="s">
        <v>2293</v>
      </c>
      <c r="E1276" s="6" t="s">
        <v>12</v>
      </c>
      <c r="F1276" s="6" t="s">
        <v>13</v>
      </c>
      <c r="G1276" s="6" t="s">
        <v>61</v>
      </c>
      <c r="H1276" s="8" t="s">
        <v>2253</v>
      </c>
      <c r="I1276" s="9">
        <v>1424000.0</v>
      </c>
      <c r="J1276" s="5" t="str">
        <f t="shared" ref="J1276:K1276" si="1276">SUBSTITUTE(H1276, ",", "")</f>
        <v>16</v>
      </c>
      <c r="K1276" s="5" t="str">
        <f t="shared" si="1276"/>
        <v>Rp1424000</v>
      </c>
      <c r="L1276" s="5" t="str">
        <f t="shared" si="3"/>
        <v>1424000</v>
      </c>
    </row>
    <row r="1277">
      <c r="A1277" s="6" t="s">
        <v>2294</v>
      </c>
      <c r="B1277" s="7" t="str">
        <f>HYPERLINK("https://shopee.co.id/J-GLOW-Serum-Ever-Glow-Memberikan-Efek-Lebih-Cerah-Glowing-15ml-i.165212611.2523288340", "https://shopee.co.id/J-GLOW-Serum-Ever-Glow-Memberikan-Efek-Lebih-Cerah-Glowing-15ml-i.165212611.2523288340")</f>
        <v>https://shopee.co.id/J-GLOW-Serum-Ever-Glow-Memberikan-Efek-Lebih-Cerah-Glowing-15ml-i.165212611.2523288340</v>
      </c>
      <c r="C1277" s="6" t="s">
        <v>1553</v>
      </c>
      <c r="D1277" s="6" t="s">
        <v>1554</v>
      </c>
      <c r="E1277" s="6" t="s">
        <v>12</v>
      </c>
      <c r="F1277" s="6" t="s">
        <v>13</v>
      </c>
      <c r="G1277" s="6" t="s">
        <v>241</v>
      </c>
      <c r="H1277" s="8" t="s">
        <v>2253</v>
      </c>
      <c r="I1277" s="9">
        <v>2781200.0</v>
      </c>
      <c r="J1277" s="5" t="str">
        <f t="shared" ref="J1277:K1277" si="1277">SUBSTITUTE(H1277, ",", "")</f>
        <v>16</v>
      </c>
      <c r="K1277" s="5" t="str">
        <f t="shared" si="1277"/>
        <v>Rp2781200</v>
      </c>
      <c r="L1277" s="5" t="str">
        <f t="shared" si="3"/>
        <v>2781200</v>
      </c>
    </row>
    <row r="1278">
      <c r="A1278" s="6" t="s">
        <v>2295</v>
      </c>
      <c r="B1278" s="7" t="str">
        <f>HYPERLINK("https://shopee.co.id/Probeauty-Serum-Acne-Plus-Serum-Whitening-Acne-Untuk-Memutihkan-Bekas-Noda-Jerawat-i.9171679.7415475930", "https://shopee.co.id/Probeauty-Serum-Acne-Plus-Serum-Whitening-Acne-Untuk-Memutihkan-Bekas-Noda-Jerawat-i.9171679.7415475930")</f>
        <v>https://shopee.co.id/Probeauty-Serum-Acne-Plus-Serum-Whitening-Acne-Untuk-Memutihkan-Bekas-Noda-Jerawat-i.9171679.7415475930</v>
      </c>
      <c r="C1278" s="6" t="s">
        <v>2207</v>
      </c>
      <c r="D1278" s="6" t="s">
        <v>2208</v>
      </c>
      <c r="E1278" s="6" t="s">
        <v>12</v>
      </c>
      <c r="F1278" s="6" t="s">
        <v>13</v>
      </c>
      <c r="G1278" s="6" t="s">
        <v>2209</v>
      </c>
      <c r="H1278" s="8" t="s">
        <v>2253</v>
      </c>
      <c r="I1278" s="9">
        <v>1848000.0</v>
      </c>
      <c r="J1278" s="5" t="str">
        <f t="shared" ref="J1278:K1278" si="1278">SUBSTITUTE(H1278, ",", "")</f>
        <v>16</v>
      </c>
      <c r="K1278" s="5" t="str">
        <f t="shared" si="1278"/>
        <v>Rp1848000</v>
      </c>
      <c r="L1278" s="5" t="str">
        <f t="shared" si="3"/>
        <v>1848000</v>
      </c>
    </row>
    <row r="1279">
      <c r="A1279" s="6" t="s">
        <v>2296</v>
      </c>
      <c r="B1279" s="7" t="str">
        <f>HYPERLINK("https://shopee.co.id/Bio-Essence-Bio-Gold-Rose-Gold-Water-30-ml-Twinpack-Special-i.63822287.5684987628", "https://shopee.co.id/Bio-Essence-Bio-Gold-Rose-Gold-Water-30-ml-Twinpack-Special-i.63822287.5684987628")</f>
        <v>https://shopee.co.id/Bio-Essence-Bio-Gold-Rose-Gold-Water-30-ml-Twinpack-Special-i.63822287.5684987628</v>
      </c>
      <c r="C1279" s="6" t="s">
        <v>1688</v>
      </c>
      <c r="D1279" s="6" t="s">
        <v>835</v>
      </c>
      <c r="E1279" s="6" t="s">
        <v>12</v>
      </c>
      <c r="F1279" s="6" t="s">
        <v>13</v>
      </c>
      <c r="G1279" s="6" t="s">
        <v>61</v>
      </c>
      <c r="H1279" s="8" t="s">
        <v>2253</v>
      </c>
      <c r="I1279" s="9">
        <v>2040000.0</v>
      </c>
      <c r="J1279" s="5" t="str">
        <f t="shared" ref="J1279:K1279" si="1279">SUBSTITUTE(H1279, ",", "")</f>
        <v>16</v>
      </c>
      <c r="K1279" s="5" t="str">
        <f t="shared" si="1279"/>
        <v>Rp2040000</v>
      </c>
      <c r="L1279" s="5" t="str">
        <f t="shared" si="3"/>
        <v>2040000</v>
      </c>
    </row>
    <row r="1280">
      <c r="A1280" s="6" t="s">
        <v>2297</v>
      </c>
      <c r="B1280" s="7" t="str">
        <f>HYPERLINK("https://shopee.co.id/Probeauty-Night-Serum-Glow-Whitening-Glowing-Pearl-Serum-With-Conchiolin-Protein-hyarulonic-acid-i.9171679.11613853440", "https://shopee.co.id/Probeauty-Night-Serum-Glow-Whitening-Glowing-Pearl-Serum-With-Conchiolin-Protein-hyarulonic-acid-i.9171679.11613853440")</f>
        <v>https://shopee.co.id/Probeauty-Night-Serum-Glow-Whitening-Glowing-Pearl-Serum-With-Conchiolin-Protein-hyarulonic-acid-i.9171679.11613853440</v>
      </c>
      <c r="C1280" s="6" t="s">
        <v>2207</v>
      </c>
      <c r="D1280" s="6" t="s">
        <v>2208</v>
      </c>
      <c r="E1280" s="6" t="s">
        <v>12</v>
      </c>
      <c r="F1280" s="6" t="s">
        <v>13</v>
      </c>
      <c r="G1280" s="6" t="s">
        <v>2209</v>
      </c>
      <c r="H1280" s="8" t="s">
        <v>2253</v>
      </c>
      <c r="I1280" s="9">
        <v>1425600.0</v>
      </c>
      <c r="J1280" s="5" t="str">
        <f t="shared" ref="J1280:K1280" si="1280">SUBSTITUTE(H1280, ",", "")</f>
        <v>16</v>
      </c>
      <c r="K1280" s="5" t="str">
        <f t="shared" si="1280"/>
        <v>Rp1425600</v>
      </c>
      <c r="L1280" s="5" t="str">
        <f t="shared" si="3"/>
        <v>1425600</v>
      </c>
    </row>
    <row r="1281">
      <c r="A1281" s="6" t="s">
        <v>2298</v>
      </c>
      <c r="B1281" s="7" t="str">
        <f>HYPERLINK("https://shopee.co.id/Buy-1-Get-1-Bio-Essence-Bio-Renew-Deep-Cleanser-100-gr-i.63822287.13701480505", "https://shopee.co.id/Buy-1-Get-1-Bio-Essence-Bio-Renew-Deep-Cleanser-100-gr-i.63822287.13701480505")</f>
        <v>https://shopee.co.id/Buy-1-Get-1-Bio-Essence-Bio-Renew-Deep-Cleanser-100-gr-i.63822287.13701480505</v>
      </c>
      <c r="C1281" s="6" t="s">
        <v>1254</v>
      </c>
      <c r="D1281" s="6" t="s">
        <v>835</v>
      </c>
      <c r="E1281" s="6" t="s">
        <v>12</v>
      </c>
      <c r="F1281" s="6" t="s">
        <v>13</v>
      </c>
      <c r="G1281" s="6" t="s">
        <v>61</v>
      </c>
      <c r="H1281" s="8" t="s">
        <v>2253</v>
      </c>
      <c r="I1281" s="9">
        <v>4557300.0</v>
      </c>
      <c r="J1281" s="5" t="str">
        <f t="shared" ref="J1281:K1281" si="1281">SUBSTITUTE(H1281, ",", "")</f>
        <v>16</v>
      </c>
      <c r="K1281" s="5" t="str">
        <f t="shared" si="1281"/>
        <v>Rp4557300</v>
      </c>
      <c r="L1281" s="5" t="str">
        <f t="shared" si="3"/>
        <v>4557300</v>
      </c>
    </row>
    <row r="1282">
      <c r="A1282" s="6" t="s">
        <v>2299</v>
      </c>
      <c r="B1282" s="7" t="str">
        <f>HYPERLINK("https://shopee.co.id/Safi-Age-Defy-Gold-Water-Essence-30ml-i.30736001.2784900459", "https://shopee.co.id/Safi-Age-Defy-Gold-Water-Essence-30ml-i.30736001.2784900459")</f>
        <v>https://shopee.co.id/Safi-Age-Defy-Gold-Water-Essence-30ml-i.30736001.2784900459</v>
      </c>
      <c r="C1282" s="6" t="s">
        <v>278</v>
      </c>
      <c r="D1282" s="6" t="s">
        <v>335</v>
      </c>
      <c r="E1282" s="6" t="s">
        <v>12</v>
      </c>
      <c r="F1282" s="6" t="s">
        <v>13</v>
      </c>
      <c r="G1282" s="6" t="s">
        <v>36</v>
      </c>
      <c r="H1282" s="8" t="s">
        <v>2253</v>
      </c>
      <c r="I1282" s="9">
        <v>622999.0</v>
      </c>
      <c r="J1282" s="5" t="str">
        <f t="shared" ref="J1282:K1282" si="1282">SUBSTITUTE(H1282, ",", "")</f>
        <v>16</v>
      </c>
      <c r="K1282" s="5" t="str">
        <f t="shared" si="1282"/>
        <v>Rp622999</v>
      </c>
      <c r="L1282" s="5" t="str">
        <f t="shared" si="3"/>
        <v>622999</v>
      </c>
    </row>
    <row r="1283">
      <c r="A1283" s="6" t="s">
        <v>2300</v>
      </c>
      <c r="B1283" s="7" t="str">
        <f>HYPERLINK("https://shopee.co.id/Scarlett-Whitening-Brightly-Ever-After-Serum-15ml-i.68111.4656147616", "https://shopee.co.id/Scarlett-Whitening-Brightly-Ever-After-Serum-15ml-i.68111.4656147616")</f>
        <v>https://shopee.co.id/Scarlett-Whitening-Brightly-Ever-After-Serum-15ml-i.68111.4656147616</v>
      </c>
      <c r="C1283" s="6" t="s">
        <v>19</v>
      </c>
      <c r="D1283" s="6" t="s">
        <v>441</v>
      </c>
      <c r="E1283" s="6" t="s">
        <v>12</v>
      </c>
      <c r="F1283" s="6" t="s">
        <v>13</v>
      </c>
      <c r="G1283" s="6" t="s">
        <v>130</v>
      </c>
      <c r="H1283" s="8" t="s">
        <v>2301</v>
      </c>
      <c r="I1283" s="9">
        <v>5612500.0</v>
      </c>
      <c r="J1283" s="5" t="str">
        <f t="shared" ref="J1283:K1283" si="1283">SUBSTITUTE(H1283, ",", "")</f>
        <v>15</v>
      </c>
      <c r="K1283" s="5" t="str">
        <f t="shared" si="1283"/>
        <v>Rp5612500</v>
      </c>
      <c r="L1283" s="5" t="str">
        <f t="shared" si="3"/>
        <v>5612500</v>
      </c>
    </row>
    <row r="1284">
      <c r="A1284" s="6" t="s">
        <v>2302</v>
      </c>
      <c r="B1284" s="7" t="str">
        <f>HYPERLINK("https://shopee.co.id/-FREE-COTTON-MASK-Haple-Bundle-La-Luna-Anti-Aging-Serum-Silvermoon-Calming-Serum-i.26944218.5388019942", "https://shopee.co.id/-FREE-COTTON-MASK-Haple-Bundle-La-Luna-Anti-Aging-Serum-Silvermoon-Calming-Serum-i.26944218.5388019942")</f>
        <v>https://shopee.co.id/-FREE-COTTON-MASK-Haple-Bundle-La-Luna-Anti-Aging-Serum-Silvermoon-Calming-Serum-i.26944218.5388019942</v>
      </c>
      <c r="C1284" s="6" t="s">
        <v>1415</v>
      </c>
      <c r="D1284" s="6" t="s">
        <v>1416</v>
      </c>
      <c r="E1284" s="6" t="s">
        <v>12</v>
      </c>
      <c r="F1284" s="6" t="s">
        <v>13</v>
      </c>
      <c r="G1284" s="6" t="s">
        <v>21</v>
      </c>
      <c r="H1284" s="8" t="s">
        <v>2301</v>
      </c>
      <c r="I1284" s="9">
        <v>5550000.0</v>
      </c>
      <c r="J1284" s="5" t="str">
        <f t="shared" ref="J1284:K1284" si="1284">SUBSTITUTE(H1284, ",", "")</f>
        <v>15</v>
      </c>
      <c r="K1284" s="5" t="str">
        <f t="shared" si="1284"/>
        <v>Rp5550000</v>
      </c>
      <c r="L1284" s="5" t="str">
        <f t="shared" si="3"/>
        <v>5550000</v>
      </c>
    </row>
    <row r="1285">
      <c r="A1285" s="6" t="s">
        <v>2303</v>
      </c>
      <c r="B1285" s="7" t="str">
        <f>HYPERLINK("https://shopee.co.id/5-Niacinamide-Greentea-Skinbright-Serum-i.19578272.3290330390", "https://shopee.co.id/5-Niacinamide-Greentea-Skinbright-Serum-i.19578272.3290330390")</f>
        <v>https://shopee.co.id/5-Niacinamide-Greentea-Skinbright-Serum-i.19578272.3290330390</v>
      </c>
      <c r="C1285" s="6" t="s">
        <v>1300</v>
      </c>
      <c r="D1285" s="6" t="s">
        <v>1301</v>
      </c>
      <c r="E1285" s="6" t="s">
        <v>12</v>
      </c>
      <c r="F1285" s="6" t="s">
        <v>13</v>
      </c>
      <c r="G1285" s="6" t="s">
        <v>98</v>
      </c>
      <c r="H1285" s="8" t="s">
        <v>2301</v>
      </c>
      <c r="I1285" s="9">
        <v>2.625E7</v>
      </c>
      <c r="J1285" s="5" t="str">
        <f t="shared" ref="J1285:K1285" si="1285">SUBSTITUTE(H1285, ",", "")</f>
        <v>15</v>
      </c>
      <c r="K1285" s="5" t="str">
        <f t="shared" si="1285"/>
        <v>Rp26250000</v>
      </c>
      <c r="L1285" s="5" t="str">
        <f t="shared" si="3"/>
        <v>26250000</v>
      </c>
    </row>
    <row r="1286">
      <c r="A1286" s="6" t="s">
        <v>2304</v>
      </c>
      <c r="B1286" s="7" t="str">
        <f>HYPERLINK("https://shopee.co.id/SCARLETT-Whitening-Acne-Serum-15ml-i.68111.5756145762", "https://shopee.co.id/SCARLETT-Whitening-Acne-Serum-15ml-i.68111.5756145762")</f>
        <v>https://shopee.co.id/SCARLETT-Whitening-Acne-Serum-15ml-i.68111.5756145762</v>
      </c>
      <c r="C1286" s="6" t="s">
        <v>19</v>
      </c>
      <c r="D1286" s="6" t="s">
        <v>441</v>
      </c>
      <c r="E1286" s="6" t="s">
        <v>12</v>
      </c>
      <c r="F1286" s="6" t="s">
        <v>13</v>
      </c>
      <c r="G1286" s="6" t="s">
        <v>130</v>
      </c>
      <c r="H1286" s="8" t="s">
        <v>2301</v>
      </c>
      <c r="I1286" s="9">
        <v>1.4999985E7</v>
      </c>
      <c r="J1286" s="5" t="str">
        <f t="shared" ref="J1286:K1286" si="1286">SUBSTITUTE(H1286, ",", "")</f>
        <v>15</v>
      </c>
      <c r="K1286" s="5" t="str">
        <f t="shared" si="1286"/>
        <v>Rp14999985</v>
      </c>
      <c r="L1286" s="5" t="str">
        <f t="shared" si="3"/>
        <v>14999985</v>
      </c>
    </row>
    <row r="1287">
      <c r="A1287" s="6" t="s">
        <v>2305</v>
      </c>
      <c r="B1287" s="7" t="str">
        <f>HYPERLINK("https://shopee.co.id/er-1-Pure-Bright-Serum-Serum-Pencerah-Wajah-by-dr-Erna-Purnamasari-i.147564934.4506893407", "https://shopee.co.id/er-1-Pure-Bright-Serum-Serum-Pencerah-Wajah-by-dr-Erna-Purnamasari-i.147564934.4506893407")</f>
        <v>https://shopee.co.id/er-1-Pure-Bright-Serum-Serum-Pencerah-Wajah-by-dr-Erna-Purnamasari-i.147564934.4506893407</v>
      </c>
      <c r="C1287" s="6" t="s">
        <v>2222</v>
      </c>
      <c r="D1287" s="6" t="s">
        <v>2223</v>
      </c>
      <c r="E1287" s="6" t="s">
        <v>12</v>
      </c>
      <c r="F1287" s="6" t="s">
        <v>13</v>
      </c>
      <c r="G1287" s="6" t="s">
        <v>21</v>
      </c>
      <c r="H1287" s="8" t="s">
        <v>2301</v>
      </c>
      <c r="I1287" s="9">
        <v>2130600.0</v>
      </c>
      <c r="J1287" s="5" t="str">
        <f t="shared" ref="J1287:K1287" si="1287">SUBSTITUTE(H1287, ",", "")</f>
        <v>15</v>
      </c>
      <c r="K1287" s="5" t="str">
        <f t="shared" si="1287"/>
        <v>Rp2130600</v>
      </c>
      <c r="L1287" s="5" t="str">
        <f t="shared" si="3"/>
        <v>2130600</v>
      </c>
    </row>
    <row r="1288">
      <c r="A1288" s="6" t="s">
        <v>2306</v>
      </c>
      <c r="B1288" s="7" t="str">
        <f>HYPERLINK("https://shopee.co.id/Ikigai-Basic-Bundling-Set-i.39919260.5056201376", "https://shopee.co.id/Ikigai-Basic-Bundling-Set-i.39919260.5056201376")</f>
        <v>https://shopee.co.id/Ikigai-Basic-Bundling-Set-i.39919260.5056201376</v>
      </c>
      <c r="C1288" s="6" t="s">
        <v>1848</v>
      </c>
      <c r="D1288" s="6" t="s">
        <v>1849</v>
      </c>
      <c r="E1288" s="6" t="s">
        <v>12</v>
      </c>
      <c r="F1288" s="6" t="s">
        <v>13</v>
      </c>
      <c r="G1288" s="6" t="s">
        <v>21</v>
      </c>
      <c r="H1288" s="8" t="s">
        <v>2301</v>
      </c>
      <c r="I1288" s="9">
        <v>1907000.0</v>
      </c>
      <c r="J1288" s="5" t="str">
        <f t="shared" ref="J1288:K1288" si="1288">SUBSTITUTE(H1288, ",", "")</f>
        <v>15</v>
      </c>
      <c r="K1288" s="5" t="str">
        <f t="shared" si="1288"/>
        <v>Rp1907000</v>
      </c>
      <c r="L1288" s="5" t="str">
        <f t="shared" si="3"/>
        <v>1907000</v>
      </c>
    </row>
    <row r="1289">
      <c r="A1289" s="6" t="s">
        <v>2307</v>
      </c>
      <c r="B1289" s="7" t="str">
        <f>HYPERLINK("https://shopee.co.id/Nuface-Nu-Glow-Liquid-Brighten-Supple-Skin-Serum-Niacinamide-Licorice-Extract-Vit-C--i.2315394.12002372434", "https://shopee.co.id/Nuface-Nu-Glow-Liquid-Brighten-Supple-Skin-Serum-Niacinamide-Licorice-Extract-Vit-C--i.2315394.12002372434")</f>
        <v>https://shopee.co.id/Nuface-Nu-Glow-Liquid-Brighten-Supple-Skin-Serum-Niacinamide-Licorice-Extract-Vit-C--i.2315394.12002372434</v>
      </c>
      <c r="C1289" s="6" t="s">
        <v>1918</v>
      </c>
      <c r="D1289" s="6" t="s">
        <v>1919</v>
      </c>
      <c r="E1289" s="6" t="s">
        <v>12</v>
      </c>
      <c r="F1289" s="6" t="s">
        <v>13</v>
      </c>
      <c r="G1289" s="6" t="s">
        <v>61</v>
      </c>
      <c r="H1289" s="8" t="s">
        <v>2301</v>
      </c>
      <c r="I1289" s="9">
        <v>1870500.0</v>
      </c>
      <c r="J1289" s="5" t="str">
        <f t="shared" ref="J1289:K1289" si="1289">SUBSTITUTE(H1289, ",", "")</f>
        <v>15</v>
      </c>
      <c r="K1289" s="5" t="str">
        <f t="shared" si="1289"/>
        <v>Rp1870500</v>
      </c>
      <c r="L1289" s="5" t="str">
        <f t="shared" si="3"/>
        <v>1870500</v>
      </c>
    </row>
    <row r="1290">
      <c r="A1290" s="6" t="s">
        <v>2308</v>
      </c>
      <c r="B1290" s="7" t="str">
        <f>HYPERLINK("https://shopee.co.id/Somethinc-Criously-24K-Gold-Essence-20ml-40ml-i.50948181.4761515576", "https://shopee.co.id/Somethinc-Criously-24K-Gold-Essence-20ml-40ml-i.50948181.4761515576")</f>
        <v>https://shopee.co.id/Somethinc-Criously-24K-Gold-Essence-20ml-40ml-i.50948181.4761515576</v>
      </c>
      <c r="C1290" s="6" t="s">
        <v>45</v>
      </c>
      <c r="D1290" s="6" t="s">
        <v>1129</v>
      </c>
      <c r="E1290" s="6" t="s">
        <v>12</v>
      </c>
      <c r="F1290" s="6" t="s">
        <v>13</v>
      </c>
      <c r="G1290" s="6" t="s">
        <v>1130</v>
      </c>
      <c r="H1290" s="8" t="s">
        <v>2301</v>
      </c>
      <c r="I1290" s="9">
        <v>1.00126E7</v>
      </c>
      <c r="J1290" s="5" t="str">
        <f t="shared" ref="J1290:K1290" si="1290">SUBSTITUTE(H1290, ",", "")</f>
        <v>15</v>
      </c>
      <c r="K1290" s="5" t="str">
        <f t="shared" si="1290"/>
        <v>Rp10012600</v>
      </c>
      <c r="L1290" s="5" t="str">
        <f t="shared" si="3"/>
        <v>10012600</v>
      </c>
    </row>
    <row r="1291">
      <c r="A1291" s="6" t="s">
        <v>2309</v>
      </c>
      <c r="B1291" s="7" t="str">
        <f>HYPERLINK("https://shopee.co.id/Ultima-II-Procollagen-Extrema-Day-Lotion-30-ml-i.152254718.2689707354", "https://shopee.co.id/Ultima-II-Procollagen-Extrema-Day-Lotion-30-ml-i.152254718.2689707354")</f>
        <v>https://shopee.co.id/Ultima-II-Procollagen-Extrema-Day-Lotion-30-ml-i.152254718.2689707354</v>
      </c>
      <c r="C1291" s="6" t="s">
        <v>1210</v>
      </c>
      <c r="D1291" s="6" t="s">
        <v>1211</v>
      </c>
      <c r="E1291" s="6" t="s">
        <v>12</v>
      </c>
      <c r="F1291" s="6" t="s">
        <v>13</v>
      </c>
      <c r="G1291" s="6" t="s">
        <v>469</v>
      </c>
      <c r="H1291" s="8" t="s">
        <v>2301</v>
      </c>
      <c r="I1291" s="9">
        <v>1.10858E7</v>
      </c>
      <c r="J1291" s="5" t="str">
        <f t="shared" ref="J1291:K1291" si="1291">SUBSTITUTE(H1291, ",", "")</f>
        <v>15</v>
      </c>
      <c r="K1291" s="5" t="str">
        <f t="shared" si="1291"/>
        <v>Rp11085800</v>
      </c>
      <c r="L1291" s="5" t="str">
        <f t="shared" si="3"/>
        <v>11085800</v>
      </c>
    </row>
    <row r="1292">
      <c r="A1292" s="6" t="s">
        <v>2310</v>
      </c>
      <c r="B1292" s="7" t="str">
        <f>HYPERLINK("https://shopee.co.id/Femmue-Ideal-Intense-i.293180359.7773318262", "https://shopee.co.id/Femmue-Ideal-Intense-i.293180359.7773318262")</f>
        <v>https://shopee.co.id/Femmue-Ideal-Intense-i.293180359.7773318262</v>
      </c>
      <c r="C1292" s="6" t="s">
        <v>2286</v>
      </c>
      <c r="D1292" s="6" t="s">
        <v>2287</v>
      </c>
      <c r="E1292" s="6" t="s">
        <v>12</v>
      </c>
      <c r="F1292" s="6" t="s">
        <v>13</v>
      </c>
      <c r="G1292" s="6" t="s">
        <v>61</v>
      </c>
      <c r="H1292" s="8" t="s">
        <v>2301</v>
      </c>
      <c r="I1292" s="9">
        <v>1379700.0</v>
      </c>
      <c r="J1292" s="5" t="str">
        <f t="shared" ref="J1292:K1292" si="1292">SUBSTITUTE(H1292, ",", "")</f>
        <v>15</v>
      </c>
      <c r="K1292" s="5" t="str">
        <f t="shared" si="1292"/>
        <v>Rp1379700</v>
      </c>
      <c r="L1292" s="5" t="str">
        <f t="shared" si="3"/>
        <v>1379700</v>
      </c>
    </row>
    <row r="1293">
      <c r="A1293" s="6" t="s">
        <v>2311</v>
      </c>
      <c r="B1293" s="7" t="str">
        <f>HYPERLINK("https://shopee.co.id/Sbcskin-Bundling-Sunscreen-Oily-Serum-Vit-C-Hemat-28k--i.229435322.6356874684", "https://shopee.co.id/Sbcskin-Bundling-Sunscreen-Oily-Serum-Vit-C-Hemat-28k--i.229435322.6356874684")</f>
        <v>https://shopee.co.id/Sbcskin-Bundling-Sunscreen-Oily-Serum-Vit-C-Hemat-28k--i.229435322.6356874684</v>
      </c>
      <c r="C1293" s="6" t="s">
        <v>1775</v>
      </c>
      <c r="D1293" s="6" t="s">
        <v>1776</v>
      </c>
      <c r="E1293" s="6" t="s">
        <v>12</v>
      </c>
      <c r="F1293" s="6" t="s">
        <v>13</v>
      </c>
      <c r="G1293" s="6" t="s">
        <v>1777</v>
      </c>
      <c r="H1293" s="8" t="s">
        <v>2301</v>
      </c>
      <c r="I1293" s="9">
        <v>2385000.0</v>
      </c>
      <c r="J1293" s="5" t="str">
        <f t="shared" ref="J1293:K1293" si="1293">SUBSTITUTE(H1293, ",", "")</f>
        <v>15</v>
      </c>
      <c r="K1293" s="5" t="str">
        <f t="shared" si="1293"/>
        <v>Rp2385000</v>
      </c>
      <c r="L1293" s="5" t="str">
        <f t="shared" si="3"/>
        <v>2385000</v>
      </c>
    </row>
    <row r="1294">
      <c r="A1294" s="6" t="s">
        <v>2312</v>
      </c>
      <c r="B1294" s="7" t="str">
        <f>HYPERLINK("https://shopee.co.id/Osho-Phyto-Natural-Enrich-Whitening-Essence-45-ml-i.69409544.6607894075", "https://shopee.co.id/Osho-Phyto-Natural-Enrich-Whitening-Essence-45-ml-i.69409544.6607894075")</f>
        <v>https://shopee.co.id/Osho-Phyto-Natural-Enrich-Whitening-Essence-45-ml-i.69409544.6607894075</v>
      </c>
      <c r="C1294" s="6" t="s">
        <v>2313</v>
      </c>
      <c r="D1294" s="6" t="s">
        <v>2314</v>
      </c>
      <c r="E1294" s="6" t="s">
        <v>12</v>
      </c>
      <c r="F1294" s="6" t="s">
        <v>13</v>
      </c>
      <c r="G1294" s="6" t="s">
        <v>98</v>
      </c>
      <c r="H1294" s="8" t="s">
        <v>2301</v>
      </c>
      <c r="I1294" s="9">
        <v>3839000.0</v>
      </c>
      <c r="J1294" s="5" t="str">
        <f t="shared" ref="J1294:K1294" si="1294">SUBSTITUTE(H1294, ",", "")</f>
        <v>15</v>
      </c>
      <c r="K1294" s="5" t="str">
        <f t="shared" si="1294"/>
        <v>Rp3839000</v>
      </c>
      <c r="L1294" s="5" t="str">
        <f t="shared" si="3"/>
        <v>3839000</v>
      </c>
    </row>
    <row r="1295">
      <c r="A1295" s="6" t="s">
        <v>2315</v>
      </c>
      <c r="B1295" s="7" t="str">
        <f>HYPERLINK("https://shopee.co.id/Somethinc-5-Niacinamide-Moisture-Sabi-Beet-Serum-20ml-i.825870.3582091945", "https://shopee.co.id/Somethinc-5-Niacinamide-Moisture-Sabi-Beet-Serum-20ml-i.825870.3582091945")</f>
        <v>https://shopee.co.id/Somethinc-5-Niacinamide-Moisture-Sabi-Beet-Serum-20ml-i.825870.3582091945</v>
      </c>
      <c r="C1295" s="6" t="s">
        <v>45</v>
      </c>
      <c r="D1295" s="6" t="s">
        <v>1184</v>
      </c>
      <c r="E1295" s="6" t="s">
        <v>12</v>
      </c>
      <c r="F1295" s="6" t="s">
        <v>13</v>
      </c>
      <c r="G1295" s="6" t="s">
        <v>21</v>
      </c>
      <c r="H1295" s="8" t="s">
        <v>2301</v>
      </c>
      <c r="I1295" s="9">
        <v>5600000.0</v>
      </c>
      <c r="J1295" s="5" t="str">
        <f t="shared" ref="J1295:K1295" si="1295">SUBSTITUTE(H1295, ",", "")</f>
        <v>15</v>
      </c>
      <c r="K1295" s="5" t="str">
        <f t="shared" si="1295"/>
        <v>Rp5600000</v>
      </c>
      <c r="L1295" s="5" t="str">
        <f t="shared" si="3"/>
        <v>5600000</v>
      </c>
    </row>
    <row r="1296">
      <c r="A1296" s="6" t="s">
        <v>2316</v>
      </c>
      <c r="B1296" s="7" t="str">
        <f>HYPERLINK("https://shopee.co.id/Aish-Serum-Paket-5pcs-Bebas-Pilih-Varian-Sertakan-Varian-di-Catatan-i.406360531.2978902328", "https://shopee.co.id/Aish-Serum-Paket-5pcs-Bebas-Pilih-Varian-Sertakan-Varian-di-Catatan-i.406360531.2978902328")</f>
        <v>https://shopee.co.id/Aish-Serum-Paket-5pcs-Bebas-Pilih-Varian-Sertakan-Varian-di-Catatan-i.406360531.2978902328</v>
      </c>
      <c r="C1296" s="6" t="s">
        <v>1015</v>
      </c>
      <c r="D1296" s="6" t="s">
        <v>444</v>
      </c>
      <c r="E1296" s="6" t="s">
        <v>12</v>
      </c>
      <c r="F1296" s="6" t="s">
        <v>13</v>
      </c>
      <c r="G1296" s="6" t="s">
        <v>241</v>
      </c>
      <c r="H1296" s="8" t="s">
        <v>2301</v>
      </c>
      <c r="I1296" s="9">
        <v>1335000.0</v>
      </c>
      <c r="J1296" s="5" t="str">
        <f t="shared" ref="J1296:K1296" si="1296">SUBSTITUTE(H1296, ",", "")</f>
        <v>15</v>
      </c>
      <c r="K1296" s="5" t="str">
        <f t="shared" si="1296"/>
        <v>Rp1335000</v>
      </c>
      <c r="L1296" s="5" t="str">
        <f t="shared" si="3"/>
        <v>1335000</v>
      </c>
    </row>
    <row r="1297">
      <c r="A1297" s="6" t="s">
        <v>2317</v>
      </c>
      <c r="B1297" s="7" t="str">
        <f>HYPERLINK("https://shopee.co.id/Aizen-L-Glutathione-10-Ultra-Ampoule-Serum-Pemutih-Antioxidant-Kulit-Wajah-i.89939211.3375460452", "https://shopee.co.id/Aizen-L-Glutathione-10-Ultra-Ampoule-Serum-Pemutih-Antioxidant-Kulit-Wajah-i.89939211.3375460452")</f>
        <v>https://shopee.co.id/Aizen-L-Glutathione-10-Ultra-Ampoule-Serum-Pemutih-Antioxidant-Kulit-Wajah-i.89939211.3375460452</v>
      </c>
      <c r="C1297" s="6" t="s">
        <v>1325</v>
      </c>
      <c r="D1297" s="6" t="s">
        <v>1326</v>
      </c>
      <c r="E1297" s="6" t="s">
        <v>12</v>
      </c>
      <c r="F1297" s="6" t="s">
        <v>13</v>
      </c>
      <c r="G1297" s="6" t="s">
        <v>14</v>
      </c>
      <c r="H1297" s="8" t="s">
        <v>2301</v>
      </c>
      <c r="I1297" s="9">
        <v>842265.0</v>
      </c>
      <c r="J1297" s="5" t="str">
        <f t="shared" ref="J1297:K1297" si="1297">SUBSTITUTE(H1297, ",", "")</f>
        <v>15</v>
      </c>
      <c r="K1297" s="5" t="str">
        <f t="shared" si="1297"/>
        <v>Rp842265</v>
      </c>
      <c r="L1297" s="5" t="str">
        <f t="shared" si="3"/>
        <v>842265</v>
      </c>
    </row>
    <row r="1298">
      <c r="A1298" s="6" t="s">
        <v>2318</v>
      </c>
      <c r="B1298" s="7" t="str">
        <f>HYPERLINK("https://shopee.co.id/Frudia-Green-Grape-Pore-Serum-FREE-Frudia-Pouch-Garis-Vertikal-i.98124209.6175910857", "https://shopee.co.id/Frudia-Green-Grape-Pore-Serum-FREE-Frudia-Pouch-Garis-Vertikal-i.98124209.6175910857")</f>
        <v>https://shopee.co.id/Frudia-Green-Grape-Pore-Serum-FREE-Frudia-Pouch-Garis-Vertikal-i.98124209.6175910857</v>
      </c>
      <c r="C1298" s="6" t="s">
        <v>790</v>
      </c>
      <c r="D1298" s="6" t="s">
        <v>791</v>
      </c>
      <c r="E1298" s="6" t="s">
        <v>12</v>
      </c>
      <c r="F1298" s="6" t="s">
        <v>13</v>
      </c>
      <c r="G1298" s="6" t="s">
        <v>85</v>
      </c>
      <c r="H1298" s="8" t="s">
        <v>2301</v>
      </c>
      <c r="I1298" s="9">
        <v>1118250.0</v>
      </c>
      <c r="J1298" s="5" t="str">
        <f t="shared" ref="J1298:K1298" si="1298">SUBSTITUTE(H1298, ",", "")</f>
        <v>15</v>
      </c>
      <c r="K1298" s="5" t="str">
        <f t="shared" si="1298"/>
        <v>Rp1118250</v>
      </c>
      <c r="L1298" s="5" t="str">
        <f t="shared" si="3"/>
        <v>1118250</v>
      </c>
    </row>
    <row r="1299">
      <c r="A1299" s="6" t="s">
        <v>2319</v>
      </c>
      <c r="B1299" s="7" t="str">
        <f>HYPERLINK("https://shopee.co.id/HISTOIRE-NATURELLE-Dream-Skin-Bundle-i.315746431.5683963050", "https://shopee.co.id/HISTOIRE-NATURELLE-Dream-Skin-Bundle-i.315746431.5683963050")</f>
        <v>https://shopee.co.id/HISTOIRE-NATURELLE-Dream-Skin-Bundle-i.315746431.5683963050</v>
      </c>
      <c r="C1299" s="6" t="s">
        <v>1854</v>
      </c>
      <c r="D1299" s="6" t="s">
        <v>1855</v>
      </c>
      <c r="E1299" s="6" t="s">
        <v>12</v>
      </c>
      <c r="F1299" s="6" t="s">
        <v>13</v>
      </c>
      <c r="G1299" s="6" t="s">
        <v>130</v>
      </c>
      <c r="H1299" s="8" t="s">
        <v>2301</v>
      </c>
      <c r="I1299" s="9">
        <v>118500.0</v>
      </c>
      <c r="J1299" s="5" t="str">
        <f t="shared" ref="J1299:K1299" si="1299">SUBSTITUTE(H1299, ",", "")</f>
        <v>15</v>
      </c>
      <c r="K1299" s="5" t="str">
        <f t="shared" si="1299"/>
        <v>Rp118500</v>
      </c>
      <c r="L1299" s="5" t="str">
        <f t="shared" si="3"/>
        <v>118500</v>
      </c>
    </row>
    <row r="1300">
      <c r="A1300" s="6" t="s">
        <v>2320</v>
      </c>
      <c r="B1300" s="7" t="str">
        <f>HYPERLINK("https://shopee.co.id/Glamore-Skincare-Premium-Serum-Alpha-Arbutin-15-ml-i.214654119.10007349758", "https://shopee.co.id/Glamore-Skincare-Premium-Serum-Alpha-Arbutin-15-ml-i.214654119.10007349758")</f>
        <v>https://shopee.co.id/Glamore-Skincare-Premium-Serum-Alpha-Arbutin-15-ml-i.214654119.10007349758</v>
      </c>
      <c r="C1300" s="6" t="s">
        <v>1359</v>
      </c>
      <c r="D1300" s="6" t="s">
        <v>2321</v>
      </c>
      <c r="E1300" s="6" t="s">
        <v>12</v>
      </c>
      <c r="F1300" s="6" t="s">
        <v>13</v>
      </c>
      <c r="G1300" s="6" t="s">
        <v>98</v>
      </c>
      <c r="H1300" s="8" t="s">
        <v>2301</v>
      </c>
      <c r="I1300" s="9">
        <v>1125000.0</v>
      </c>
      <c r="J1300" s="5" t="str">
        <f t="shared" ref="J1300:K1300" si="1300">SUBSTITUTE(H1300, ",", "")</f>
        <v>15</v>
      </c>
      <c r="K1300" s="5" t="str">
        <f t="shared" si="1300"/>
        <v>Rp1125000</v>
      </c>
      <c r="L1300" s="5" t="str">
        <f t="shared" si="3"/>
        <v>1125000</v>
      </c>
    </row>
    <row r="1301">
      <c r="A1301" s="6" t="s">
        <v>2322</v>
      </c>
      <c r="B1301" s="7" t="str">
        <f>HYPERLINK("https://shopee.co.id/Hanasui-Vitamin-C-Collagen-Serum-New-Look-New-Formula-i.129681299.6897050108", "https://shopee.co.id/Hanasui-Vitamin-C-Collagen-Serum-New-Look-New-Formula-i.129681299.6897050108")</f>
        <v>https://shopee.co.id/Hanasui-Vitamin-C-Collagen-Serum-New-Look-New-Formula-i.129681299.6897050108</v>
      </c>
      <c r="C1301" s="6" t="s">
        <v>784</v>
      </c>
      <c r="D1301" s="6" t="s">
        <v>785</v>
      </c>
      <c r="E1301" s="6" t="s">
        <v>12</v>
      </c>
      <c r="F1301" s="6" t="s">
        <v>13</v>
      </c>
      <c r="G1301" s="6" t="s">
        <v>36</v>
      </c>
      <c r="H1301" s="8" t="s">
        <v>2301</v>
      </c>
      <c r="I1301" s="9">
        <v>1930500.0</v>
      </c>
      <c r="J1301" s="5" t="str">
        <f t="shared" ref="J1301:K1301" si="1301">SUBSTITUTE(H1301, ",", "")</f>
        <v>15</v>
      </c>
      <c r="K1301" s="5" t="str">
        <f t="shared" si="1301"/>
        <v>Rp1930500</v>
      </c>
      <c r="L1301" s="5" t="str">
        <f t="shared" si="3"/>
        <v>1930500</v>
      </c>
    </row>
    <row r="1302">
      <c r="A1302" s="6" t="s">
        <v>2323</v>
      </c>
      <c r="B1302" s="7" t="str">
        <f>HYPERLINK("https://shopee.co.id/MSBB-NOT-FOR-SALE-Jarte-Cica-Care-Ampoule-5Ml-i.288588702.8374927439", "https://shopee.co.id/MSBB-NOT-FOR-SALE-Jarte-Cica-Care-Ampoule-5Ml-i.288588702.8374927439")</f>
        <v>https://shopee.co.id/MSBB-NOT-FOR-SALE-Jarte-Cica-Care-Ampoule-5Ml-i.288588702.8374927439</v>
      </c>
      <c r="C1302" s="6" t="s">
        <v>78</v>
      </c>
      <c r="D1302" s="6" t="s">
        <v>79</v>
      </c>
      <c r="E1302" s="6" t="s">
        <v>12</v>
      </c>
      <c r="F1302" s="6" t="s">
        <v>13</v>
      </c>
      <c r="G1302" s="6" t="s">
        <v>80</v>
      </c>
      <c r="H1302" s="8" t="s">
        <v>2301</v>
      </c>
      <c r="I1302" s="9">
        <v>1793400.0</v>
      </c>
      <c r="J1302" s="5" t="str">
        <f t="shared" ref="J1302:K1302" si="1302">SUBSTITUTE(H1302, ",", "")</f>
        <v>15</v>
      </c>
      <c r="K1302" s="5" t="str">
        <f t="shared" si="1302"/>
        <v>Rp1793400</v>
      </c>
      <c r="L1302" s="5" t="str">
        <f t="shared" si="3"/>
        <v>1793400</v>
      </c>
    </row>
    <row r="1303">
      <c r="A1303" s="6" t="s">
        <v>2324</v>
      </c>
      <c r="B1303" s="7" t="str">
        <f>HYPERLINK("https://shopee.co.id/Natasha-by-dr-Fredi-Setyawan-First-Serum-i.40121814.8535319592", "https://shopee.co.id/Natasha-by-dr-Fredi-Setyawan-First-Serum-i.40121814.8535319592")</f>
        <v>https://shopee.co.id/Natasha-by-dr-Fredi-Setyawan-First-Serum-i.40121814.8535319592</v>
      </c>
      <c r="C1303" s="6" t="s">
        <v>1752</v>
      </c>
      <c r="D1303" s="6" t="s">
        <v>794</v>
      </c>
      <c r="E1303" s="6" t="s">
        <v>12</v>
      </c>
      <c r="F1303" s="6" t="s">
        <v>13</v>
      </c>
      <c r="G1303" s="6" t="s">
        <v>380</v>
      </c>
      <c r="H1303" s="8" t="s">
        <v>2301</v>
      </c>
      <c r="I1303" s="9">
        <v>888300.0</v>
      </c>
      <c r="J1303" s="5" t="str">
        <f t="shared" ref="J1303:K1303" si="1303">SUBSTITUTE(H1303, ",", "")</f>
        <v>15</v>
      </c>
      <c r="K1303" s="5" t="str">
        <f t="shared" si="1303"/>
        <v>Rp888300</v>
      </c>
      <c r="L1303" s="5" t="str">
        <f t="shared" si="3"/>
        <v>888300</v>
      </c>
    </row>
    <row r="1304">
      <c r="A1304" s="6" t="s">
        <v>2325</v>
      </c>
      <c r="B1304" s="7" t="str">
        <f>HYPERLINK("https://shopee.co.id/Airnderm-Aesthetic-Serum-Snail-Gold-by-AIRIN-BEAUTY--i.112372548.1756190824", "https://shopee.co.id/Airnderm-Aesthetic-Serum-Snail-Gold-by-AIRIN-BEAUTY--i.112372548.1756190824")</f>
        <v>https://shopee.co.id/Airnderm-Aesthetic-Serum-Snail-Gold-by-AIRIN-BEAUTY--i.112372548.1756190824</v>
      </c>
      <c r="C1304" s="6" t="s">
        <v>239</v>
      </c>
      <c r="D1304" s="6" t="s">
        <v>240</v>
      </c>
      <c r="E1304" s="6" t="s">
        <v>12</v>
      </c>
      <c r="F1304" s="6" t="s">
        <v>13</v>
      </c>
      <c r="G1304" s="6" t="s">
        <v>241</v>
      </c>
      <c r="H1304" s="8" t="s">
        <v>2301</v>
      </c>
      <c r="I1304" s="9">
        <v>2385000.0</v>
      </c>
      <c r="J1304" s="5" t="str">
        <f t="shared" ref="J1304:K1304" si="1304">SUBSTITUTE(H1304, ",", "")</f>
        <v>15</v>
      </c>
      <c r="K1304" s="5" t="str">
        <f t="shared" si="1304"/>
        <v>Rp2385000</v>
      </c>
      <c r="L1304" s="5" t="str">
        <f t="shared" si="3"/>
        <v>2385000</v>
      </c>
    </row>
    <row r="1305">
      <c r="A1305" s="6" t="s">
        <v>2326</v>
      </c>
      <c r="B1305" s="7" t="str">
        <f>HYPERLINK("https://shopee.co.id/NATURE-REACTION-CRYSTAL-BRIGHT-SERUM-NATURE-REACTION-CRYSTAL-SERUM-NATURE-REACTION-SERUM-100-ORI-i.375565670.10828129179", "https://shopee.co.id/NATURE-REACTION-CRYSTAL-BRIGHT-SERUM-NATURE-REACTION-CRYSTAL-SERUM-NATURE-REACTION-SERUM-100-ORI-i.375565670.10828129179")</f>
        <v>https://shopee.co.id/NATURE-REACTION-CRYSTAL-BRIGHT-SERUM-NATURE-REACTION-CRYSTAL-SERUM-NATURE-REACTION-SERUM-100-ORI-i.375565670.10828129179</v>
      </c>
      <c r="C1305" s="6" t="s">
        <v>530</v>
      </c>
      <c r="D1305" s="6" t="s">
        <v>531</v>
      </c>
      <c r="E1305" s="6" t="s">
        <v>12</v>
      </c>
      <c r="F1305" s="6" t="s">
        <v>13</v>
      </c>
      <c r="G1305" s="6" t="s">
        <v>532</v>
      </c>
      <c r="H1305" s="8" t="s">
        <v>2301</v>
      </c>
      <c r="I1305" s="9">
        <v>3204720.0</v>
      </c>
      <c r="J1305" s="5" t="str">
        <f t="shared" ref="J1305:K1305" si="1305">SUBSTITUTE(H1305, ",", "")</f>
        <v>15</v>
      </c>
      <c r="K1305" s="5" t="str">
        <f t="shared" si="1305"/>
        <v>Rp3204720</v>
      </c>
      <c r="L1305" s="5" t="str">
        <f t="shared" si="3"/>
        <v>3204720</v>
      </c>
    </row>
    <row r="1306">
      <c r="A1306" s="6" t="s">
        <v>2327</v>
      </c>
      <c r="B1306" s="7" t="str">
        <f>HYPERLINK("https://shopee.co.id/NATURE-REPUBLIC-Real-Squeeze-Aloe-Vera-Essence-i.78838801.1454690067", "https://shopee.co.id/NATURE-REPUBLIC-Real-Squeeze-Aloe-Vera-Essence-i.78838801.1454690067")</f>
        <v>https://shopee.co.id/NATURE-REPUBLIC-Real-Squeeze-Aloe-Vera-Essence-i.78838801.1454690067</v>
      </c>
      <c r="C1306" s="6" t="s">
        <v>1079</v>
      </c>
      <c r="D1306" s="6" t="s">
        <v>1080</v>
      </c>
      <c r="E1306" s="6" t="s">
        <v>12</v>
      </c>
      <c r="F1306" s="6" t="s">
        <v>13</v>
      </c>
      <c r="G1306" s="6" t="s">
        <v>532</v>
      </c>
      <c r="H1306" s="8" t="s">
        <v>2301</v>
      </c>
      <c r="I1306" s="9">
        <v>1077000.0</v>
      </c>
      <c r="J1306" s="5" t="str">
        <f t="shared" ref="J1306:K1306" si="1306">SUBSTITUTE(H1306, ",", "")</f>
        <v>15</v>
      </c>
      <c r="K1306" s="5" t="str">
        <f t="shared" si="1306"/>
        <v>Rp1077000</v>
      </c>
      <c r="L1306" s="5" t="str">
        <f t="shared" si="3"/>
        <v>1077000</v>
      </c>
    </row>
    <row r="1307">
      <c r="A1307" s="6" t="s">
        <v>2328</v>
      </c>
      <c r="B1307" s="7" t="str">
        <f>HYPERLINK("https://shopee.co.id/Dear-Me-Beauty-10-vitamin-C-Orange-Extract-Face-Serum-i.270965687.8358588485", "https://shopee.co.id/Dear-Me-Beauty-10-vitamin-C-Orange-Extract-Face-Serum-i.270965687.8358588485")</f>
        <v>https://shopee.co.id/Dear-Me-Beauty-10-vitamin-C-Orange-Extract-Face-Serum-i.270965687.8358588485</v>
      </c>
      <c r="C1307" s="6" t="s">
        <v>70</v>
      </c>
      <c r="D1307" s="6" t="s">
        <v>379</v>
      </c>
      <c r="E1307" s="6" t="s">
        <v>12</v>
      </c>
      <c r="F1307" s="6" t="s">
        <v>13</v>
      </c>
      <c r="G1307" s="6" t="s">
        <v>380</v>
      </c>
      <c r="H1307" s="8" t="s">
        <v>2301</v>
      </c>
      <c r="I1307" s="9">
        <v>1269000.0</v>
      </c>
      <c r="J1307" s="5" t="str">
        <f t="shared" ref="J1307:K1307" si="1307">SUBSTITUTE(H1307, ",", "")</f>
        <v>15</v>
      </c>
      <c r="K1307" s="5" t="str">
        <f t="shared" si="1307"/>
        <v>Rp1269000</v>
      </c>
      <c r="L1307" s="5" t="str">
        <f t="shared" si="3"/>
        <v>1269000</v>
      </c>
    </row>
    <row r="1308">
      <c r="A1308" s="6" t="s">
        <v>2329</v>
      </c>
      <c r="B1308" s="7" t="str">
        <f>HYPERLINK("https://shopee.co.id/Osho-Phyto-Natural-Enrich-Wrinkle-Whitening-Eye-Serum-30-ml-i.69409544.6007892254", "https://shopee.co.id/Osho-Phyto-Natural-Enrich-Wrinkle-Whitening-Eye-Serum-30-ml-i.69409544.6007892254")</f>
        <v>https://shopee.co.id/Osho-Phyto-Natural-Enrich-Wrinkle-Whitening-Eye-Serum-30-ml-i.69409544.6007892254</v>
      </c>
      <c r="C1308" s="6" t="s">
        <v>2313</v>
      </c>
      <c r="D1308" s="6" t="s">
        <v>2314</v>
      </c>
      <c r="E1308" s="6" t="s">
        <v>12</v>
      </c>
      <c r="F1308" s="6" t="s">
        <v>13</v>
      </c>
      <c r="G1308" s="6" t="s">
        <v>98</v>
      </c>
      <c r="H1308" s="8" t="s">
        <v>2301</v>
      </c>
      <c r="I1308" s="9">
        <v>1313502.0</v>
      </c>
      <c r="J1308" s="5" t="str">
        <f t="shared" ref="J1308:K1308" si="1308">SUBSTITUTE(H1308, ",", "")</f>
        <v>15</v>
      </c>
      <c r="K1308" s="5" t="str">
        <f t="shared" si="1308"/>
        <v>Rp1313502</v>
      </c>
      <c r="L1308" s="5" t="str">
        <f t="shared" si="3"/>
        <v>1313502</v>
      </c>
    </row>
    <row r="1309">
      <c r="A1309" s="6" t="s">
        <v>2330</v>
      </c>
      <c r="B1309" s="7" t="str">
        <f>HYPERLINK("https://shopee.co.id/Bio-Essence-Bio-Renew-Exfoliating-Gel-60-gr-Twinpack-Special-i.63822287.9638781840", "https://shopee.co.id/Bio-Essence-Bio-Renew-Exfoliating-Gel-60-gr-Twinpack-Special-i.63822287.9638781840")</f>
        <v>https://shopee.co.id/Bio-Essence-Bio-Renew-Exfoliating-Gel-60-gr-Twinpack-Special-i.63822287.9638781840</v>
      </c>
      <c r="C1309" s="6" t="s">
        <v>1254</v>
      </c>
      <c r="D1309" s="6" t="s">
        <v>835</v>
      </c>
      <c r="E1309" s="6" t="s">
        <v>12</v>
      </c>
      <c r="F1309" s="6" t="s">
        <v>13</v>
      </c>
      <c r="G1309" s="6" t="s">
        <v>61</v>
      </c>
      <c r="H1309" s="8" t="s">
        <v>2301</v>
      </c>
      <c r="I1309" s="9">
        <v>1665000.0</v>
      </c>
      <c r="J1309" s="5" t="str">
        <f t="shared" ref="J1309:K1309" si="1309">SUBSTITUTE(H1309, ",", "")</f>
        <v>15</v>
      </c>
      <c r="K1309" s="5" t="str">
        <f t="shared" si="1309"/>
        <v>Rp1665000</v>
      </c>
      <c r="L1309" s="5" t="str">
        <f t="shared" si="3"/>
        <v>1665000</v>
      </c>
    </row>
    <row r="1310">
      <c r="A1310" s="6" t="s">
        <v>2331</v>
      </c>
      <c r="B1310" s="7" t="str">
        <f>HYPERLINK("https://shopee.co.id/Lightening-Essence-Serum-Mutiara-Marwah-Skin-Care-i.357101711.3004405269", "https://shopee.co.id/Lightening-Essence-Serum-Mutiara-Marwah-Skin-Care-i.357101711.3004405269")</f>
        <v>https://shopee.co.id/Lightening-Essence-Serum-Mutiara-Marwah-Skin-Care-i.357101711.3004405269</v>
      </c>
      <c r="C1310" s="6" t="s">
        <v>2249</v>
      </c>
      <c r="D1310" s="6" t="s">
        <v>2250</v>
      </c>
      <c r="E1310" s="6" t="s">
        <v>12</v>
      </c>
      <c r="F1310" s="6" t="s">
        <v>13</v>
      </c>
      <c r="G1310" s="6" t="s">
        <v>370</v>
      </c>
      <c r="H1310" s="8" t="s">
        <v>2301</v>
      </c>
      <c r="I1310" s="9">
        <v>2160000.0</v>
      </c>
      <c r="J1310" s="5" t="str">
        <f t="shared" ref="J1310:K1310" si="1310">SUBSTITUTE(H1310, ",", "")</f>
        <v>15</v>
      </c>
      <c r="K1310" s="5" t="str">
        <f t="shared" si="1310"/>
        <v>Rp2160000</v>
      </c>
      <c r="L1310" s="5" t="str">
        <f t="shared" si="3"/>
        <v>2160000</v>
      </c>
    </row>
    <row r="1311">
      <c r="A1311" s="6" t="s">
        <v>2332</v>
      </c>
      <c r="B1311" s="7" t="str">
        <f>HYPERLINK("https://shopee.co.id/SNP-Prep-Cicaronic-Toning-Essence-220ml-i.270965687.5657254165", "https://shopee.co.id/SNP-Prep-Cicaronic-Toning-Essence-220ml-i.270965687.5657254165")</f>
        <v>https://shopee.co.id/SNP-Prep-Cicaronic-Toning-Essence-220ml-i.270965687.5657254165</v>
      </c>
      <c r="C1311" s="6" t="s">
        <v>565</v>
      </c>
      <c r="D1311" s="6" t="s">
        <v>379</v>
      </c>
      <c r="E1311" s="6" t="s">
        <v>12</v>
      </c>
      <c r="F1311" s="6" t="s">
        <v>13</v>
      </c>
      <c r="G1311" s="6" t="s">
        <v>380</v>
      </c>
      <c r="H1311" s="8" t="s">
        <v>2301</v>
      </c>
      <c r="I1311" s="9">
        <v>1829130.0</v>
      </c>
      <c r="J1311" s="5" t="str">
        <f t="shared" ref="J1311:K1311" si="1311">SUBSTITUTE(H1311, ",", "")</f>
        <v>15</v>
      </c>
      <c r="K1311" s="5" t="str">
        <f t="shared" si="1311"/>
        <v>Rp1829130</v>
      </c>
      <c r="L1311" s="5" t="str">
        <f t="shared" si="3"/>
        <v>1829130</v>
      </c>
    </row>
    <row r="1312">
      <c r="A1312" s="6" t="s">
        <v>2333</v>
      </c>
      <c r="B1312" s="7" t="str">
        <f>HYPERLINK("https://shopee.co.id/Daita-Baby-Face-Serum-Vitamin-C-i.90453957.1491732027", "https://shopee.co.id/Daita-Baby-Face-Serum-Vitamin-C-i.90453957.1491732027")</f>
        <v>https://shopee.co.id/Daita-Baby-Face-Serum-Vitamin-C-i.90453957.1491732027</v>
      </c>
      <c r="C1312" s="6" t="s">
        <v>2334</v>
      </c>
      <c r="D1312" s="6" t="s">
        <v>2335</v>
      </c>
      <c r="E1312" s="6" t="s">
        <v>12</v>
      </c>
      <c r="F1312" s="6" t="s">
        <v>13</v>
      </c>
      <c r="G1312" s="6" t="s">
        <v>80</v>
      </c>
      <c r="H1312" s="8" t="s">
        <v>2301</v>
      </c>
      <c r="I1312" s="9">
        <v>1327500.0</v>
      </c>
      <c r="J1312" s="5" t="str">
        <f t="shared" ref="J1312:K1312" si="1312">SUBSTITUTE(H1312, ",", "")</f>
        <v>15</v>
      </c>
      <c r="K1312" s="5" t="str">
        <f t="shared" si="1312"/>
        <v>Rp1327500</v>
      </c>
      <c r="L1312" s="5" t="str">
        <f t="shared" si="3"/>
        <v>1327500</v>
      </c>
    </row>
    <row r="1313">
      <c r="A1313" s="6" t="s">
        <v>2336</v>
      </c>
      <c r="B1313" s="7" t="str">
        <f>HYPERLINK("https://shopee.co.id/Secret-Key-Starting-Treatment-Essence-Rose-Edition-size-150-ml-i.224957239.8357345852", "https://shopee.co.id/Secret-Key-Starting-Treatment-Essence-Rose-Edition-size-150-ml-i.224957239.8357345852")</f>
        <v>https://shopee.co.id/Secret-Key-Starting-Treatment-Essence-Rose-Edition-size-150-ml-i.224957239.8357345852</v>
      </c>
      <c r="C1313" s="6" t="s">
        <v>1340</v>
      </c>
      <c r="D1313" s="6" t="s">
        <v>492</v>
      </c>
      <c r="E1313" s="6" t="s">
        <v>12</v>
      </c>
      <c r="F1313" s="6" t="s">
        <v>13</v>
      </c>
      <c r="G1313" s="6" t="s">
        <v>21</v>
      </c>
      <c r="H1313" s="8" t="s">
        <v>2301</v>
      </c>
      <c r="I1313" s="9">
        <v>1.01746E7</v>
      </c>
      <c r="J1313" s="5" t="str">
        <f t="shared" ref="J1313:K1313" si="1313">SUBSTITUTE(H1313, ",", "")</f>
        <v>15</v>
      </c>
      <c r="K1313" s="5" t="str">
        <f t="shared" si="1313"/>
        <v>Rp10174600</v>
      </c>
      <c r="L1313" s="5" t="str">
        <f t="shared" si="3"/>
        <v>10174600</v>
      </c>
    </row>
    <row r="1314">
      <c r="A1314" s="6" t="s">
        <v>2337</v>
      </c>
      <c r="B1314" s="7" t="str">
        <f>HYPERLINK("https://shopee.co.id/Sercret-Wish-by-Angel-Lelga-Anti-Aging-Serum-Serum-Anti-Aging-20ml-secretwishofficial-i.240781486.4583924896", "https://shopee.co.id/Sercret-Wish-by-Angel-Lelga-Anti-Aging-Serum-Serum-Anti-Aging-20ml-secretwishofficial-i.240781486.4583924896")</f>
        <v>https://shopee.co.id/Sercret-Wish-by-Angel-Lelga-Anti-Aging-Serum-Serum-Anti-Aging-20ml-secretwishofficial-i.240781486.4583924896</v>
      </c>
      <c r="C1314" s="6" t="s">
        <v>1956</v>
      </c>
      <c r="D1314" s="6" t="s">
        <v>1957</v>
      </c>
      <c r="E1314" s="6" t="s">
        <v>12</v>
      </c>
      <c r="F1314" s="6" t="s">
        <v>13</v>
      </c>
      <c r="G1314" s="6" t="s">
        <v>61</v>
      </c>
      <c r="H1314" s="8" t="s">
        <v>2301</v>
      </c>
      <c r="I1314" s="9">
        <v>2357550.0</v>
      </c>
      <c r="J1314" s="5" t="str">
        <f t="shared" ref="J1314:K1314" si="1314">SUBSTITUTE(H1314, ",", "")</f>
        <v>15</v>
      </c>
      <c r="K1314" s="5" t="str">
        <f t="shared" si="1314"/>
        <v>Rp2357550</v>
      </c>
      <c r="L1314" s="5" t="str">
        <f t="shared" si="3"/>
        <v>2357550</v>
      </c>
    </row>
    <row r="1315">
      <c r="A1315" s="6" t="s">
        <v>2338</v>
      </c>
      <c r="B1315" s="7" t="str">
        <f>HYPERLINK("https://shopee.co.id/The-SAEM-Gold-Lifting-Essence-40ml-i.58386356.3332380424", "https://shopee.co.id/The-SAEM-Gold-Lifting-Essence-40ml-i.58386356.3332380424")</f>
        <v>https://shopee.co.id/The-SAEM-Gold-Lifting-Essence-40ml-i.58386356.3332380424</v>
      </c>
      <c r="C1315" s="6" t="s">
        <v>2339</v>
      </c>
      <c r="D1315" s="6" t="s">
        <v>2340</v>
      </c>
      <c r="E1315" s="6" t="s">
        <v>12</v>
      </c>
      <c r="F1315" s="6" t="s">
        <v>13</v>
      </c>
      <c r="G1315" s="6" t="s">
        <v>21</v>
      </c>
      <c r="H1315" s="8" t="s">
        <v>2301</v>
      </c>
      <c r="I1315" s="9">
        <v>1181250.0</v>
      </c>
      <c r="J1315" s="5" t="str">
        <f t="shared" ref="J1315:K1315" si="1315">SUBSTITUTE(H1315, ",", "")</f>
        <v>15</v>
      </c>
      <c r="K1315" s="5" t="str">
        <f t="shared" si="1315"/>
        <v>Rp1181250</v>
      </c>
      <c r="L1315" s="5" t="str">
        <f t="shared" si="3"/>
        <v>1181250</v>
      </c>
    </row>
    <row r="1316">
      <c r="A1316" s="6" t="s">
        <v>2341</v>
      </c>
      <c r="B1316" s="7" t="str">
        <f>HYPERLINK("https://shopee.co.id/Beauty-Package-Retinoid-Overnight-Oil-Hyaluronic-Acid-Serum-i.124549994.9242524111", "https://shopee.co.id/Beauty-Package-Retinoid-Overnight-Oil-Hyaluronic-Acid-Serum-i.124549994.9242524111")</f>
        <v>https://shopee.co.id/Beauty-Package-Retinoid-Overnight-Oil-Hyaluronic-Acid-Serum-i.124549994.9242524111</v>
      </c>
      <c r="C1316" s="6" t="s">
        <v>807</v>
      </c>
      <c r="D1316" s="6" t="s">
        <v>808</v>
      </c>
      <c r="E1316" s="6" t="s">
        <v>12</v>
      </c>
      <c r="F1316" s="6" t="s">
        <v>13</v>
      </c>
      <c r="G1316" s="6" t="s">
        <v>61</v>
      </c>
      <c r="H1316" s="8" t="s">
        <v>2342</v>
      </c>
      <c r="I1316" s="9">
        <v>826000.0</v>
      </c>
      <c r="J1316" s="5" t="str">
        <f t="shared" ref="J1316:K1316" si="1316">SUBSTITUTE(H1316, ",", "")</f>
        <v>14</v>
      </c>
      <c r="K1316" s="5" t="str">
        <f t="shared" si="1316"/>
        <v>Rp826000</v>
      </c>
      <c r="L1316" s="5" t="str">
        <f t="shared" si="3"/>
        <v>826000</v>
      </c>
    </row>
    <row r="1317">
      <c r="A1317" s="6" t="s">
        <v>2343</v>
      </c>
      <c r="B1317" s="7" t="str">
        <f>HYPERLINK("https://shopee.co.id/Scarlett-Whitening-Brightly-Ever-After-Serum-15-mL-i.65323877.9079239362", "https://shopee.co.id/Scarlett-Whitening-Brightly-Ever-After-Serum-15-mL-i.65323877.9079239362")</f>
        <v>https://shopee.co.id/Scarlett-Whitening-Brightly-Ever-After-Serum-15-mL-i.65323877.9079239362</v>
      </c>
      <c r="C1317" s="6" t="s">
        <v>19</v>
      </c>
      <c r="D1317" s="6" t="s">
        <v>1600</v>
      </c>
      <c r="E1317" s="6" t="s">
        <v>12</v>
      </c>
      <c r="F1317" s="6" t="s">
        <v>13</v>
      </c>
      <c r="G1317" s="6" t="s">
        <v>296</v>
      </c>
      <c r="H1317" s="8" t="s">
        <v>2342</v>
      </c>
      <c r="I1317" s="9">
        <v>1593900.0</v>
      </c>
      <c r="J1317" s="5" t="str">
        <f t="shared" ref="J1317:K1317" si="1317">SUBSTITUTE(H1317, ",", "")</f>
        <v>14</v>
      </c>
      <c r="K1317" s="5" t="str">
        <f t="shared" si="1317"/>
        <v>Rp1593900</v>
      </c>
      <c r="L1317" s="5" t="str">
        <f t="shared" si="3"/>
        <v>1593900</v>
      </c>
    </row>
    <row r="1318">
      <c r="A1318" s="6" t="s">
        <v>2344</v>
      </c>
      <c r="B1318" s="7" t="str">
        <f>HYPERLINK("https://shopee.co.id/SECA-Anti-Aging-Bundle-i.373749700.9277583879", "https://shopee.co.id/SECA-Anti-Aging-Bundle-i.373749700.9277583879")</f>
        <v>https://shopee.co.id/SECA-Anti-Aging-Bundle-i.373749700.9277583879</v>
      </c>
      <c r="C1318" s="6" t="s">
        <v>985</v>
      </c>
      <c r="D1318" s="6" t="s">
        <v>986</v>
      </c>
      <c r="E1318" s="6" t="s">
        <v>12</v>
      </c>
      <c r="F1318" s="6" t="s">
        <v>13</v>
      </c>
      <c r="G1318" s="6" t="s">
        <v>36</v>
      </c>
      <c r="H1318" s="8" t="s">
        <v>2342</v>
      </c>
      <c r="I1318" s="9">
        <v>1741500.0</v>
      </c>
      <c r="J1318" s="5" t="str">
        <f t="shared" ref="J1318:K1318" si="1318">SUBSTITUTE(H1318, ",", "")</f>
        <v>14</v>
      </c>
      <c r="K1318" s="5" t="str">
        <f t="shared" si="1318"/>
        <v>Rp1741500</v>
      </c>
      <c r="L1318" s="5" t="str">
        <f t="shared" si="3"/>
        <v>1741500</v>
      </c>
    </row>
    <row r="1319">
      <c r="A1319" s="6" t="s">
        <v>2345</v>
      </c>
      <c r="B1319" s="7" t="str">
        <f>HYPERLINK("https://shopee.co.id/SPECIAL-BUNDLING-Placentor-Regenerating-Serum-Anti-Ageing-Cream-Serum-Anti-Penuaan-Dini-i.304477244.7263476039", "https://shopee.co.id/SPECIAL-BUNDLING-Placentor-Regenerating-Serum-Anti-Ageing-Cream-Serum-Anti-Penuaan-Dini-i.304477244.7263476039")</f>
        <v>https://shopee.co.id/SPECIAL-BUNDLING-Placentor-Regenerating-Serum-Anti-Ageing-Cream-Serum-Anti-Penuaan-Dini-i.304477244.7263476039</v>
      </c>
      <c r="C1319" s="6" t="s">
        <v>2346</v>
      </c>
      <c r="D1319" s="6" t="s">
        <v>2347</v>
      </c>
      <c r="E1319" s="6" t="s">
        <v>12</v>
      </c>
      <c r="F1319" s="6" t="s">
        <v>13</v>
      </c>
      <c r="G1319" s="6" t="s">
        <v>532</v>
      </c>
      <c r="H1319" s="8" t="s">
        <v>2342</v>
      </c>
      <c r="I1319" s="9">
        <v>1.4448E7</v>
      </c>
      <c r="J1319" s="5" t="str">
        <f t="shared" ref="J1319:K1319" si="1319">SUBSTITUTE(H1319, ",", "")</f>
        <v>14</v>
      </c>
      <c r="K1319" s="5" t="str">
        <f t="shared" si="1319"/>
        <v>Rp14448000</v>
      </c>
      <c r="L1319" s="5" t="str">
        <f t="shared" si="3"/>
        <v>14448000</v>
      </c>
    </row>
    <row r="1320">
      <c r="A1320" s="6" t="s">
        <v>2348</v>
      </c>
      <c r="B1320" s="7" t="str">
        <f>HYPERLINK("https://shopee.co.id/AVOSKIN-Perfect-Hydrating-Treatment-Essence-Hydrating-Treatment-Refining-Toner-Serum-Retinol-i.28781862.3337948678", "https://shopee.co.id/AVOSKIN-Perfect-Hydrating-Treatment-Essence-Hydrating-Treatment-Refining-Toner-Serum-Retinol-i.28781862.3337948678")</f>
        <v>https://shopee.co.id/AVOSKIN-Perfect-Hydrating-Treatment-Essence-Hydrating-Treatment-Refining-Toner-Serum-Retinol-i.28781862.3337948678</v>
      </c>
      <c r="C1320" s="6" t="s">
        <v>83</v>
      </c>
      <c r="D1320" s="6" t="s">
        <v>1189</v>
      </c>
      <c r="E1320" s="6" t="s">
        <v>12</v>
      </c>
      <c r="F1320" s="6" t="s">
        <v>13</v>
      </c>
      <c r="G1320" s="6" t="s">
        <v>1190</v>
      </c>
      <c r="H1320" s="8" t="s">
        <v>2342</v>
      </c>
      <c r="I1320" s="9">
        <v>1346400.0</v>
      </c>
      <c r="J1320" s="5" t="str">
        <f t="shared" ref="J1320:K1320" si="1320">SUBSTITUTE(H1320, ",", "")</f>
        <v>14</v>
      </c>
      <c r="K1320" s="5" t="str">
        <f t="shared" si="1320"/>
        <v>Rp1346400</v>
      </c>
      <c r="L1320" s="5" t="str">
        <f t="shared" si="3"/>
        <v>1346400</v>
      </c>
    </row>
    <row r="1321">
      <c r="A1321" s="6" t="s">
        <v>2349</v>
      </c>
      <c r="B1321" s="7" t="str">
        <f>HYPERLINK("https://shopee.co.id/Ariul-Watermelon-Hydro-Glow-Serum-Size-55-ml-Edit-by-Sociolla-i.224957239.3361105880", "https://shopee.co.id/Ariul-Watermelon-Hydro-Glow-Serum-Size-55-ml-Edit-by-Sociolla-i.224957239.3361105880")</f>
        <v>https://shopee.co.id/Ariul-Watermelon-Hydro-Glow-Serum-Size-55-ml-Edit-by-Sociolla-i.224957239.3361105880</v>
      </c>
      <c r="C1321" s="6" t="s">
        <v>2350</v>
      </c>
      <c r="D1321" s="6" t="s">
        <v>492</v>
      </c>
      <c r="E1321" s="6" t="s">
        <v>12</v>
      </c>
      <c r="F1321" s="6" t="s">
        <v>13</v>
      </c>
      <c r="G1321" s="6" t="s">
        <v>21</v>
      </c>
      <c r="H1321" s="8" t="s">
        <v>2342</v>
      </c>
      <c r="I1321" s="9">
        <v>2062000.0</v>
      </c>
      <c r="J1321" s="5" t="str">
        <f t="shared" ref="J1321:K1321" si="1321">SUBSTITUTE(H1321, ",", "")</f>
        <v>14</v>
      </c>
      <c r="K1321" s="5" t="str">
        <f t="shared" si="1321"/>
        <v>Rp2062000</v>
      </c>
      <c r="L1321" s="5" t="str">
        <f t="shared" si="3"/>
        <v>2062000</v>
      </c>
    </row>
    <row r="1322">
      <c r="A1322" s="6" t="s">
        <v>2351</v>
      </c>
      <c r="B1322" s="7" t="str">
        <f>HYPERLINK("https://shopee.co.id/HAUM-BUNDLING-ALPHA-MF-C-i.344731863.8841962091", "https://shopee.co.id/HAUM-BUNDLING-ALPHA-MF-C-i.344731863.8841962091")</f>
        <v>https://shopee.co.id/HAUM-BUNDLING-ALPHA-MF-C-i.344731863.8841962091</v>
      </c>
      <c r="C1322" s="6" t="s">
        <v>1144</v>
      </c>
      <c r="D1322" s="6" t="s">
        <v>1145</v>
      </c>
      <c r="E1322" s="6" t="s">
        <v>12</v>
      </c>
      <c r="F1322" s="6" t="s">
        <v>13</v>
      </c>
      <c r="G1322" s="6" t="s">
        <v>98</v>
      </c>
      <c r="H1322" s="8" t="s">
        <v>2342</v>
      </c>
      <c r="I1322" s="9">
        <v>412500.0</v>
      </c>
      <c r="J1322" s="5" t="str">
        <f t="shared" ref="J1322:K1322" si="1322">SUBSTITUTE(H1322, ",", "")</f>
        <v>14</v>
      </c>
      <c r="K1322" s="5" t="str">
        <f t="shared" si="1322"/>
        <v>Rp412500</v>
      </c>
      <c r="L1322" s="5" t="str">
        <f t="shared" si="3"/>
        <v>412500</v>
      </c>
    </row>
    <row r="1323">
      <c r="A1323" s="6" t="s">
        <v>2352</v>
      </c>
      <c r="B1323" s="7" t="str">
        <f>HYPERLINK("https://shopee.co.id/Npure-Face-Essence-Centella-Asiatica-Cica-Series-20ml-i.110573301.5860838084", "https://shopee.co.id/Npure-Face-Essence-Centella-Asiatica-Cica-Series-20ml-i.110573301.5860838084")</f>
        <v>https://shopee.co.id/Npure-Face-Essence-Centella-Asiatica-Cica-Series-20ml-i.110573301.5860838084</v>
      </c>
      <c r="C1323" s="6" t="s">
        <v>266</v>
      </c>
      <c r="D1323" s="6" t="s">
        <v>227</v>
      </c>
      <c r="E1323" s="6" t="s">
        <v>12</v>
      </c>
      <c r="F1323" s="6" t="s">
        <v>13</v>
      </c>
      <c r="G1323" s="6" t="s">
        <v>61</v>
      </c>
      <c r="H1323" s="8" t="s">
        <v>2342</v>
      </c>
      <c r="I1323" s="9">
        <v>1800000.0</v>
      </c>
      <c r="J1323" s="5" t="str">
        <f t="shared" ref="J1323:K1323" si="1323">SUBSTITUTE(H1323, ",", "")</f>
        <v>14</v>
      </c>
      <c r="K1323" s="5" t="str">
        <f t="shared" si="1323"/>
        <v>Rp1800000</v>
      </c>
      <c r="L1323" s="5" t="str">
        <f t="shared" si="3"/>
        <v>1800000</v>
      </c>
    </row>
    <row r="1324">
      <c r="A1324" s="6" t="s">
        <v>2353</v>
      </c>
      <c r="B1324" s="7" t="str">
        <f>HYPERLINK("https://shopee.co.id/NATURE-REPUBLIC-Around-The-Nature-Treatment-Essence-i.78838801.2278675624", "https://shopee.co.id/NATURE-REPUBLIC-Around-The-Nature-Treatment-Essence-i.78838801.2278675624")</f>
        <v>https://shopee.co.id/NATURE-REPUBLIC-Around-The-Nature-Treatment-Essence-i.78838801.2278675624</v>
      </c>
      <c r="C1324" s="6" t="s">
        <v>1079</v>
      </c>
      <c r="D1324" s="6" t="s">
        <v>1080</v>
      </c>
      <c r="E1324" s="6" t="s">
        <v>12</v>
      </c>
      <c r="F1324" s="6" t="s">
        <v>13</v>
      </c>
      <c r="G1324" s="6" t="s">
        <v>532</v>
      </c>
      <c r="H1324" s="8" t="s">
        <v>2342</v>
      </c>
      <c r="I1324" s="9">
        <v>2338000.0</v>
      </c>
      <c r="J1324" s="5" t="str">
        <f t="shared" ref="J1324:K1324" si="1324">SUBSTITUTE(H1324, ",", "")</f>
        <v>14</v>
      </c>
      <c r="K1324" s="5" t="str">
        <f t="shared" si="1324"/>
        <v>Rp2338000</v>
      </c>
      <c r="L1324" s="5" t="str">
        <f t="shared" si="3"/>
        <v>2338000</v>
      </c>
    </row>
    <row r="1325">
      <c r="A1325" s="6" t="s">
        <v>2354</v>
      </c>
      <c r="B1325" s="7" t="str">
        <f>HYPERLINK("https://shopee.co.id/Babor-Rose-Toning-Essence-200-ML-i.131188140.1971037892", "https://shopee.co.id/Babor-Rose-Toning-Essence-200-ML-i.131188140.1971037892")</f>
        <v>https://shopee.co.id/Babor-Rose-Toning-Essence-200-ML-i.131188140.1971037892</v>
      </c>
      <c r="C1325" s="6" t="s">
        <v>1433</v>
      </c>
      <c r="D1325" s="6" t="s">
        <v>1434</v>
      </c>
      <c r="E1325" s="6" t="s">
        <v>12</v>
      </c>
      <c r="F1325" s="6" t="s">
        <v>13</v>
      </c>
      <c r="G1325" s="6" t="s">
        <v>61</v>
      </c>
      <c r="H1325" s="8" t="s">
        <v>2342</v>
      </c>
      <c r="I1325" s="9">
        <v>1522600.0</v>
      </c>
      <c r="J1325" s="5" t="str">
        <f t="shared" ref="J1325:K1325" si="1325">SUBSTITUTE(H1325, ",", "")</f>
        <v>14</v>
      </c>
      <c r="K1325" s="5" t="str">
        <f t="shared" si="1325"/>
        <v>Rp1522600</v>
      </c>
      <c r="L1325" s="5" t="str">
        <f t="shared" si="3"/>
        <v>1522600</v>
      </c>
    </row>
    <row r="1326">
      <c r="A1326" s="6" t="s">
        <v>2355</v>
      </c>
      <c r="B1326" s="7" t="str">
        <f>HYPERLINK("https://shopee.co.id/Babor-Thermal-Toning-Essence-200-ML-i.131188140.1971037863", "https://shopee.co.id/Babor-Thermal-Toning-Essence-200-ML-i.131188140.1971037863")</f>
        <v>https://shopee.co.id/Babor-Thermal-Toning-Essence-200-ML-i.131188140.1971037863</v>
      </c>
      <c r="C1326" s="6" t="s">
        <v>1433</v>
      </c>
      <c r="D1326" s="6" t="s">
        <v>1434</v>
      </c>
      <c r="E1326" s="6" t="s">
        <v>12</v>
      </c>
      <c r="F1326" s="6" t="s">
        <v>13</v>
      </c>
      <c r="G1326" s="6" t="s">
        <v>61</v>
      </c>
      <c r="H1326" s="8" t="s">
        <v>2342</v>
      </c>
      <c r="I1326" s="9">
        <v>1032200.0</v>
      </c>
      <c r="J1326" s="5" t="str">
        <f t="shared" ref="J1326:K1326" si="1326">SUBSTITUTE(H1326, ",", "")</f>
        <v>14</v>
      </c>
      <c r="K1326" s="5" t="str">
        <f t="shared" si="1326"/>
        <v>Rp1032200</v>
      </c>
      <c r="L1326" s="5" t="str">
        <f t="shared" si="3"/>
        <v>1032200</v>
      </c>
    </row>
    <row r="1327">
      <c r="A1327" s="6" t="s">
        <v>100</v>
      </c>
      <c r="B1327" s="7" t="str">
        <f>HYPERLINK("https://shopee.co.id/Avoskin-Perfect-Hydrating-Treatment-Essence-100ml-i.53497038.3736419757", "https://shopee.co.id/Avoskin-Perfect-Hydrating-Treatment-Essence-100ml-i.53497038.3736419757")</f>
        <v>https://shopee.co.id/Avoskin-Perfect-Hydrating-Treatment-Essence-100ml-i.53497038.3736419757</v>
      </c>
      <c r="C1327" s="6" t="s">
        <v>83</v>
      </c>
      <c r="D1327" s="6" t="s">
        <v>907</v>
      </c>
      <c r="E1327" s="6" t="s">
        <v>12</v>
      </c>
      <c r="F1327" s="6" t="s">
        <v>13</v>
      </c>
      <c r="G1327" s="6" t="s">
        <v>61</v>
      </c>
      <c r="H1327" s="8" t="s">
        <v>2342</v>
      </c>
      <c r="I1327" s="9">
        <v>1331000.0</v>
      </c>
      <c r="J1327" s="5" t="str">
        <f t="shared" ref="J1327:K1327" si="1327">SUBSTITUTE(H1327, ",", "")</f>
        <v>14</v>
      </c>
      <c r="K1327" s="5" t="str">
        <f t="shared" si="1327"/>
        <v>Rp1331000</v>
      </c>
      <c r="L1327" s="5" t="str">
        <f t="shared" si="3"/>
        <v>1331000</v>
      </c>
    </row>
    <row r="1328">
      <c r="A1328" s="6" t="s">
        <v>2356</v>
      </c>
      <c r="B1328" s="7" t="str">
        <f>HYPERLINK("https://shopee.co.id/Mazaya-Dermo-Whitening-Serum-with-Astaxanthin-15ml-i.111075825.7207899508", "https://shopee.co.id/Mazaya-Dermo-Whitening-Serum-with-Astaxanthin-15ml-i.111075825.7207899508")</f>
        <v>https://shopee.co.id/Mazaya-Dermo-Whitening-Serum-with-Astaxanthin-15ml-i.111075825.7207899508</v>
      </c>
      <c r="C1328" s="6" t="s">
        <v>2196</v>
      </c>
      <c r="D1328" s="6" t="s">
        <v>2197</v>
      </c>
      <c r="E1328" s="6" t="s">
        <v>12</v>
      </c>
      <c r="F1328" s="6" t="s">
        <v>13</v>
      </c>
      <c r="G1328" s="6" t="s">
        <v>1048</v>
      </c>
      <c r="H1328" s="8" t="s">
        <v>2342</v>
      </c>
      <c r="I1328" s="9">
        <v>281000.0</v>
      </c>
      <c r="J1328" s="5" t="str">
        <f t="shared" ref="J1328:K1328" si="1328">SUBSTITUTE(H1328, ",", "")</f>
        <v>14</v>
      </c>
      <c r="K1328" s="5" t="str">
        <f t="shared" si="1328"/>
        <v>Rp281000</v>
      </c>
      <c r="L1328" s="5" t="str">
        <f t="shared" si="3"/>
        <v>281000</v>
      </c>
    </row>
    <row r="1329">
      <c r="A1329" s="6" t="s">
        <v>2357</v>
      </c>
      <c r="B1329" s="7" t="str">
        <f>HYPERLINK("https://shopee.co.id/NACIFIC-Pink-AHABHA-Serum-i.125116082.9215488784", "https://shopee.co.id/NACIFIC-Pink-AHABHA-Serum-i.125116082.9215488784")</f>
        <v>https://shopee.co.id/NACIFIC-Pink-AHABHA-Serum-i.125116082.9215488784</v>
      </c>
      <c r="C1329" s="6" t="s">
        <v>344</v>
      </c>
      <c r="D1329" s="6" t="s">
        <v>713</v>
      </c>
      <c r="E1329" s="6" t="s">
        <v>12</v>
      </c>
      <c r="F1329" s="6" t="s">
        <v>13</v>
      </c>
      <c r="G1329" s="6" t="s">
        <v>61</v>
      </c>
      <c r="H1329" s="8" t="s">
        <v>2342</v>
      </c>
      <c r="I1329" s="9">
        <v>2333800.0</v>
      </c>
      <c r="J1329" s="5" t="str">
        <f t="shared" ref="J1329:K1329" si="1329">SUBSTITUTE(H1329, ",", "")</f>
        <v>14</v>
      </c>
      <c r="K1329" s="5" t="str">
        <f t="shared" si="1329"/>
        <v>Rp2333800</v>
      </c>
      <c r="L1329" s="5" t="str">
        <f t="shared" si="3"/>
        <v>2333800</v>
      </c>
    </row>
    <row r="1330">
      <c r="A1330" s="6" t="s">
        <v>2358</v>
      </c>
      <c r="B1330" s="7" t="str">
        <f>HYPERLINK("https://shopee.co.id/Avoskin-Miraculous-Retinol-Ampoule-30ml-i.50948181.7354649836", "https://shopee.co.id/Avoskin-Miraculous-Retinol-Ampoule-30ml-i.50948181.7354649836")</f>
        <v>https://shopee.co.id/Avoskin-Miraculous-Retinol-Ampoule-30ml-i.50948181.7354649836</v>
      </c>
      <c r="C1330" s="6" t="s">
        <v>83</v>
      </c>
      <c r="D1330" s="6" t="s">
        <v>1129</v>
      </c>
      <c r="E1330" s="6" t="s">
        <v>12</v>
      </c>
      <c r="F1330" s="6" t="s">
        <v>13</v>
      </c>
      <c r="G1330" s="6" t="s">
        <v>1130</v>
      </c>
      <c r="H1330" s="8" t="s">
        <v>2342</v>
      </c>
      <c r="I1330" s="9">
        <v>2491060.0</v>
      </c>
      <c r="J1330" s="5" t="str">
        <f t="shared" ref="J1330:K1330" si="1330">SUBSTITUTE(H1330, ",", "")</f>
        <v>14</v>
      </c>
      <c r="K1330" s="5" t="str">
        <f t="shared" si="1330"/>
        <v>Rp2491060</v>
      </c>
      <c r="L1330" s="5" t="str">
        <f t="shared" si="3"/>
        <v>2491060</v>
      </c>
    </row>
    <row r="1331">
      <c r="A1331" s="6" t="s">
        <v>2359</v>
      </c>
      <c r="B1331" s="7" t="str">
        <f>HYPERLINK("https://shopee.co.id/SOMETHINC-Niacinamide-Moisture-Beet-Serum-i.270965687.4338464354", "https://shopee.co.id/SOMETHINC-Niacinamide-Moisture-Beet-Serum-i.270965687.4338464354")</f>
        <v>https://shopee.co.id/SOMETHINC-Niacinamide-Moisture-Beet-Serum-i.270965687.4338464354</v>
      </c>
      <c r="C1331" s="6" t="s">
        <v>45</v>
      </c>
      <c r="D1331" s="6" t="s">
        <v>379</v>
      </c>
      <c r="E1331" s="6" t="s">
        <v>12</v>
      </c>
      <c r="F1331" s="6" t="s">
        <v>13</v>
      </c>
      <c r="G1331" s="6" t="s">
        <v>380</v>
      </c>
      <c r="H1331" s="8" t="s">
        <v>2342</v>
      </c>
      <c r="I1331" s="9">
        <v>3072000.0</v>
      </c>
      <c r="J1331" s="5" t="str">
        <f t="shared" ref="J1331:K1331" si="1331">SUBSTITUTE(H1331, ",", "")</f>
        <v>14</v>
      </c>
      <c r="K1331" s="5" t="str">
        <f t="shared" si="1331"/>
        <v>Rp3072000</v>
      </c>
      <c r="L1331" s="5" t="str">
        <f t="shared" si="3"/>
        <v>3072000</v>
      </c>
    </row>
    <row r="1332">
      <c r="A1332" s="6" t="s">
        <v>2360</v>
      </c>
      <c r="B1332" s="7" t="str">
        <f>HYPERLINK("https://shopee.co.id/Sbcskin-Whitening-Complex-Serum-i.229435322.4617748349", "https://shopee.co.id/Sbcskin-Whitening-Complex-Serum-i.229435322.4617748349")</f>
        <v>https://shopee.co.id/Sbcskin-Whitening-Complex-Serum-i.229435322.4617748349</v>
      </c>
      <c r="C1332" s="6" t="s">
        <v>1775</v>
      </c>
      <c r="D1332" s="6" t="s">
        <v>1776</v>
      </c>
      <c r="E1332" s="6" t="s">
        <v>12</v>
      </c>
      <c r="F1332" s="6" t="s">
        <v>13</v>
      </c>
      <c r="G1332" s="6" t="s">
        <v>1777</v>
      </c>
      <c r="H1332" s="8" t="s">
        <v>2342</v>
      </c>
      <c r="I1332" s="9">
        <v>1106000.0</v>
      </c>
      <c r="J1332" s="5" t="str">
        <f t="shared" ref="J1332:K1332" si="1332">SUBSTITUTE(H1332, ",", "")</f>
        <v>14</v>
      </c>
      <c r="K1332" s="5" t="str">
        <f t="shared" si="1332"/>
        <v>Rp1106000</v>
      </c>
      <c r="L1332" s="5" t="str">
        <f t="shared" si="3"/>
        <v>1106000</v>
      </c>
    </row>
    <row r="1333">
      <c r="A1333" s="6" t="s">
        <v>2361</v>
      </c>
      <c r="B1333" s="7" t="str">
        <f>HYPERLINK("https://shopee.co.id/Beautybarme-Whitelab-Series-Lengkap-Bpom-i.28781862.4445661110", "https://shopee.co.id/Beautybarme-Whitelab-Series-Lengkap-Bpom-i.28781862.4445661110")</f>
        <v>https://shopee.co.id/Beautybarme-Whitelab-Series-Lengkap-Bpom-i.28781862.4445661110</v>
      </c>
      <c r="C1333" s="6" t="s">
        <v>59</v>
      </c>
      <c r="D1333" s="6" t="s">
        <v>1189</v>
      </c>
      <c r="E1333" s="6" t="s">
        <v>12</v>
      </c>
      <c r="F1333" s="6" t="s">
        <v>13</v>
      </c>
      <c r="G1333" s="6" t="s">
        <v>1190</v>
      </c>
      <c r="H1333" s="8" t="s">
        <v>2342</v>
      </c>
      <c r="I1333" s="9">
        <v>1869750.0</v>
      </c>
      <c r="J1333" s="5" t="str">
        <f t="shared" ref="J1333:K1333" si="1333">SUBSTITUTE(H1333, ",", "")</f>
        <v>14</v>
      </c>
      <c r="K1333" s="5" t="str">
        <f t="shared" si="1333"/>
        <v>Rp1869750</v>
      </c>
      <c r="L1333" s="5" t="str">
        <f t="shared" si="3"/>
        <v>1869750</v>
      </c>
    </row>
    <row r="1334">
      <c r="A1334" s="6" t="s">
        <v>1640</v>
      </c>
      <c r="B1334" s="7" t="str">
        <f>HYPERLINK("https://shopee.co.id/Avoskin-Hydrating-Treatment-Essence-100ml-i.30736001.11801973102", "https://shopee.co.id/Avoskin-Hydrating-Treatment-Essence-100ml-i.30736001.11801973102")</f>
        <v>https://shopee.co.id/Avoskin-Hydrating-Treatment-Essence-100ml-i.30736001.11801973102</v>
      </c>
      <c r="C1334" s="6" t="s">
        <v>83</v>
      </c>
      <c r="D1334" s="6" t="s">
        <v>335</v>
      </c>
      <c r="E1334" s="6" t="s">
        <v>12</v>
      </c>
      <c r="F1334" s="6" t="s">
        <v>13</v>
      </c>
      <c r="G1334" s="6" t="s">
        <v>36</v>
      </c>
      <c r="H1334" s="8" t="s">
        <v>2342</v>
      </c>
      <c r="I1334" s="9">
        <v>4170853.0</v>
      </c>
      <c r="J1334" s="5" t="str">
        <f t="shared" ref="J1334:K1334" si="1334">SUBSTITUTE(H1334, ",", "")</f>
        <v>14</v>
      </c>
      <c r="K1334" s="5" t="str">
        <f t="shared" si="1334"/>
        <v>Rp4170853</v>
      </c>
      <c r="L1334" s="5" t="str">
        <f t="shared" si="3"/>
        <v>4170853</v>
      </c>
    </row>
    <row r="1335">
      <c r="A1335" s="6" t="s">
        <v>2362</v>
      </c>
      <c r="B1335" s="7" t="str">
        <f>HYPERLINK("https://shopee.co.id/SNP-mini-Royal-Honey-Essence-i.88399725.3625461406", "https://shopee.co.id/SNP-mini-Royal-Honey-Essence-i.88399725.3625461406")</f>
        <v>https://shopee.co.id/SNP-mini-Royal-Honey-Essence-i.88399725.3625461406</v>
      </c>
      <c r="C1335" s="6" t="s">
        <v>565</v>
      </c>
      <c r="D1335" s="6" t="s">
        <v>566</v>
      </c>
      <c r="E1335" s="6" t="s">
        <v>12</v>
      </c>
      <c r="F1335" s="6" t="s">
        <v>13</v>
      </c>
      <c r="G1335" s="6" t="s">
        <v>98</v>
      </c>
      <c r="H1335" s="8" t="s">
        <v>2342</v>
      </c>
      <c r="I1335" s="9">
        <v>1549800.0</v>
      </c>
      <c r="J1335" s="5" t="str">
        <f t="shared" ref="J1335:K1335" si="1335">SUBSTITUTE(H1335, ",", "")</f>
        <v>14</v>
      </c>
      <c r="K1335" s="5" t="str">
        <f t="shared" si="1335"/>
        <v>Rp1549800</v>
      </c>
      <c r="L1335" s="5" t="str">
        <f t="shared" si="3"/>
        <v>1549800</v>
      </c>
    </row>
    <row r="1336">
      <c r="A1336" s="6" t="s">
        <v>2363</v>
      </c>
      <c r="B1336" s="7" t="str">
        <f>HYPERLINK("https://shopee.co.id/Somethinc-10-Niacinamide-Moisture-Sabi-White-Max-Brightening-Serum-20-mL-i.65323877.3394869114", "https://shopee.co.id/Somethinc-10-Niacinamide-Moisture-Sabi-White-Max-Brightening-Serum-20-mL-i.65323877.3394869114")</f>
        <v>https://shopee.co.id/Somethinc-10-Niacinamide-Moisture-Sabi-White-Max-Brightening-Serum-20-mL-i.65323877.3394869114</v>
      </c>
      <c r="C1336" s="6" t="s">
        <v>45</v>
      </c>
      <c r="D1336" s="6" t="s">
        <v>1600</v>
      </c>
      <c r="E1336" s="6" t="s">
        <v>12</v>
      </c>
      <c r="F1336" s="6" t="s">
        <v>13</v>
      </c>
      <c r="G1336" s="6" t="s">
        <v>296</v>
      </c>
      <c r="H1336" s="8" t="s">
        <v>2342</v>
      </c>
      <c r="I1336" s="9">
        <v>3048000.0</v>
      </c>
      <c r="J1336" s="5" t="str">
        <f t="shared" ref="J1336:K1336" si="1336">SUBSTITUTE(H1336, ",", "")</f>
        <v>14</v>
      </c>
      <c r="K1336" s="5" t="str">
        <f t="shared" si="1336"/>
        <v>Rp3048000</v>
      </c>
      <c r="L1336" s="5" t="str">
        <f t="shared" si="3"/>
        <v>3048000</v>
      </c>
    </row>
    <row r="1337">
      <c r="A1337" s="6" t="s">
        <v>771</v>
      </c>
      <c r="B1337" s="7" t="str">
        <f>HYPERLINK("https://shopee.co.id/The-Aubree-Niacinamide-Skin-Booster-30-ml-i.110573301.3023102186", "https://shopee.co.id/The-Aubree-Niacinamide-Skin-Booster-30-ml-i.110573301.3023102186")</f>
        <v>https://shopee.co.id/The-Aubree-Niacinamide-Skin-Booster-30-ml-i.110573301.3023102186</v>
      </c>
      <c r="C1337" s="6" t="s">
        <v>772</v>
      </c>
      <c r="D1337" s="6" t="s">
        <v>227</v>
      </c>
      <c r="E1337" s="6" t="s">
        <v>12</v>
      </c>
      <c r="F1337" s="6" t="s">
        <v>13</v>
      </c>
      <c r="G1337" s="6" t="s">
        <v>61</v>
      </c>
      <c r="H1337" s="8" t="s">
        <v>2342</v>
      </c>
      <c r="I1337" s="9">
        <v>2310000.0</v>
      </c>
      <c r="J1337" s="5" t="str">
        <f t="shared" ref="J1337:K1337" si="1337">SUBSTITUTE(H1337, ",", "")</f>
        <v>14</v>
      </c>
      <c r="K1337" s="5" t="str">
        <f t="shared" si="1337"/>
        <v>Rp2310000</v>
      </c>
      <c r="L1337" s="5" t="str">
        <f t="shared" si="3"/>
        <v>2310000</v>
      </c>
    </row>
    <row r="1338">
      <c r="A1338" s="6" t="s">
        <v>2364</v>
      </c>
      <c r="B1338" s="7" t="str">
        <f>HYPERLINK("https://shopee.co.id/AVOSKIN-Your-Skin-Bae-Azeclair-10-Kombucha-3-Niacinamide-2-5-Vaccine-Serum-30ml-i.270965687.3982587579", "https://shopee.co.id/AVOSKIN-Your-Skin-Bae-Azeclair-10-Kombucha-3-Niacinamide-2-5-Vaccine-Serum-30ml-i.270965687.3982587579")</f>
        <v>https://shopee.co.id/AVOSKIN-Your-Skin-Bae-Azeclair-10-Kombucha-3-Niacinamide-2-5-Vaccine-Serum-30ml-i.270965687.3982587579</v>
      </c>
      <c r="C1338" s="6" t="s">
        <v>83</v>
      </c>
      <c r="D1338" s="6" t="s">
        <v>379</v>
      </c>
      <c r="E1338" s="6" t="s">
        <v>12</v>
      </c>
      <c r="F1338" s="6" t="s">
        <v>13</v>
      </c>
      <c r="G1338" s="6" t="s">
        <v>380</v>
      </c>
      <c r="H1338" s="8" t="s">
        <v>2342</v>
      </c>
      <c r="I1338" s="9">
        <v>3994640.0</v>
      </c>
      <c r="J1338" s="5" t="str">
        <f t="shared" ref="J1338:K1338" si="1338">SUBSTITUTE(H1338, ",", "")</f>
        <v>14</v>
      </c>
      <c r="K1338" s="5" t="str">
        <f t="shared" si="1338"/>
        <v>Rp3994640</v>
      </c>
      <c r="L1338" s="5" t="str">
        <f t="shared" si="3"/>
        <v>3994640</v>
      </c>
    </row>
    <row r="1339">
      <c r="A1339" s="6" t="s">
        <v>2365</v>
      </c>
      <c r="B1339" s="7" t="str">
        <f>HYPERLINK("https://shopee.co.id/ERHA-Truwhite-Active-Glow-Booster-15ML-Brightening-Booster-i.187117294.11112242923", "https://shopee.co.id/ERHA-Truwhite-Active-Glow-Booster-15ML-Brightening-Booster-i.187117294.11112242923")</f>
        <v>https://shopee.co.id/ERHA-Truwhite-Active-Glow-Booster-15ML-Brightening-Booster-i.187117294.11112242923</v>
      </c>
      <c r="C1339" s="6" t="s">
        <v>181</v>
      </c>
      <c r="D1339" s="6" t="s">
        <v>2366</v>
      </c>
      <c r="E1339" s="6" t="s">
        <v>12</v>
      </c>
      <c r="F1339" s="6" t="s">
        <v>13</v>
      </c>
      <c r="G1339" s="6" t="s">
        <v>469</v>
      </c>
      <c r="H1339" s="8" t="s">
        <v>2342</v>
      </c>
      <c r="I1339" s="9">
        <v>1633870.0</v>
      </c>
      <c r="J1339" s="5" t="str">
        <f t="shared" ref="J1339:K1339" si="1339">SUBSTITUTE(H1339, ",", "")</f>
        <v>14</v>
      </c>
      <c r="K1339" s="5" t="str">
        <f t="shared" si="1339"/>
        <v>Rp1633870</v>
      </c>
      <c r="L1339" s="5" t="str">
        <f t="shared" si="3"/>
        <v>1633870</v>
      </c>
    </row>
    <row r="1340">
      <c r="A1340" s="6" t="s">
        <v>2367</v>
      </c>
      <c r="B1340" s="7" t="str">
        <f>HYPERLINK("https://shopee.co.id/-The-Face-Shop-Yehwadam-First-Serum-140ml-Original-i.34671748.7375596940", "https://shopee.co.id/-The-Face-Shop-Yehwadam-First-Serum-140ml-Original-i.34671748.7375596940")</f>
        <v>https://shopee.co.id/-The-Face-Shop-Yehwadam-First-Serum-140ml-Original-i.34671748.7375596940</v>
      </c>
      <c r="C1340" s="6" t="s">
        <v>1217</v>
      </c>
      <c r="D1340" s="6" t="s">
        <v>1218</v>
      </c>
      <c r="E1340" s="6" t="s">
        <v>12</v>
      </c>
      <c r="F1340" s="6" t="s">
        <v>13</v>
      </c>
      <c r="G1340" s="6" t="s">
        <v>61</v>
      </c>
      <c r="H1340" s="8" t="s">
        <v>2342</v>
      </c>
      <c r="I1340" s="9">
        <v>1750000.0</v>
      </c>
      <c r="J1340" s="5" t="str">
        <f t="shared" ref="J1340:K1340" si="1340">SUBSTITUTE(H1340, ",", "")</f>
        <v>14</v>
      </c>
      <c r="K1340" s="5" t="str">
        <f t="shared" si="1340"/>
        <v>Rp1750000</v>
      </c>
      <c r="L1340" s="5" t="str">
        <f t="shared" si="3"/>
        <v>1750000</v>
      </c>
    </row>
    <row r="1341">
      <c r="A1341" s="6" t="s">
        <v>2368</v>
      </c>
      <c r="B1341" s="7" t="str">
        <f>HYPERLINK("https://shopee.co.id/L-OREAL-Revitalift-Hyaluronic-Acid-Serum-Skin-Care-15ml-i.30736001.9945030316", "https://shopee.co.id/L-OREAL-Revitalift-Hyaluronic-Acid-Serum-Skin-Care-15ml-i.30736001.9945030316")</f>
        <v>https://shopee.co.id/L-OREAL-Revitalift-Hyaluronic-Acid-Serum-Skin-Care-15ml-i.30736001.9945030316</v>
      </c>
      <c r="C1341" s="6" t="s">
        <v>105</v>
      </c>
      <c r="D1341" s="6" t="s">
        <v>335</v>
      </c>
      <c r="E1341" s="6" t="s">
        <v>12</v>
      </c>
      <c r="F1341" s="6" t="s">
        <v>13</v>
      </c>
      <c r="G1341" s="6" t="s">
        <v>36</v>
      </c>
      <c r="H1341" s="8" t="s">
        <v>2342</v>
      </c>
      <c r="I1341" s="9">
        <v>5814000.0</v>
      </c>
      <c r="J1341" s="5" t="str">
        <f t="shared" ref="J1341:K1341" si="1341">SUBSTITUTE(H1341, ",", "")</f>
        <v>14</v>
      </c>
      <c r="K1341" s="5" t="str">
        <f t="shared" si="1341"/>
        <v>Rp5814000</v>
      </c>
      <c r="L1341" s="5" t="str">
        <f t="shared" si="3"/>
        <v>5814000</v>
      </c>
    </row>
    <row r="1342">
      <c r="A1342" s="6" t="s">
        <v>2369</v>
      </c>
      <c r="B1342" s="7" t="str">
        <f>HYPERLINK("https://shopee.co.id/La-Tulipe-Hyaluronic-Serum-i.131133483.4991850978", "https://shopee.co.id/La-Tulipe-Hyaluronic-Serum-i.131133483.4991850978")</f>
        <v>https://shopee.co.id/La-Tulipe-Hyaluronic-Serum-i.131133483.4991850978</v>
      </c>
      <c r="C1342" s="6" t="s">
        <v>1761</v>
      </c>
      <c r="D1342" s="6" t="s">
        <v>1762</v>
      </c>
      <c r="E1342" s="6" t="s">
        <v>12</v>
      </c>
      <c r="F1342" s="6" t="s">
        <v>13</v>
      </c>
      <c r="G1342" s="6" t="s">
        <v>61</v>
      </c>
      <c r="H1342" s="8" t="s">
        <v>2342</v>
      </c>
      <c r="I1342" s="9">
        <v>808300.0</v>
      </c>
      <c r="J1342" s="5" t="str">
        <f t="shared" ref="J1342:K1342" si="1342">SUBSTITUTE(H1342, ",", "")</f>
        <v>14</v>
      </c>
      <c r="K1342" s="5" t="str">
        <f t="shared" si="1342"/>
        <v>Rp808300</v>
      </c>
      <c r="L1342" s="5" t="str">
        <f t="shared" si="3"/>
        <v>808300</v>
      </c>
    </row>
    <row r="1343">
      <c r="A1343" s="6" t="s">
        <v>2370</v>
      </c>
      <c r="B1343" s="7" t="str">
        <f>HYPERLINK("https://shopee.co.id/SOMETHINC-Niacinamide-Moisture-Beet-Serum-20ml-i.30736001.9335381182", "https://shopee.co.id/SOMETHINC-Niacinamide-Moisture-Beet-Serum-20ml-i.30736001.9335381182")</f>
        <v>https://shopee.co.id/SOMETHINC-Niacinamide-Moisture-Beet-Serum-20ml-i.30736001.9335381182</v>
      </c>
      <c r="C1343" s="6" t="s">
        <v>45</v>
      </c>
      <c r="D1343" s="6" t="s">
        <v>335</v>
      </c>
      <c r="E1343" s="6" t="s">
        <v>12</v>
      </c>
      <c r="F1343" s="6" t="s">
        <v>13</v>
      </c>
      <c r="G1343" s="6" t="s">
        <v>36</v>
      </c>
      <c r="H1343" s="8" t="s">
        <v>2342</v>
      </c>
      <c r="I1343" s="9">
        <v>1877074.0</v>
      </c>
      <c r="J1343" s="5" t="str">
        <f t="shared" ref="J1343:K1343" si="1343">SUBSTITUTE(H1343, ",", "")</f>
        <v>14</v>
      </c>
      <c r="K1343" s="5" t="str">
        <f t="shared" si="1343"/>
        <v>Rp1877074</v>
      </c>
      <c r="L1343" s="5" t="str">
        <f t="shared" si="3"/>
        <v>1877074</v>
      </c>
    </row>
    <row r="1344">
      <c r="A1344" s="6" t="s">
        <v>2371</v>
      </c>
      <c r="B1344" s="7" t="str">
        <f>HYPERLINK("https://shopee.co.id/SECA-Glowing-Skin-Package-i.373749700.9377602410", "https://shopee.co.id/SECA-Glowing-Skin-Package-i.373749700.9377602410")</f>
        <v>https://shopee.co.id/SECA-Glowing-Skin-Package-i.373749700.9377602410</v>
      </c>
      <c r="C1344" s="6" t="s">
        <v>985</v>
      </c>
      <c r="D1344" s="6" t="s">
        <v>986</v>
      </c>
      <c r="E1344" s="6" t="s">
        <v>12</v>
      </c>
      <c r="F1344" s="6" t="s">
        <v>13</v>
      </c>
      <c r="G1344" s="6" t="s">
        <v>36</v>
      </c>
      <c r="H1344" s="8" t="s">
        <v>2342</v>
      </c>
      <c r="I1344" s="9">
        <v>2332400.0</v>
      </c>
      <c r="J1344" s="5" t="str">
        <f t="shared" ref="J1344:K1344" si="1344">SUBSTITUTE(H1344, ",", "")</f>
        <v>14</v>
      </c>
      <c r="K1344" s="5" t="str">
        <f t="shared" si="1344"/>
        <v>Rp2332400</v>
      </c>
      <c r="L1344" s="5" t="str">
        <f t="shared" si="3"/>
        <v>2332400</v>
      </c>
    </row>
    <row r="1345">
      <c r="A1345" s="6" t="s">
        <v>2372</v>
      </c>
      <c r="B1345" s="7" t="str">
        <f>HYPERLINK("https://shopee.co.id/Trilogy-Hyaluronic-Acid-Booster-Treatment-i.53497038.3792648232", "https://shopee.co.id/Trilogy-Hyaluronic-Acid-Booster-Treatment-i.53497038.3792648232")</f>
        <v>https://shopee.co.id/Trilogy-Hyaluronic-Acid-Booster-Treatment-i.53497038.3792648232</v>
      </c>
      <c r="C1345" s="6" t="s">
        <v>2373</v>
      </c>
      <c r="D1345" s="6" t="s">
        <v>907</v>
      </c>
      <c r="E1345" s="6" t="s">
        <v>12</v>
      </c>
      <c r="F1345" s="6" t="s">
        <v>13</v>
      </c>
      <c r="G1345" s="6" t="s">
        <v>61</v>
      </c>
      <c r="H1345" s="8" t="s">
        <v>2342</v>
      </c>
      <c r="I1345" s="9">
        <v>1807000.0</v>
      </c>
      <c r="J1345" s="5" t="str">
        <f t="shared" ref="J1345:K1345" si="1345">SUBSTITUTE(H1345, ",", "")</f>
        <v>14</v>
      </c>
      <c r="K1345" s="5" t="str">
        <f t="shared" si="1345"/>
        <v>Rp1807000</v>
      </c>
      <c r="L1345" s="5" t="str">
        <f t="shared" si="3"/>
        <v>1807000</v>
      </c>
    </row>
    <row r="1346">
      <c r="A1346" s="6" t="s">
        <v>2374</v>
      </c>
      <c r="B1346" s="7" t="str">
        <f>HYPERLINK("https://shopee.co.id/Nourish-Beauty-Care-Wrinkle-Remover-Serum-Anti-Aging-Penuaan-Dini-Keriput-Awet-Muda-i.121791179.2263583050", "https://shopee.co.id/Nourish-Beauty-Care-Wrinkle-Remover-Serum-Anti-Aging-Penuaan-Dini-Keriput-Awet-Muda-i.121791179.2263583050")</f>
        <v>https://shopee.co.id/Nourish-Beauty-Care-Wrinkle-Remover-Serum-Anti-Aging-Penuaan-Dini-Keriput-Awet-Muda-i.121791179.2263583050</v>
      </c>
      <c r="C1346" s="6" t="s">
        <v>1309</v>
      </c>
      <c r="D1346" s="6" t="s">
        <v>1733</v>
      </c>
      <c r="E1346" s="6" t="s">
        <v>12</v>
      </c>
      <c r="F1346" s="6" t="s">
        <v>13</v>
      </c>
      <c r="G1346" s="6" t="s">
        <v>36</v>
      </c>
      <c r="H1346" s="8" t="s">
        <v>2342</v>
      </c>
      <c r="I1346" s="9">
        <v>3096000.0</v>
      </c>
      <c r="J1346" s="5" t="str">
        <f t="shared" ref="J1346:K1346" si="1346">SUBSTITUTE(H1346, ",", "")</f>
        <v>14</v>
      </c>
      <c r="K1346" s="5" t="str">
        <f t="shared" si="1346"/>
        <v>Rp3096000</v>
      </c>
      <c r="L1346" s="5" t="str">
        <f t="shared" si="3"/>
        <v>3096000</v>
      </c>
    </row>
    <row r="1347">
      <c r="A1347" s="6" t="s">
        <v>2375</v>
      </c>
      <c r="B1347" s="7" t="str">
        <f>HYPERLINK("https://shopee.co.id/Fanbo-Wonder-Skin-Sunscreen-Serum-Flashsale-i.12057760.8270553482", "https://shopee.co.id/Fanbo-Wonder-Skin-Sunscreen-Serum-Flashsale-i.12057760.8270553482")</f>
        <v>https://shopee.co.id/Fanbo-Wonder-Skin-Sunscreen-Serum-Flashsale-i.12057760.8270553482</v>
      </c>
      <c r="C1347" s="6" t="s">
        <v>2376</v>
      </c>
      <c r="D1347" s="6" t="s">
        <v>2377</v>
      </c>
      <c r="E1347" s="6" t="s">
        <v>12</v>
      </c>
      <c r="F1347" s="6" t="s">
        <v>13</v>
      </c>
      <c r="G1347" s="6" t="s">
        <v>21</v>
      </c>
      <c r="H1347" s="8" t="s">
        <v>2342</v>
      </c>
      <c r="I1347" s="9">
        <v>5336000.0</v>
      </c>
      <c r="J1347" s="5" t="str">
        <f t="shared" ref="J1347:K1347" si="1347">SUBSTITUTE(H1347, ",", "")</f>
        <v>14</v>
      </c>
      <c r="K1347" s="5" t="str">
        <f t="shared" si="1347"/>
        <v>Rp5336000</v>
      </c>
      <c r="L1347" s="5" t="str">
        <f t="shared" si="3"/>
        <v>5336000</v>
      </c>
    </row>
    <row r="1348">
      <c r="A1348" s="6" t="s">
        <v>2378</v>
      </c>
      <c r="B1348" s="7" t="str">
        <f>HYPERLINK("https://shopee.co.id/KF-Skin-Serum-Pearl-i.298365554.7652075103", "https://shopee.co.id/KF-Skin-Serum-Pearl-i.298365554.7652075103")</f>
        <v>https://shopee.co.id/KF-Skin-Serum-Pearl-i.298365554.7652075103</v>
      </c>
      <c r="C1348" s="6" t="s">
        <v>1290</v>
      </c>
      <c r="D1348" s="6" t="s">
        <v>1291</v>
      </c>
      <c r="E1348" s="6" t="s">
        <v>12</v>
      </c>
      <c r="F1348" s="6" t="s">
        <v>13</v>
      </c>
      <c r="G1348" s="6" t="s">
        <v>1292</v>
      </c>
      <c r="H1348" s="8" t="s">
        <v>2342</v>
      </c>
      <c r="I1348" s="9">
        <v>1078650.0</v>
      </c>
      <c r="J1348" s="5" t="str">
        <f t="shared" ref="J1348:K1348" si="1348">SUBSTITUTE(H1348, ",", "")</f>
        <v>14</v>
      </c>
      <c r="K1348" s="5" t="str">
        <f t="shared" si="1348"/>
        <v>Rp1078650</v>
      </c>
      <c r="L1348" s="5" t="str">
        <f t="shared" si="3"/>
        <v>1078650</v>
      </c>
    </row>
    <row r="1349">
      <c r="A1349" s="6" t="s">
        <v>2379</v>
      </c>
      <c r="B1349" s="7" t="str">
        <f>HYPERLINK("https://shopee.co.id/KALEY-SKINCARE-Pineapple-c-Brightening-Essense-Serum-30ml-i.68111.6138807013", "https://shopee.co.id/KALEY-SKINCARE-Pineapple-c-Brightening-Essense-Serum-30ml-i.68111.6138807013")</f>
        <v>https://shopee.co.id/KALEY-SKINCARE-Pineapple-c-Brightening-Essense-Serum-30ml-i.68111.6138807013</v>
      </c>
      <c r="C1349" s="6" t="s">
        <v>2380</v>
      </c>
      <c r="D1349" s="6" t="s">
        <v>441</v>
      </c>
      <c r="E1349" s="6" t="s">
        <v>12</v>
      </c>
      <c r="F1349" s="6" t="s">
        <v>13</v>
      </c>
      <c r="G1349" s="6" t="s">
        <v>130</v>
      </c>
      <c r="H1349" s="8" t="s">
        <v>2342</v>
      </c>
      <c r="I1349" s="9">
        <v>851600.0</v>
      </c>
      <c r="J1349" s="5" t="str">
        <f t="shared" ref="J1349:K1349" si="1349">SUBSTITUTE(H1349, ",", "")</f>
        <v>14</v>
      </c>
      <c r="K1349" s="5" t="str">
        <f t="shared" si="1349"/>
        <v>Rp851600</v>
      </c>
      <c r="L1349" s="5" t="str">
        <f t="shared" si="3"/>
        <v>851600</v>
      </c>
    </row>
    <row r="1350">
      <c r="A1350" s="6" t="s">
        <v>2381</v>
      </c>
      <c r="B1350" s="7" t="str">
        <f>HYPERLINK("https://shopee.co.id/DNI-Whitening-Serum-i.41174739.5520398603", "https://shopee.co.id/DNI-Whitening-Serum-i.41174739.5520398603")</f>
        <v>https://shopee.co.id/DNI-Whitening-Serum-i.41174739.5520398603</v>
      </c>
      <c r="C1350" s="6" t="s">
        <v>2382</v>
      </c>
      <c r="D1350" s="6" t="s">
        <v>2383</v>
      </c>
      <c r="E1350" s="6" t="s">
        <v>12</v>
      </c>
      <c r="F1350" s="6" t="s">
        <v>13</v>
      </c>
      <c r="G1350" s="6" t="s">
        <v>945</v>
      </c>
      <c r="H1350" s="8" t="s">
        <v>2342</v>
      </c>
      <c r="I1350" s="9">
        <v>910000.0</v>
      </c>
      <c r="J1350" s="5" t="str">
        <f t="shared" ref="J1350:K1350" si="1350">SUBSTITUTE(H1350, ",", "")</f>
        <v>14</v>
      </c>
      <c r="K1350" s="5" t="str">
        <f t="shared" si="1350"/>
        <v>Rp910000</v>
      </c>
      <c r="L1350" s="5" t="str">
        <f t="shared" si="3"/>
        <v>910000</v>
      </c>
    </row>
    <row r="1351">
      <c r="A1351" s="6" t="s">
        <v>2384</v>
      </c>
      <c r="B1351" s="7" t="str">
        <f>HYPERLINK("https://shopee.co.id/Runaskin-Tone-Perfection-Vitamin-C-Serum-i.98054049.2261830955", "https://shopee.co.id/Runaskin-Tone-Perfection-Vitamin-C-Serum-i.98054049.2261830955")</f>
        <v>https://shopee.co.id/Runaskin-Tone-Perfection-Vitamin-C-Serum-i.98054049.2261830955</v>
      </c>
      <c r="C1351" s="6" t="s">
        <v>2385</v>
      </c>
      <c r="D1351" s="6" t="s">
        <v>2386</v>
      </c>
      <c r="E1351" s="6" t="s">
        <v>12</v>
      </c>
      <c r="F1351" s="6" t="s">
        <v>13</v>
      </c>
      <c r="G1351" s="6" t="s">
        <v>1621</v>
      </c>
      <c r="H1351" s="8" t="s">
        <v>2342</v>
      </c>
      <c r="I1351" s="9">
        <v>1790750.0</v>
      </c>
      <c r="J1351" s="5" t="str">
        <f t="shared" ref="J1351:K1351" si="1351">SUBSTITUTE(H1351, ",", "")</f>
        <v>14</v>
      </c>
      <c r="K1351" s="5" t="str">
        <f t="shared" si="1351"/>
        <v>Rp1790750</v>
      </c>
      <c r="L1351" s="5" t="str">
        <f t="shared" si="3"/>
        <v>1790750</v>
      </c>
    </row>
    <row r="1352">
      <c r="A1352" s="6" t="s">
        <v>2387</v>
      </c>
      <c r="B1352" s="7" t="str">
        <f>HYPERLINK("https://shopee.co.id/Collagen-By-Watsons-Hydro-Balance-Day-Moist-SPF20-50-ML-i.30736001.5639098295", "https://shopee.co.id/Collagen-By-Watsons-Hydro-Balance-Day-Moist-SPF20-50-ML-i.30736001.5639098295")</f>
        <v>https://shopee.co.id/Collagen-By-Watsons-Hydro-Balance-Day-Moist-SPF20-50-ML-i.30736001.5639098295</v>
      </c>
      <c r="C1352" s="6" t="s">
        <v>2388</v>
      </c>
      <c r="D1352" s="6" t="s">
        <v>335</v>
      </c>
      <c r="E1352" s="6" t="s">
        <v>12</v>
      </c>
      <c r="F1352" s="6" t="s">
        <v>13</v>
      </c>
      <c r="G1352" s="6" t="s">
        <v>36</v>
      </c>
      <c r="H1352" s="8" t="s">
        <v>2342</v>
      </c>
      <c r="I1352" s="9">
        <v>2520000.0</v>
      </c>
      <c r="J1352" s="5" t="str">
        <f t="shared" ref="J1352:K1352" si="1352">SUBSTITUTE(H1352, ",", "")</f>
        <v>14</v>
      </c>
      <c r="K1352" s="5" t="str">
        <f t="shared" si="1352"/>
        <v>Rp2520000</v>
      </c>
      <c r="L1352" s="5" t="str">
        <f t="shared" si="3"/>
        <v>2520000</v>
      </c>
    </row>
    <row r="1353">
      <c r="A1353" s="6" t="s">
        <v>2389</v>
      </c>
      <c r="B1353" s="7" t="str">
        <f>HYPERLINK("https://shopee.co.id/Qweena-Pumpkin-Whitening-Serum-with-snail-secretion-filtrate-20ML--i.198883301.4929121633", "https://shopee.co.id/Qweena-Pumpkin-Whitening-Serum-with-snail-secretion-filtrate-20ML--i.198883301.4929121633")</f>
        <v>https://shopee.co.id/Qweena-Pumpkin-Whitening-Serum-with-snail-secretion-filtrate-20ML--i.198883301.4929121633</v>
      </c>
      <c r="C1353" s="6" t="s">
        <v>2390</v>
      </c>
      <c r="D1353" s="6" t="s">
        <v>2391</v>
      </c>
      <c r="E1353" s="6" t="s">
        <v>12</v>
      </c>
      <c r="F1353" s="6" t="s">
        <v>13</v>
      </c>
      <c r="G1353" s="6" t="s">
        <v>2392</v>
      </c>
      <c r="H1353" s="8" t="s">
        <v>2342</v>
      </c>
      <c r="I1353" s="9">
        <v>2314500.0</v>
      </c>
      <c r="J1353" s="5" t="str">
        <f t="shared" ref="J1353:K1353" si="1353">SUBSTITUTE(H1353, ",", "")</f>
        <v>14</v>
      </c>
      <c r="K1353" s="5" t="str">
        <f t="shared" si="1353"/>
        <v>Rp2314500</v>
      </c>
      <c r="L1353" s="5" t="str">
        <f t="shared" si="3"/>
        <v>2314500</v>
      </c>
    </row>
    <row r="1354">
      <c r="A1354" s="6" t="s">
        <v>2393</v>
      </c>
      <c r="B1354" s="7" t="str">
        <f>HYPERLINK("https://shopee.co.id/HERSALL-Moon-Fairy-Serum-Bakuchiol-Hyaluronic-i.329847628.10924490961", "https://shopee.co.id/HERSALL-Moon-Fairy-Serum-Bakuchiol-Hyaluronic-i.329847628.10924490961")</f>
        <v>https://shopee.co.id/HERSALL-Moon-Fairy-Serum-Bakuchiol-Hyaluronic-i.329847628.10924490961</v>
      </c>
      <c r="C1354" s="6" t="s">
        <v>2000</v>
      </c>
      <c r="D1354" s="6" t="s">
        <v>2001</v>
      </c>
      <c r="E1354" s="6" t="s">
        <v>12</v>
      </c>
      <c r="F1354" s="6" t="s">
        <v>13</v>
      </c>
      <c r="G1354" s="6" t="s">
        <v>61</v>
      </c>
      <c r="H1354" s="8" t="s">
        <v>2342</v>
      </c>
      <c r="I1354" s="9">
        <v>31500.0</v>
      </c>
      <c r="J1354" s="5" t="str">
        <f t="shared" ref="J1354:K1354" si="1354">SUBSTITUTE(H1354, ",", "")</f>
        <v>14</v>
      </c>
      <c r="K1354" s="5" t="str">
        <f t="shared" si="1354"/>
        <v>Rp31500</v>
      </c>
      <c r="L1354" s="5" t="str">
        <f t="shared" si="3"/>
        <v>31500</v>
      </c>
    </row>
    <row r="1355">
      <c r="A1355" s="6" t="s">
        <v>2394</v>
      </c>
      <c r="B1355" s="7" t="str">
        <f>HYPERLINK("https://shopee.co.id/Bless-Anti-Wrinkle-Revitalizing-Serum-20ml-i.3299033.6987496514", "https://shopee.co.id/Bless-Anti-Wrinkle-Revitalizing-Serum-20ml-i.3299033.6987496514")</f>
        <v>https://shopee.co.id/Bless-Anti-Wrinkle-Revitalizing-Serum-20ml-i.3299033.6987496514</v>
      </c>
      <c r="C1355" s="6" t="s">
        <v>1512</v>
      </c>
      <c r="D1355" s="6" t="s">
        <v>1513</v>
      </c>
      <c r="E1355" s="6" t="s">
        <v>12</v>
      </c>
      <c r="F1355" s="6" t="s">
        <v>13</v>
      </c>
      <c r="G1355" s="6" t="s">
        <v>532</v>
      </c>
      <c r="H1355" s="8" t="s">
        <v>2342</v>
      </c>
      <c r="I1355" s="9">
        <v>980000.0</v>
      </c>
      <c r="J1355" s="5" t="str">
        <f t="shared" ref="J1355:K1355" si="1355">SUBSTITUTE(H1355, ",", "")</f>
        <v>14</v>
      </c>
      <c r="K1355" s="5" t="str">
        <f t="shared" si="1355"/>
        <v>Rp980000</v>
      </c>
      <c r="L1355" s="5" t="str">
        <f t="shared" si="3"/>
        <v>980000</v>
      </c>
    </row>
    <row r="1356">
      <c r="A1356" s="6" t="s">
        <v>2395</v>
      </c>
      <c r="B1356" s="7" t="str">
        <f>HYPERLINK("https://shopee.co.id/Raiku-Hydrating-Glow-Serum-30-ml--i.82041605.3275450988", "https://shopee.co.id/Raiku-Hydrating-Glow-Serum-30-ml--i.82041605.3275450988")</f>
        <v>https://shopee.co.id/Raiku-Hydrating-Glow-Serum-30-ml--i.82041605.3275450988</v>
      </c>
      <c r="C1356" s="6" t="s">
        <v>2281</v>
      </c>
      <c r="D1356" s="6" t="s">
        <v>2282</v>
      </c>
      <c r="E1356" s="6" t="s">
        <v>12</v>
      </c>
      <c r="F1356" s="6" t="s">
        <v>13</v>
      </c>
      <c r="G1356" s="6" t="s">
        <v>21</v>
      </c>
      <c r="H1356" s="8" t="s">
        <v>2396</v>
      </c>
      <c r="I1356" s="9">
        <v>1579500.0</v>
      </c>
      <c r="J1356" s="5" t="str">
        <f t="shared" ref="J1356:K1356" si="1356">SUBSTITUTE(H1356, ",", "")</f>
        <v>13</v>
      </c>
      <c r="K1356" s="5" t="str">
        <f t="shared" si="1356"/>
        <v>Rp1579500</v>
      </c>
      <c r="L1356" s="5" t="str">
        <f t="shared" si="3"/>
        <v>1579500</v>
      </c>
    </row>
    <row r="1357">
      <c r="A1357" s="6" t="s">
        <v>2018</v>
      </c>
      <c r="B1357" s="7" t="str">
        <f>HYPERLINK("https://shopee.co.id/AVOSKIN-Hydrating-Treatment-Essence-100ml-i.270965687.5776105587", "https://shopee.co.id/AVOSKIN-Hydrating-Treatment-Essence-100ml-i.270965687.5776105587")</f>
        <v>https://shopee.co.id/AVOSKIN-Hydrating-Treatment-Essence-100ml-i.270965687.5776105587</v>
      </c>
      <c r="C1357" s="6" t="s">
        <v>83</v>
      </c>
      <c r="D1357" s="6" t="s">
        <v>379</v>
      </c>
      <c r="E1357" s="6" t="s">
        <v>12</v>
      </c>
      <c r="F1357" s="6" t="s">
        <v>13</v>
      </c>
      <c r="G1357" s="6" t="s">
        <v>380</v>
      </c>
      <c r="H1357" s="8" t="s">
        <v>2396</v>
      </c>
      <c r="I1357" s="9">
        <v>1.91777E7</v>
      </c>
      <c r="J1357" s="5" t="str">
        <f t="shared" ref="J1357:K1357" si="1357">SUBSTITUTE(H1357, ",", "")</f>
        <v>13</v>
      </c>
      <c r="K1357" s="5" t="str">
        <f t="shared" si="1357"/>
        <v>Rp19177700</v>
      </c>
      <c r="L1357" s="5" t="str">
        <f t="shared" si="3"/>
        <v>19177700</v>
      </c>
    </row>
    <row r="1358">
      <c r="A1358" s="6" t="s">
        <v>2397</v>
      </c>
      <c r="B1358" s="7" t="str">
        <f>HYPERLINK("https://shopee.co.id/COSRX-Galactomyces-95-Tone-Balancing-Essence-100ml-i.270965687.6636911704", "https://shopee.co.id/COSRX-Galactomyces-95-Tone-Balancing-Essence-100ml-i.270965687.6636911704")</f>
        <v>https://shopee.co.id/COSRX-Galactomyces-95-Tone-Balancing-Essence-100ml-i.270965687.6636911704</v>
      </c>
      <c r="C1358" s="6" t="s">
        <v>305</v>
      </c>
      <c r="D1358" s="6" t="s">
        <v>379</v>
      </c>
      <c r="E1358" s="6" t="s">
        <v>12</v>
      </c>
      <c r="F1358" s="6" t="s">
        <v>13</v>
      </c>
      <c r="G1358" s="6" t="s">
        <v>380</v>
      </c>
      <c r="H1358" s="8" t="s">
        <v>2396</v>
      </c>
      <c r="I1358" s="9">
        <v>6027000.0</v>
      </c>
      <c r="J1358" s="5" t="str">
        <f t="shared" ref="J1358:K1358" si="1358">SUBSTITUTE(H1358, ",", "")</f>
        <v>13</v>
      </c>
      <c r="K1358" s="5" t="str">
        <f t="shared" si="1358"/>
        <v>Rp6027000</v>
      </c>
      <c r="L1358" s="5" t="str">
        <f t="shared" si="3"/>
        <v>6027000</v>
      </c>
    </row>
    <row r="1359">
      <c r="A1359" s="6" t="s">
        <v>2398</v>
      </c>
      <c r="B1359" s="7" t="str">
        <f>HYPERLINK("https://shopee.co.id/Rivera-Youth-Expert-Fortifying-Serum-50ml-i.15093776.3308993287", "https://shopee.co.id/Rivera-Youth-Expert-Fortifying-Serum-50ml-i.15093776.3308993287")</f>
        <v>https://shopee.co.id/Rivera-Youth-Expert-Fortifying-Serum-50ml-i.15093776.3308993287</v>
      </c>
      <c r="C1359" s="6" t="s">
        <v>2399</v>
      </c>
      <c r="D1359" s="6" t="s">
        <v>2400</v>
      </c>
      <c r="E1359" s="6" t="s">
        <v>12</v>
      </c>
      <c r="F1359" s="6" t="s">
        <v>13</v>
      </c>
      <c r="G1359" s="6" t="s">
        <v>21</v>
      </c>
      <c r="H1359" s="8" t="s">
        <v>2396</v>
      </c>
      <c r="I1359" s="9">
        <v>2.046E7</v>
      </c>
      <c r="J1359" s="5" t="str">
        <f t="shared" ref="J1359:K1359" si="1359">SUBSTITUTE(H1359, ",", "")</f>
        <v>13</v>
      </c>
      <c r="K1359" s="5" t="str">
        <f t="shared" si="1359"/>
        <v>Rp20460000</v>
      </c>
      <c r="L1359" s="5" t="str">
        <f t="shared" si="3"/>
        <v>20460000</v>
      </c>
    </row>
    <row r="1360">
      <c r="A1360" s="6" t="s">
        <v>2401</v>
      </c>
      <c r="B1360" s="7" t="str">
        <f>HYPERLINK("https://shopee.co.id/Saffbeautys-Red-Jelly-Saffron-Glowing-Niacinamide-10gr-i.61316931.4259445299", "https://shopee.co.id/Saffbeautys-Red-Jelly-Saffron-Glowing-Niacinamide-10gr-i.61316931.4259445299")</f>
        <v>https://shopee.co.id/Saffbeautys-Red-Jelly-Saffron-Glowing-Niacinamide-10gr-i.61316931.4259445299</v>
      </c>
      <c r="C1360" s="6" t="s">
        <v>2402</v>
      </c>
      <c r="D1360" s="6" t="s">
        <v>2128</v>
      </c>
      <c r="E1360" s="6" t="s">
        <v>12</v>
      </c>
      <c r="F1360" s="6" t="s">
        <v>13</v>
      </c>
      <c r="G1360" s="6" t="s">
        <v>409</v>
      </c>
      <c r="H1360" s="8" t="s">
        <v>2396</v>
      </c>
      <c r="I1360" s="9">
        <v>3107000.0</v>
      </c>
      <c r="J1360" s="5" t="str">
        <f t="shared" ref="J1360:K1360" si="1360">SUBSTITUTE(H1360, ",", "")</f>
        <v>13</v>
      </c>
      <c r="K1360" s="5" t="str">
        <f t="shared" si="1360"/>
        <v>Rp3107000</v>
      </c>
      <c r="L1360" s="5" t="str">
        <f t="shared" si="3"/>
        <v>3107000</v>
      </c>
    </row>
    <row r="1361">
      <c r="A1361" s="6" t="s">
        <v>2403</v>
      </c>
      <c r="B1361" s="7" t="str">
        <f>HYPERLINK("https://shopee.co.id/Whitelab-Acne-Calming-Serum-20ml-i.136011044.3576754773", "https://shopee.co.id/Whitelab-Acne-Calming-Serum-20ml-i.136011044.3576754773")</f>
        <v>https://shopee.co.id/Whitelab-Acne-Calming-Serum-20ml-i.136011044.3576754773</v>
      </c>
      <c r="C1361" s="6" t="s">
        <v>59</v>
      </c>
      <c r="D1361" s="6" t="s">
        <v>632</v>
      </c>
      <c r="E1361" s="6" t="s">
        <v>12</v>
      </c>
      <c r="F1361" s="6" t="s">
        <v>13</v>
      </c>
      <c r="G1361" s="6" t="s">
        <v>21</v>
      </c>
      <c r="H1361" s="8" t="s">
        <v>2396</v>
      </c>
      <c r="I1361" s="9">
        <v>3237000.0</v>
      </c>
      <c r="J1361" s="5" t="str">
        <f t="shared" ref="J1361:K1361" si="1361">SUBSTITUTE(H1361, ",", "")</f>
        <v>13</v>
      </c>
      <c r="K1361" s="5" t="str">
        <f t="shared" si="1361"/>
        <v>Rp3237000</v>
      </c>
      <c r="L1361" s="5" t="str">
        <f t="shared" si="3"/>
        <v>3237000</v>
      </c>
    </row>
    <row r="1362">
      <c r="A1362" s="6" t="s">
        <v>2404</v>
      </c>
      <c r="B1362" s="7" t="str">
        <f>HYPERLINK("https://shopee.co.id/WHITELAB-ACNE-CALMING-SERUM-20-ML-i.50972887.10341980200", "https://shopee.co.id/WHITELAB-ACNE-CALMING-SERUM-20-ML-i.50972887.10341980200")</f>
        <v>https://shopee.co.id/WHITELAB-ACNE-CALMING-SERUM-20-ML-i.50972887.10341980200</v>
      </c>
      <c r="C1362" s="6" t="s">
        <v>59</v>
      </c>
      <c r="D1362" s="6" t="s">
        <v>552</v>
      </c>
      <c r="E1362" s="6" t="s">
        <v>12</v>
      </c>
      <c r="F1362" s="6" t="s">
        <v>13</v>
      </c>
      <c r="G1362" s="6" t="s">
        <v>61</v>
      </c>
      <c r="H1362" s="8" t="s">
        <v>2396</v>
      </c>
      <c r="I1362" s="9">
        <v>943750.0</v>
      </c>
      <c r="J1362" s="5" t="str">
        <f t="shared" ref="J1362:K1362" si="1362">SUBSTITUTE(H1362, ",", "")</f>
        <v>13</v>
      </c>
      <c r="K1362" s="5" t="str">
        <f t="shared" si="1362"/>
        <v>Rp943750</v>
      </c>
      <c r="L1362" s="5" t="str">
        <f t="shared" si="3"/>
        <v>943750</v>
      </c>
    </row>
    <row r="1363">
      <c r="A1363" s="6" t="s">
        <v>2405</v>
      </c>
      <c r="B1363" s="7" t="str">
        <f>HYPERLINK("https://shopee.co.id/GARNIER-Sakura-White-Hyaluron-30x-Booster-Serum-Skin-Care-30ml-i.30736001.6359038069", "https://shopee.co.id/GARNIER-Sakura-White-Hyaluron-30x-Booster-Serum-Skin-Care-30ml-i.30736001.6359038069")</f>
        <v>https://shopee.co.id/GARNIER-Sakura-White-Hyaluron-30x-Booster-Serum-Skin-Care-30ml-i.30736001.6359038069</v>
      </c>
      <c r="C1363" s="6" t="s">
        <v>74</v>
      </c>
      <c r="D1363" s="6" t="s">
        <v>335</v>
      </c>
      <c r="E1363" s="6" t="s">
        <v>12</v>
      </c>
      <c r="F1363" s="6" t="s">
        <v>13</v>
      </c>
      <c r="G1363" s="6" t="s">
        <v>36</v>
      </c>
      <c r="H1363" s="8" t="s">
        <v>2396</v>
      </c>
      <c r="I1363" s="9">
        <v>420400.0</v>
      </c>
      <c r="J1363" s="5" t="str">
        <f t="shared" ref="J1363:K1363" si="1363">SUBSTITUTE(H1363, ",", "")</f>
        <v>13</v>
      </c>
      <c r="K1363" s="5" t="str">
        <f t="shared" si="1363"/>
        <v>Rp420400</v>
      </c>
      <c r="L1363" s="5" t="str">
        <f t="shared" si="3"/>
        <v>420400</v>
      </c>
    </row>
    <row r="1364">
      <c r="A1364" s="6" t="s">
        <v>2406</v>
      </c>
      <c r="B1364" s="7" t="str">
        <f>HYPERLINK("https://shopee.co.id/Scarlett-Whitening-Brightly-Ever-After-Serum-15ml-i.50948181.4343466634", "https://shopee.co.id/Scarlett-Whitening-Brightly-Ever-After-Serum-15ml-i.50948181.4343466634")</f>
        <v>https://shopee.co.id/Scarlett-Whitening-Brightly-Ever-After-Serum-15ml-i.50948181.4343466634</v>
      </c>
      <c r="C1364" s="6" t="s">
        <v>19</v>
      </c>
      <c r="D1364" s="6" t="s">
        <v>1129</v>
      </c>
      <c r="E1364" s="6" t="s">
        <v>12</v>
      </c>
      <c r="F1364" s="6" t="s">
        <v>13</v>
      </c>
      <c r="G1364" s="6" t="s">
        <v>1130</v>
      </c>
      <c r="H1364" s="8" t="s">
        <v>2396</v>
      </c>
      <c r="I1364" s="9">
        <v>6630000.0</v>
      </c>
      <c r="J1364" s="5" t="str">
        <f t="shared" ref="J1364:K1364" si="1364">SUBSTITUTE(H1364, ",", "")</f>
        <v>13</v>
      </c>
      <c r="K1364" s="5" t="str">
        <f t="shared" si="1364"/>
        <v>Rp6630000</v>
      </c>
      <c r="L1364" s="5" t="str">
        <f t="shared" si="3"/>
        <v>6630000</v>
      </c>
    </row>
    <row r="1365">
      <c r="A1365" s="6" t="s">
        <v>2407</v>
      </c>
      <c r="B1365" s="7" t="str">
        <f>HYPERLINK("https://shopee.co.id/KLEVERU-Glass-Skin-Overnight-Serum-20ml-i.270965687.7137705881", "https://shopee.co.id/KLEVERU-Glass-Skin-Overnight-Serum-20ml-i.270965687.7137705881")</f>
        <v>https://shopee.co.id/KLEVERU-Glass-Skin-Overnight-Serum-20ml-i.270965687.7137705881</v>
      </c>
      <c r="C1365" s="6" t="s">
        <v>2408</v>
      </c>
      <c r="D1365" s="6" t="s">
        <v>379</v>
      </c>
      <c r="E1365" s="6" t="s">
        <v>12</v>
      </c>
      <c r="F1365" s="6" t="s">
        <v>13</v>
      </c>
      <c r="G1365" s="6" t="s">
        <v>380</v>
      </c>
      <c r="H1365" s="8" t="s">
        <v>2396</v>
      </c>
      <c r="I1365" s="9">
        <v>2152000.0</v>
      </c>
      <c r="J1365" s="5" t="str">
        <f t="shared" ref="J1365:K1365" si="1365">SUBSTITUTE(H1365, ",", "")</f>
        <v>13</v>
      </c>
      <c r="K1365" s="5" t="str">
        <f t="shared" si="1365"/>
        <v>Rp2152000</v>
      </c>
      <c r="L1365" s="5" t="str">
        <f t="shared" si="3"/>
        <v>2152000</v>
      </c>
    </row>
    <row r="1366">
      <c r="A1366" s="6" t="s">
        <v>2409</v>
      </c>
      <c r="B1366" s="7" t="str">
        <f>HYPERLINK("https://shopee.co.id/REAL-WHITE-Acne-Fighter-Face-Serum-i.349337394.9675049923", "https://shopee.co.id/REAL-WHITE-Acne-Fighter-Face-Serum-i.349337394.9675049923")</f>
        <v>https://shopee.co.id/REAL-WHITE-Acne-Fighter-Face-Serum-i.349337394.9675049923</v>
      </c>
      <c r="C1366" s="6" t="s">
        <v>547</v>
      </c>
      <c r="D1366" s="6" t="s">
        <v>548</v>
      </c>
      <c r="E1366" s="6" t="s">
        <v>12</v>
      </c>
      <c r="F1366" s="6" t="s">
        <v>13</v>
      </c>
      <c r="G1366" s="6" t="s">
        <v>380</v>
      </c>
      <c r="H1366" s="8" t="s">
        <v>2396</v>
      </c>
      <c r="I1366" s="9">
        <v>2604800.0</v>
      </c>
      <c r="J1366" s="5" t="str">
        <f t="shared" ref="J1366:K1366" si="1366">SUBSTITUTE(H1366, ",", "")</f>
        <v>13</v>
      </c>
      <c r="K1366" s="5" t="str">
        <f t="shared" si="1366"/>
        <v>Rp2604800</v>
      </c>
      <c r="L1366" s="5" t="str">
        <f t="shared" si="3"/>
        <v>2604800</v>
      </c>
    </row>
    <row r="1367">
      <c r="A1367" s="6" t="s">
        <v>2410</v>
      </c>
      <c r="B1367" s="7" t="str">
        <f>HYPERLINK("https://shopee.co.id/THANA-Spotless-Glow-Night-Cream-i.313062064.5754482258", "https://shopee.co.id/THANA-Spotless-Glow-Night-Cream-i.313062064.5754482258")</f>
        <v>https://shopee.co.id/THANA-Spotless-Glow-Night-Cream-i.313062064.5754482258</v>
      </c>
      <c r="C1367" s="6" t="s">
        <v>1312</v>
      </c>
      <c r="D1367" s="6" t="s">
        <v>1313</v>
      </c>
      <c r="E1367" s="6" t="s">
        <v>12</v>
      </c>
      <c r="F1367" s="6" t="s">
        <v>13</v>
      </c>
      <c r="G1367" s="6" t="s">
        <v>1314</v>
      </c>
      <c r="H1367" s="8" t="s">
        <v>2396</v>
      </c>
      <c r="I1367" s="9">
        <v>2391000.0</v>
      </c>
      <c r="J1367" s="5" t="str">
        <f t="shared" ref="J1367:K1367" si="1367">SUBSTITUTE(H1367, ",", "")</f>
        <v>13</v>
      </c>
      <c r="K1367" s="5" t="str">
        <f t="shared" si="1367"/>
        <v>Rp2391000</v>
      </c>
      <c r="L1367" s="5" t="str">
        <f t="shared" si="3"/>
        <v>2391000</v>
      </c>
    </row>
    <row r="1368">
      <c r="A1368" s="6" t="s">
        <v>2411</v>
      </c>
      <c r="B1368" s="7" t="str">
        <f>HYPERLINK("https://shopee.co.id/Bio-Essence-Bio-Gold-Night-Cream-40-gr-Twinpack-Special-i.63822287.9438818726", "https://shopee.co.id/Bio-Essence-Bio-Gold-Night-Cream-40-gr-Twinpack-Special-i.63822287.9438818726")</f>
        <v>https://shopee.co.id/Bio-Essence-Bio-Gold-Night-Cream-40-gr-Twinpack-Special-i.63822287.9438818726</v>
      </c>
      <c r="C1368" s="6" t="s">
        <v>834</v>
      </c>
      <c r="D1368" s="6" t="s">
        <v>835</v>
      </c>
      <c r="E1368" s="6" t="s">
        <v>12</v>
      </c>
      <c r="F1368" s="6" t="s">
        <v>13</v>
      </c>
      <c r="G1368" s="6" t="s">
        <v>61</v>
      </c>
      <c r="H1368" s="8" t="s">
        <v>2396</v>
      </c>
      <c r="I1368" s="9">
        <v>838500.0</v>
      </c>
      <c r="J1368" s="5" t="str">
        <f t="shared" ref="J1368:K1368" si="1368">SUBSTITUTE(H1368, ",", "")</f>
        <v>13</v>
      </c>
      <c r="K1368" s="5" t="str">
        <f t="shared" si="1368"/>
        <v>Rp838500</v>
      </c>
      <c r="L1368" s="5" t="str">
        <f t="shared" si="3"/>
        <v>838500</v>
      </c>
    </row>
    <row r="1369">
      <c r="A1369" s="6" t="s">
        <v>2412</v>
      </c>
      <c r="B1369" s="7" t="str">
        <f>HYPERLINK("https://shopee.co.id/LT-PRO-Anti-Age-Face-Serum-i.131418876.2075719568", "https://shopee.co.id/LT-PRO-Anti-Age-Face-Serum-i.131418876.2075719568")</f>
        <v>https://shopee.co.id/LT-PRO-Anti-Age-Face-Serum-i.131418876.2075719568</v>
      </c>
      <c r="C1369" s="6" t="s">
        <v>2413</v>
      </c>
      <c r="D1369" s="6" t="s">
        <v>2414</v>
      </c>
      <c r="E1369" s="6" t="s">
        <v>12</v>
      </c>
      <c r="F1369" s="6" t="s">
        <v>13</v>
      </c>
      <c r="G1369" s="6" t="s">
        <v>61</v>
      </c>
      <c r="H1369" s="8" t="s">
        <v>2396</v>
      </c>
      <c r="I1369" s="9">
        <v>897000.0</v>
      </c>
      <c r="J1369" s="5" t="str">
        <f t="shared" ref="J1369:K1369" si="1369">SUBSTITUTE(H1369, ",", "")</f>
        <v>13</v>
      </c>
      <c r="K1369" s="5" t="str">
        <f t="shared" si="1369"/>
        <v>Rp897000</v>
      </c>
      <c r="L1369" s="5" t="str">
        <f t="shared" si="3"/>
        <v>897000</v>
      </c>
    </row>
    <row r="1370">
      <c r="A1370" s="6" t="s">
        <v>1225</v>
      </c>
      <c r="B1370" s="7" t="str">
        <f>HYPERLINK("https://shopee.co.id/Avoskin-Miraculous-Refining-Serum-30ml-i.825870.1921438649", "https://shopee.co.id/Avoskin-Miraculous-Refining-Serum-30ml-i.825870.1921438649")</f>
        <v>https://shopee.co.id/Avoskin-Miraculous-Refining-Serum-30ml-i.825870.1921438649</v>
      </c>
      <c r="C1370" s="6" t="s">
        <v>83</v>
      </c>
      <c r="D1370" s="6" t="s">
        <v>1184</v>
      </c>
      <c r="E1370" s="6" t="s">
        <v>12</v>
      </c>
      <c r="F1370" s="6" t="s">
        <v>13</v>
      </c>
      <c r="G1370" s="6" t="s">
        <v>21</v>
      </c>
      <c r="H1370" s="8" t="s">
        <v>2396</v>
      </c>
      <c r="I1370" s="9">
        <v>1560000.0</v>
      </c>
      <c r="J1370" s="5" t="str">
        <f t="shared" ref="J1370:K1370" si="1370">SUBSTITUTE(H1370, ",", "")</f>
        <v>13</v>
      </c>
      <c r="K1370" s="5" t="str">
        <f t="shared" si="1370"/>
        <v>Rp1560000</v>
      </c>
      <c r="L1370" s="5" t="str">
        <f t="shared" si="3"/>
        <v>1560000</v>
      </c>
    </row>
    <row r="1371">
      <c r="A1371" s="6" t="s">
        <v>2415</v>
      </c>
      <c r="B1371" s="7" t="str">
        <f>HYPERLINK("https://shopee.co.id/AVOSKIN-Your-Skin-Bae-Lactid-Acid-10-Kiwi-Fruit-5-Niacinamide-2-5-High-Dose-Serum-30ml-i.270965687.8528351220", "https://shopee.co.id/AVOSKIN-Your-Skin-Bae-Lactid-Acid-10-Kiwi-Fruit-5-Niacinamide-2-5-High-Dose-Serum-30ml-i.270965687.8528351220")</f>
        <v>https://shopee.co.id/AVOSKIN-Your-Skin-Bae-Lactid-Acid-10-Kiwi-Fruit-5-Niacinamide-2-5-High-Dose-Serum-30ml-i.270965687.8528351220</v>
      </c>
      <c r="C1371" s="6" t="s">
        <v>83</v>
      </c>
      <c r="D1371" s="6" t="s">
        <v>379</v>
      </c>
      <c r="E1371" s="6" t="s">
        <v>12</v>
      </c>
      <c r="F1371" s="6" t="s">
        <v>13</v>
      </c>
      <c r="G1371" s="6" t="s">
        <v>380</v>
      </c>
      <c r="H1371" s="8" t="s">
        <v>2396</v>
      </c>
      <c r="I1371" s="9">
        <v>4923500.0</v>
      </c>
      <c r="J1371" s="5" t="str">
        <f t="shared" ref="J1371:K1371" si="1371">SUBSTITUTE(H1371, ",", "")</f>
        <v>13</v>
      </c>
      <c r="K1371" s="5" t="str">
        <f t="shared" si="1371"/>
        <v>Rp4923500</v>
      </c>
      <c r="L1371" s="5" t="str">
        <f t="shared" si="3"/>
        <v>4923500</v>
      </c>
    </row>
    <row r="1372">
      <c r="A1372" s="6" t="s">
        <v>2416</v>
      </c>
      <c r="B1372" s="7" t="str">
        <f>HYPERLINK("https://shopee.co.id/AZARINE-C-SERUM-20-ML-i.50972887.9753753527", "https://shopee.co.id/AZARINE-C-SERUM-20-ML-i.50972887.9753753527")</f>
        <v>https://shopee.co.id/AZARINE-C-SERUM-20-ML-i.50972887.9753753527</v>
      </c>
      <c r="C1372" s="6" t="s">
        <v>233</v>
      </c>
      <c r="D1372" s="6" t="s">
        <v>552</v>
      </c>
      <c r="E1372" s="6" t="s">
        <v>12</v>
      </c>
      <c r="F1372" s="6" t="s">
        <v>13</v>
      </c>
      <c r="G1372" s="6" t="s">
        <v>61</v>
      </c>
      <c r="H1372" s="8" t="s">
        <v>2396</v>
      </c>
      <c r="I1372" s="9">
        <v>546000.0</v>
      </c>
      <c r="J1372" s="5" t="str">
        <f t="shared" ref="J1372:K1372" si="1372">SUBSTITUTE(H1372, ",", "")</f>
        <v>13</v>
      </c>
      <c r="K1372" s="5" t="str">
        <f t="shared" si="1372"/>
        <v>Rp546000</v>
      </c>
      <c r="L1372" s="5" t="str">
        <f t="shared" si="3"/>
        <v>546000</v>
      </c>
    </row>
    <row r="1373">
      <c r="A1373" s="6" t="s">
        <v>2417</v>
      </c>
      <c r="B1373" s="7" t="str">
        <f>HYPERLINK("https://shopee.co.id/Shiseido-Ultimune-Power-Infusing-Concentrate-Limited-Edition-75-ml-i.345419471.7769531040", "https://shopee.co.id/Shiseido-Ultimune-Power-Infusing-Concentrate-Limited-Edition-75-ml-i.345419471.7769531040")</f>
        <v>https://shopee.co.id/Shiseido-Ultimune-Power-Infusing-Concentrate-Limited-Edition-75-ml-i.345419471.7769531040</v>
      </c>
      <c r="C1373" s="6" t="s">
        <v>868</v>
      </c>
      <c r="D1373" s="6" t="s">
        <v>869</v>
      </c>
      <c r="E1373" s="6" t="s">
        <v>12</v>
      </c>
      <c r="F1373" s="6" t="s">
        <v>13</v>
      </c>
      <c r="G1373" s="6" t="s">
        <v>130</v>
      </c>
      <c r="H1373" s="8" t="s">
        <v>2396</v>
      </c>
      <c r="I1373" s="9">
        <v>260000.0</v>
      </c>
      <c r="J1373" s="5" t="str">
        <f t="shared" ref="J1373:K1373" si="1373">SUBSTITUTE(H1373, ",", "")</f>
        <v>13</v>
      </c>
      <c r="K1373" s="5" t="str">
        <f t="shared" si="1373"/>
        <v>Rp260000</v>
      </c>
      <c r="L1373" s="5" t="str">
        <f t="shared" si="3"/>
        <v>260000</v>
      </c>
    </row>
    <row r="1374">
      <c r="A1374" s="6" t="s">
        <v>2418</v>
      </c>
      <c r="B1374" s="7" t="str">
        <f>HYPERLINK("https://shopee.co.id/Garnier-Sakura-White-Booster-Serum-15ml-Micellar-Water-Pink-400ml-Untuk-Kulit-Bersih-Glowing--i.62583853.7979191071", "https://shopee.co.id/Garnier-Sakura-White-Booster-Serum-15ml-Micellar-Water-Pink-400ml-Untuk-Kulit-Bersih-Glowing--i.62583853.7979191071")</f>
        <v>https://shopee.co.id/Garnier-Sakura-White-Booster-Serum-15ml-Micellar-Water-Pink-400ml-Untuk-Kulit-Bersih-Glowing--i.62583853.7979191071</v>
      </c>
      <c r="C1374" s="6" t="s">
        <v>74</v>
      </c>
      <c r="D1374" s="6" t="s">
        <v>75</v>
      </c>
      <c r="E1374" s="6" t="s">
        <v>12</v>
      </c>
      <c r="F1374" s="6" t="s">
        <v>13</v>
      </c>
      <c r="G1374" s="6" t="s">
        <v>61</v>
      </c>
      <c r="H1374" s="8" t="s">
        <v>2396</v>
      </c>
      <c r="I1374" s="9">
        <v>923000.0</v>
      </c>
      <c r="J1374" s="5" t="str">
        <f t="shared" ref="J1374:K1374" si="1374">SUBSTITUTE(H1374, ",", "")</f>
        <v>13</v>
      </c>
      <c r="K1374" s="5" t="str">
        <f t="shared" si="1374"/>
        <v>Rp923000</v>
      </c>
      <c r="L1374" s="5" t="str">
        <f t="shared" si="3"/>
        <v>923000</v>
      </c>
    </row>
    <row r="1375">
      <c r="A1375" s="6" t="s">
        <v>2419</v>
      </c>
      <c r="B1375" s="7" t="str">
        <f>HYPERLINK("https://shopee.co.id/-BPOM-BREYLEE-SERUM-SET-Paket-Hemat-Serum-Wajah-5pcs--i.324706771.9603159935", "https://shopee.co.id/-BPOM-BREYLEE-SERUM-SET-Paket-Hemat-Serum-Wajah-5pcs--i.324706771.9603159935")</f>
        <v>https://shopee.co.id/-BPOM-BREYLEE-SERUM-SET-Paket-Hemat-Serum-Wajah-5pcs--i.324706771.9603159935</v>
      </c>
      <c r="C1375" s="6" t="s">
        <v>852</v>
      </c>
      <c r="D1375" s="6" t="s">
        <v>853</v>
      </c>
      <c r="E1375" s="6" t="s">
        <v>12</v>
      </c>
      <c r="F1375" s="6" t="s">
        <v>13</v>
      </c>
      <c r="G1375" s="6" t="s">
        <v>532</v>
      </c>
      <c r="H1375" s="8" t="s">
        <v>2396</v>
      </c>
      <c r="I1375" s="9">
        <v>4732900.0</v>
      </c>
      <c r="J1375" s="5" t="str">
        <f t="shared" ref="J1375:K1375" si="1375">SUBSTITUTE(H1375, ",", "")</f>
        <v>13</v>
      </c>
      <c r="K1375" s="5" t="str">
        <f t="shared" si="1375"/>
        <v>Rp4732900</v>
      </c>
      <c r="L1375" s="5" t="str">
        <f t="shared" si="3"/>
        <v>4732900</v>
      </c>
    </row>
    <row r="1376">
      <c r="A1376" s="6" t="s">
        <v>2420</v>
      </c>
      <c r="B1376" s="7" t="str">
        <f>HYPERLINK("https://shopee.co.id/Real-White-Niacinamide-Package-i.349337394.8067570361", "https://shopee.co.id/Real-White-Niacinamide-Package-i.349337394.8067570361")</f>
        <v>https://shopee.co.id/Real-White-Niacinamide-Package-i.349337394.8067570361</v>
      </c>
      <c r="C1376" s="6" t="s">
        <v>547</v>
      </c>
      <c r="D1376" s="6" t="s">
        <v>548</v>
      </c>
      <c r="E1376" s="6" t="s">
        <v>12</v>
      </c>
      <c r="F1376" s="6" t="s">
        <v>13</v>
      </c>
      <c r="G1376" s="6" t="s">
        <v>380</v>
      </c>
      <c r="H1376" s="8" t="s">
        <v>2396</v>
      </c>
      <c r="I1376" s="9">
        <v>2590000.0</v>
      </c>
      <c r="J1376" s="5" t="str">
        <f t="shared" ref="J1376:K1376" si="1376">SUBSTITUTE(H1376, ",", "")</f>
        <v>13</v>
      </c>
      <c r="K1376" s="5" t="str">
        <f t="shared" si="1376"/>
        <v>Rp2590000</v>
      </c>
      <c r="L1376" s="5" t="str">
        <f t="shared" si="3"/>
        <v>2590000</v>
      </c>
    </row>
    <row r="1377">
      <c r="A1377" s="6" t="s">
        <v>2421</v>
      </c>
      <c r="B1377" s="7" t="str">
        <f>HYPERLINK("https://shopee.co.id/Tje-Fuk-Wrinkle-Essence-i.45550652.722694173", "https://shopee.co.id/Tje-Fuk-Wrinkle-Essence-i.45550652.722694173")</f>
        <v>https://shopee.co.id/Tje-Fuk-Wrinkle-Essence-i.45550652.722694173</v>
      </c>
      <c r="C1377" s="6" t="s">
        <v>2422</v>
      </c>
      <c r="D1377" s="6" t="s">
        <v>2423</v>
      </c>
      <c r="E1377" s="6" t="s">
        <v>12</v>
      </c>
      <c r="F1377" s="6" t="s">
        <v>13</v>
      </c>
      <c r="G1377" s="6" t="s">
        <v>21</v>
      </c>
      <c r="H1377" s="8" t="s">
        <v>2396</v>
      </c>
      <c r="I1377" s="9">
        <v>1100000.0</v>
      </c>
      <c r="J1377" s="5" t="str">
        <f t="shared" ref="J1377:K1377" si="1377">SUBSTITUTE(H1377, ",", "")</f>
        <v>13</v>
      </c>
      <c r="K1377" s="5" t="str">
        <f t="shared" si="1377"/>
        <v>Rp1100000</v>
      </c>
      <c r="L1377" s="5" t="str">
        <f t="shared" si="3"/>
        <v>1100000</v>
      </c>
    </row>
    <row r="1378">
      <c r="A1378" s="6" t="s">
        <v>2424</v>
      </c>
      <c r="B1378" s="7" t="str">
        <f>HYPERLINK("https://shopee.co.id/MISSHA-Misa-Yei-Hyun-Essence-40ml--i.37557990.7291904660", "https://shopee.co.id/MISSHA-Misa-Yei-Hyun-Essence-40ml--i.37557990.7291904660")</f>
        <v>https://shopee.co.id/MISSHA-Misa-Yei-Hyun-Essence-40ml--i.37557990.7291904660</v>
      </c>
      <c r="C1378" s="6" t="s">
        <v>695</v>
      </c>
      <c r="D1378" s="6" t="s">
        <v>696</v>
      </c>
      <c r="E1378" s="6" t="s">
        <v>12</v>
      </c>
      <c r="F1378" s="6" t="s">
        <v>13</v>
      </c>
      <c r="G1378" s="6" t="s">
        <v>80</v>
      </c>
      <c r="H1378" s="8" t="s">
        <v>2396</v>
      </c>
      <c r="I1378" s="9">
        <v>1012700.0</v>
      </c>
      <c r="J1378" s="5" t="str">
        <f t="shared" ref="J1378:K1378" si="1378">SUBSTITUTE(H1378, ",", "")</f>
        <v>13</v>
      </c>
      <c r="K1378" s="5" t="str">
        <f t="shared" si="1378"/>
        <v>Rp1012700</v>
      </c>
      <c r="L1378" s="5" t="str">
        <f t="shared" si="3"/>
        <v>1012700</v>
      </c>
    </row>
    <row r="1379">
      <c r="A1379" s="6" t="s">
        <v>2425</v>
      </c>
      <c r="B1379" s="7" t="str">
        <f>HYPERLINK("https://shopee.co.id/AVOSKIN-PERFECT-HYDRATING-TREATMENT-ESSENCE-SPECIAL-EDITION-100ML-menjaga-kelembapan-kulit-i.50972887.9932518440", "https://shopee.co.id/AVOSKIN-PERFECT-HYDRATING-TREATMENT-ESSENCE-SPECIAL-EDITION-100ML-menjaga-kelembapan-kulit-i.50972887.9932518440")</f>
        <v>https://shopee.co.id/AVOSKIN-PERFECT-HYDRATING-TREATMENT-ESSENCE-SPECIAL-EDITION-100ML-menjaga-kelembapan-kulit-i.50972887.9932518440</v>
      </c>
      <c r="C1379" s="6" t="s">
        <v>83</v>
      </c>
      <c r="D1379" s="6" t="s">
        <v>552</v>
      </c>
      <c r="E1379" s="6" t="s">
        <v>12</v>
      </c>
      <c r="F1379" s="6" t="s">
        <v>13</v>
      </c>
      <c r="G1379" s="6" t="s">
        <v>61</v>
      </c>
      <c r="H1379" s="8" t="s">
        <v>2396</v>
      </c>
      <c r="I1379" s="9">
        <v>1557400.0</v>
      </c>
      <c r="J1379" s="5" t="str">
        <f t="shared" ref="J1379:K1379" si="1379">SUBSTITUTE(H1379, ",", "")</f>
        <v>13</v>
      </c>
      <c r="K1379" s="5" t="str">
        <f t="shared" si="1379"/>
        <v>Rp1557400</v>
      </c>
      <c r="L1379" s="5" t="str">
        <f t="shared" si="3"/>
        <v>1557400</v>
      </c>
    </row>
    <row r="1380">
      <c r="A1380" s="6" t="s">
        <v>2426</v>
      </c>
      <c r="B1380" s="7" t="str">
        <f>HYPERLINK("https://shopee.co.id/Nusantics-Biome-Essence-Spray-Witch-Hazel-i.156645962.2334013086", "https://shopee.co.id/Nusantics-Biome-Essence-Spray-Witch-Hazel-i.156645962.2334013086")</f>
        <v>https://shopee.co.id/Nusantics-Biome-Essence-Spray-Witch-Hazel-i.156645962.2334013086</v>
      </c>
      <c r="C1380" s="6" t="s">
        <v>2427</v>
      </c>
      <c r="D1380" s="6" t="s">
        <v>2428</v>
      </c>
      <c r="E1380" s="6" t="s">
        <v>12</v>
      </c>
      <c r="F1380" s="6" t="s">
        <v>13</v>
      </c>
      <c r="G1380" s="6" t="s">
        <v>98</v>
      </c>
      <c r="H1380" s="8" t="s">
        <v>2396</v>
      </c>
      <c r="I1380" s="9">
        <v>2587000.0</v>
      </c>
      <c r="J1380" s="5" t="str">
        <f t="shared" ref="J1380:K1380" si="1380">SUBSTITUTE(H1380, ",", "")</f>
        <v>13</v>
      </c>
      <c r="K1380" s="5" t="str">
        <f t="shared" si="1380"/>
        <v>Rp2587000</v>
      </c>
      <c r="L1380" s="5" t="str">
        <f t="shared" si="3"/>
        <v>2587000</v>
      </c>
    </row>
    <row r="1381">
      <c r="A1381" s="6" t="s">
        <v>2429</v>
      </c>
      <c r="B1381" s="7" t="str">
        <f>HYPERLINK("https://shopee.co.id/Mireya-Retinol-Biostine-Anti-Aging-Boost-Serum-i.101578297.6688189539", "https://shopee.co.id/Mireya-Retinol-Biostine-Anti-Aging-Boost-Serum-i.101578297.6688189539")</f>
        <v>https://shopee.co.id/Mireya-Retinol-Biostine-Anti-Aging-Boost-Serum-i.101578297.6688189539</v>
      </c>
      <c r="C1381" s="6" t="s">
        <v>2430</v>
      </c>
      <c r="D1381" s="6" t="s">
        <v>2431</v>
      </c>
      <c r="E1381" s="6" t="s">
        <v>12</v>
      </c>
      <c r="F1381" s="6" t="s">
        <v>13</v>
      </c>
      <c r="G1381" s="6" t="s">
        <v>21</v>
      </c>
      <c r="H1381" s="8" t="s">
        <v>2396</v>
      </c>
      <c r="I1381" s="9">
        <v>2565000.0</v>
      </c>
      <c r="J1381" s="5" t="str">
        <f t="shared" ref="J1381:K1381" si="1381">SUBSTITUTE(H1381, ",", "")</f>
        <v>13</v>
      </c>
      <c r="K1381" s="5" t="str">
        <f t="shared" si="1381"/>
        <v>Rp2565000</v>
      </c>
      <c r="L1381" s="5" t="str">
        <f t="shared" si="3"/>
        <v>2565000</v>
      </c>
    </row>
    <row r="1382">
      <c r="A1382" s="6" t="s">
        <v>2432</v>
      </c>
      <c r="B1382" s="7" t="str">
        <f>HYPERLINK("https://shopee.co.id/AVOSKIN-YOUR-SKIN-BAE-SERIES-Lactic-Acid-10-Kiwi-Fruit-Exctract-5-Niacinamide-2-5-High-Dose-S-i.68111.10516418890", "https://shopee.co.id/AVOSKIN-YOUR-SKIN-BAE-SERIES-Lactic-Acid-10-Kiwi-Fruit-Exctract-5-Niacinamide-2-5-High-Dose-S-i.68111.10516418890")</f>
        <v>https://shopee.co.id/AVOSKIN-YOUR-SKIN-BAE-SERIES-Lactic-Acid-10-Kiwi-Fruit-Exctract-5-Niacinamide-2-5-High-Dose-S-i.68111.10516418890</v>
      </c>
      <c r="C1382" s="6" t="s">
        <v>83</v>
      </c>
      <c r="D1382" s="6" t="s">
        <v>441</v>
      </c>
      <c r="E1382" s="6" t="s">
        <v>12</v>
      </c>
      <c r="F1382" s="6" t="s">
        <v>13</v>
      </c>
      <c r="G1382" s="6" t="s">
        <v>130</v>
      </c>
      <c r="H1382" s="8" t="s">
        <v>2396</v>
      </c>
      <c r="I1382" s="9">
        <v>1448600.0</v>
      </c>
      <c r="J1382" s="5" t="str">
        <f t="shared" ref="J1382:K1382" si="1382">SUBSTITUTE(H1382, ",", "")</f>
        <v>13</v>
      </c>
      <c r="K1382" s="5" t="str">
        <f t="shared" si="1382"/>
        <v>Rp1448600</v>
      </c>
      <c r="L1382" s="5" t="str">
        <f t="shared" si="3"/>
        <v>1448600</v>
      </c>
    </row>
    <row r="1383">
      <c r="A1383" s="6" t="s">
        <v>2433</v>
      </c>
      <c r="B1383" s="7" t="str">
        <f>HYPERLINK("https://shopee.co.id/MSBB-ElsheSkin-Radiant-Skin-Serum-i.288588702.4251095523", "https://shopee.co.id/MSBB-ElsheSkin-Radiant-Skin-Serum-i.288588702.4251095523")</f>
        <v>https://shopee.co.id/MSBB-ElsheSkin-Radiant-Skin-Serum-i.288588702.4251095523</v>
      </c>
      <c r="C1383" s="6" t="s">
        <v>135</v>
      </c>
      <c r="D1383" s="6" t="s">
        <v>79</v>
      </c>
      <c r="E1383" s="6" t="s">
        <v>12</v>
      </c>
      <c r="F1383" s="6" t="s">
        <v>13</v>
      </c>
      <c r="G1383" s="6" t="s">
        <v>80</v>
      </c>
      <c r="H1383" s="8" t="s">
        <v>2396</v>
      </c>
      <c r="I1383" s="9">
        <v>1027000.0</v>
      </c>
      <c r="J1383" s="5" t="str">
        <f t="shared" ref="J1383:K1383" si="1383">SUBSTITUTE(H1383, ",", "")</f>
        <v>13</v>
      </c>
      <c r="K1383" s="5" t="str">
        <f t="shared" si="1383"/>
        <v>Rp1027000</v>
      </c>
      <c r="L1383" s="5" t="str">
        <f t="shared" si="3"/>
        <v>1027000</v>
      </c>
    </row>
    <row r="1384">
      <c r="A1384" s="6" t="s">
        <v>2434</v>
      </c>
      <c r="B1384" s="7" t="str">
        <f>HYPERLINK("https://shopee.co.id/Hiqween-10-00pm-Advanced-Serum-i.481417149.9477591449", "https://shopee.co.id/Hiqween-10-00pm-Advanced-Serum-i.481417149.9477591449")</f>
        <v>https://shopee.co.id/Hiqween-10-00pm-Advanced-Serum-i.481417149.9477591449</v>
      </c>
      <c r="C1384" s="6" t="s">
        <v>2270</v>
      </c>
      <c r="D1384" s="6" t="s">
        <v>2271</v>
      </c>
      <c r="E1384" s="6" t="s">
        <v>12</v>
      </c>
      <c r="F1384" s="6" t="s">
        <v>13</v>
      </c>
      <c r="G1384" s="6" t="s">
        <v>350</v>
      </c>
      <c r="H1384" s="8" t="s">
        <v>2396</v>
      </c>
      <c r="I1384" s="9">
        <v>1118000.0</v>
      </c>
      <c r="J1384" s="5" t="str">
        <f t="shared" ref="J1384:K1384" si="1384">SUBSTITUTE(H1384, ",", "")</f>
        <v>13</v>
      </c>
      <c r="K1384" s="5" t="str">
        <f t="shared" si="1384"/>
        <v>Rp1118000</v>
      </c>
      <c r="L1384" s="5" t="str">
        <f t="shared" si="3"/>
        <v>1118000</v>
      </c>
    </row>
    <row r="1385">
      <c r="A1385" s="6" t="s">
        <v>232</v>
      </c>
      <c r="B1385" s="7" t="str">
        <f>HYPERLINK("https://shopee.co.id/Azarine-C-White-Lightening-Serum-20ml-i.10689.6431178643", "https://shopee.co.id/Azarine-C-White-Lightening-Serum-20ml-i.10689.6431178643")</f>
        <v>https://shopee.co.id/Azarine-C-White-Lightening-Serum-20ml-i.10689.6431178643</v>
      </c>
      <c r="C1385" s="6" t="s">
        <v>233</v>
      </c>
      <c r="D1385" s="6" t="s">
        <v>745</v>
      </c>
      <c r="E1385" s="6" t="s">
        <v>12</v>
      </c>
      <c r="F1385" s="6" t="s">
        <v>13</v>
      </c>
      <c r="G1385" s="6" t="s">
        <v>61</v>
      </c>
      <c r="H1385" s="8" t="s">
        <v>2396</v>
      </c>
      <c r="I1385" s="9">
        <v>1740437.0</v>
      </c>
      <c r="J1385" s="5" t="str">
        <f t="shared" ref="J1385:K1385" si="1385">SUBSTITUTE(H1385, ",", "")</f>
        <v>13</v>
      </c>
      <c r="K1385" s="5" t="str">
        <f t="shared" si="1385"/>
        <v>Rp1740437</v>
      </c>
      <c r="L1385" s="5" t="str">
        <f t="shared" si="3"/>
        <v>1740437</v>
      </c>
    </row>
    <row r="1386">
      <c r="A1386" s="6" t="s">
        <v>2435</v>
      </c>
      <c r="B1386" s="7" t="str">
        <f>HYPERLINK("https://shopee.co.id/Azarine-Aqua-Essence-Sun-Shield-Serum-SPF-50-PA-100ml-i.110573301.8142622862", "https://shopee.co.id/Azarine-Aqua-Essence-Sun-Shield-Serum-SPF-50-PA-100ml-i.110573301.8142622862")</f>
        <v>https://shopee.co.id/Azarine-Aqua-Essence-Sun-Shield-Serum-SPF-50-PA-100ml-i.110573301.8142622862</v>
      </c>
      <c r="C1386" s="6" t="s">
        <v>233</v>
      </c>
      <c r="D1386" s="6" t="s">
        <v>227</v>
      </c>
      <c r="E1386" s="6" t="s">
        <v>12</v>
      </c>
      <c r="F1386" s="6" t="s">
        <v>13</v>
      </c>
      <c r="G1386" s="6" t="s">
        <v>61</v>
      </c>
      <c r="H1386" s="8" t="s">
        <v>2396</v>
      </c>
      <c r="I1386" s="9">
        <v>1052700.0</v>
      </c>
      <c r="J1386" s="5" t="str">
        <f t="shared" ref="J1386:K1386" si="1386">SUBSTITUTE(H1386, ",", "")</f>
        <v>13</v>
      </c>
      <c r="K1386" s="5" t="str">
        <f t="shared" si="1386"/>
        <v>Rp1052700</v>
      </c>
      <c r="L1386" s="5" t="str">
        <f t="shared" si="3"/>
        <v>1052700</v>
      </c>
    </row>
    <row r="1387">
      <c r="A1387" s="6" t="s">
        <v>2436</v>
      </c>
      <c r="B1387" s="7" t="str">
        <f>HYPERLINK("https://shopee.co.id/SNP-PREP-Cicaronic-SOS-Ampoule-i.88399725.4455211238", "https://shopee.co.id/SNP-PREP-Cicaronic-SOS-Ampoule-i.88399725.4455211238")</f>
        <v>https://shopee.co.id/SNP-PREP-Cicaronic-SOS-Ampoule-i.88399725.4455211238</v>
      </c>
      <c r="C1387" s="6" t="s">
        <v>565</v>
      </c>
      <c r="D1387" s="6" t="s">
        <v>566</v>
      </c>
      <c r="E1387" s="6" t="s">
        <v>12</v>
      </c>
      <c r="F1387" s="6" t="s">
        <v>13</v>
      </c>
      <c r="G1387" s="6" t="s">
        <v>98</v>
      </c>
      <c r="H1387" s="8" t="s">
        <v>2396</v>
      </c>
      <c r="I1387" s="9">
        <v>3517500.0</v>
      </c>
      <c r="J1387" s="5" t="str">
        <f t="shared" ref="J1387:K1387" si="1387">SUBSTITUTE(H1387, ",", "")</f>
        <v>13</v>
      </c>
      <c r="K1387" s="5" t="str">
        <f t="shared" si="1387"/>
        <v>Rp3517500</v>
      </c>
      <c r="L1387" s="5" t="str">
        <f t="shared" si="3"/>
        <v>3517500</v>
      </c>
    </row>
    <row r="1388">
      <c r="A1388" s="6" t="s">
        <v>2437</v>
      </c>
      <c r="B1388" s="7" t="str">
        <f>HYPERLINK("https://shopee.co.id/Cosrx-Hyaluronic-Acid-Hydra-Power-Essence-100ml-i.30736001.8952381255", "https://shopee.co.id/Cosrx-Hyaluronic-Acid-Hydra-Power-Essence-100ml-i.30736001.8952381255")</f>
        <v>https://shopee.co.id/Cosrx-Hyaluronic-Acid-Hydra-Power-Essence-100ml-i.30736001.8952381255</v>
      </c>
      <c r="C1388" s="6" t="s">
        <v>1814</v>
      </c>
      <c r="D1388" s="6" t="s">
        <v>335</v>
      </c>
      <c r="E1388" s="6" t="s">
        <v>12</v>
      </c>
      <c r="F1388" s="6" t="s">
        <v>13</v>
      </c>
      <c r="G1388" s="6" t="s">
        <v>36</v>
      </c>
      <c r="H1388" s="8" t="s">
        <v>2396</v>
      </c>
      <c r="I1388" s="9">
        <v>1579200.0</v>
      </c>
      <c r="J1388" s="5" t="str">
        <f t="shared" ref="J1388:K1388" si="1388">SUBSTITUTE(H1388, ",", "")</f>
        <v>13</v>
      </c>
      <c r="K1388" s="5" t="str">
        <f t="shared" si="1388"/>
        <v>Rp1579200</v>
      </c>
      <c r="L1388" s="5" t="str">
        <f t="shared" si="3"/>
        <v>1579200</v>
      </c>
    </row>
    <row r="1389">
      <c r="A1389" s="6" t="s">
        <v>2438</v>
      </c>
      <c r="B1389" s="7" t="str">
        <f>HYPERLINK("https://shopee.co.id/SNP-mini-Shea-Butter-Moisture-Serum-i.88399725.6125364515", "https://shopee.co.id/SNP-mini-Shea-Butter-Moisture-Serum-i.88399725.6125364515")</f>
        <v>https://shopee.co.id/SNP-mini-Shea-Butter-Moisture-Serum-i.88399725.6125364515</v>
      </c>
      <c r="C1389" s="6" t="s">
        <v>565</v>
      </c>
      <c r="D1389" s="6" t="s">
        <v>566</v>
      </c>
      <c r="E1389" s="6" t="s">
        <v>12</v>
      </c>
      <c r="F1389" s="6" t="s">
        <v>13</v>
      </c>
      <c r="G1389" s="6" t="s">
        <v>98</v>
      </c>
      <c r="H1389" s="8" t="s">
        <v>2396</v>
      </c>
      <c r="I1389" s="9">
        <v>2457000.0</v>
      </c>
      <c r="J1389" s="5" t="str">
        <f t="shared" ref="J1389:K1389" si="1389">SUBSTITUTE(H1389, ",", "")</f>
        <v>13</v>
      </c>
      <c r="K1389" s="5" t="str">
        <f t="shared" si="1389"/>
        <v>Rp2457000</v>
      </c>
      <c r="L1389" s="5" t="str">
        <f t="shared" si="3"/>
        <v>2457000</v>
      </c>
    </row>
    <row r="1390">
      <c r="A1390" s="6" t="s">
        <v>2439</v>
      </c>
      <c r="B1390" s="7" t="str">
        <f>HYPERLINK("https://shopee.co.id/Premiere-Beaute-Skincare-Luminous-White-Glow-Brightening-Package-2Pcs-Serum-30ml-Essence-Toner-120ml-i.237204571.10545879219", "https://shopee.co.id/Premiere-Beaute-Skincare-Luminous-White-Glow-Brightening-Package-2Pcs-Serum-30ml-Essence-Toner-120ml-i.237204571.10545879219")</f>
        <v>https://shopee.co.id/Premiere-Beaute-Skincare-Luminous-White-Glow-Brightening-Package-2Pcs-Serum-30ml-Essence-Toner-120ml-i.237204571.10545879219</v>
      </c>
      <c r="C1390" s="6" t="s">
        <v>254</v>
      </c>
      <c r="D1390" s="6" t="s">
        <v>255</v>
      </c>
      <c r="E1390" s="6" t="s">
        <v>12</v>
      </c>
      <c r="F1390" s="6" t="s">
        <v>13</v>
      </c>
      <c r="G1390" s="6" t="s">
        <v>61</v>
      </c>
      <c r="H1390" s="8" t="s">
        <v>2396</v>
      </c>
      <c r="I1390" s="9">
        <v>1860900.0</v>
      </c>
      <c r="J1390" s="5" t="str">
        <f t="shared" ref="J1390:K1390" si="1390">SUBSTITUTE(H1390, ",", "")</f>
        <v>13</v>
      </c>
      <c r="K1390" s="5" t="str">
        <f t="shared" si="1390"/>
        <v>Rp1860900</v>
      </c>
      <c r="L1390" s="5" t="str">
        <f t="shared" si="3"/>
        <v>1860900</v>
      </c>
    </row>
    <row r="1391">
      <c r="A1391" s="6" t="s">
        <v>2440</v>
      </c>
      <c r="B1391" s="7" t="str">
        <f>HYPERLINK("https://shopee.co.id/Somethinc-Hyaluronic9-Advanced-B5-Serum-20ml-i.825870.10314002386", "https://shopee.co.id/Somethinc-Hyaluronic9-Advanced-B5-Serum-20ml-i.825870.10314002386")</f>
        <v>https://shopee.co.id/Somethinc-Hyaluronic9-Advanced-B5-Serum-20ml-i.825870.10314002386</v>
      </c>
      <c r="C1391" s="6" t="s">
        <v>45</v>
      </c>
      <c r="D1391" s="6" t="s">
        <v>1184</v>
      </c>
      <c r="E1391" s="6" t="s">
        <v>12</v>
      </c>
      <c r="F1391" s="6" t="s">
        <v>13</v>
      </c>
      <c r="G1391" s="6" t="s">
        <v>21</v>
      </c>
      <c r="H1391" s="8" t="s">
        <v>2396</v>
      </c>
      <c r="I1391" s="9">
        <v>1266100.0</v>
      </c>
      <c r="J1391" s="5" t="str">
        <f t="shared" ref="J1391:K1391" si="1391">SUBSTITUTE(H1391, ",", "")</f>
        <v>13</v>
      </c>
      <c r="K1391" s="5" t="str">
        <f t="shared" si="1391"/>
        <v>Rp1266100</v>
      </c>
      <c r="L1391" s="5" t="str">
        <f t="shared" si="3"/>
        <v>1266100</v>
      </c>
    </row>
    <row r="1392">
      <c r="A1392" s="6" t="s">
        <v>2441</v>
      </c>
      <c r="B1392" s="7" t="str">
        <f>HYPERLINK("https://shopee.co.id/Astalift-White-Essence-Infilt-30ml-i.104888237.2120902785", "https://shopee.co.id/Astalift-White-Essence-Infilt-30ml-i.104888237.2120902785")</f>
        <v>https://shopee.co.id/Astalift-White-Essence-Infilt-30ml-i.104888237.2120902785</v>
      </c>
      <c r="C1392" s="6" t="s">
        <v>1529</v>
      </c>
      <c r="D1392" s="6" t="s">
        <v>1530</v>
      </c>
      <c r="E1392" s="6" t="s">
        <v>12</v>
      </c>
      <c r="F1392" s="6" t="s">
        <v>13</v>
      </c>
      <c r="G1392" s="6" t="s">
        <v>61</v>
      </c>
      <c r="H1392" s="8" t="s">
        <v>2396</v>
      </c>
      <c r="I1392" s="9">
        <v>1157000.0</v>
      </c>
      <c r="J1392" s="5" t="str">
        <f t="shared" ref="J1392:K1392" si="1392">SUBSTITUTE(H1392, ",", "")</f>
        <v>13</v>
      </c>
      <c r="K1392" s="5" t="str">
        <f t="shared" si="1392"/>
        <v>Rp1157000</v>
      </c>
      <c r="L1392" s="5" t="str">
        <f t="shared" si="3"/>
        <v>1157000</v>
      </c>
    </row>
    <row r="1393">
      <c r="A1393" s="6" t="s">
        <v>2442</v>
      </c>
      <c r="B1393" s="7" t="str">
        <f>HYPERLINK("https://shopee.co.id/Airnderm-Aesthetic-Anti-Aging-Serum-by-AIRIN-BEAUTY--i.112372548.2898825271", "https://shopee.co.id/Airnderm-Aesthetic-Anti-Aging-Serum-by-AIRIN-BEAUTY--i.112372548.2898825271")</f>
        <v>https://shopee.co.id/Airnderm-Aesthetic-Anti-Aging-Serum-by-AIRIN-BEAUTY--i.112372548.2898825271</v>
      </c>
      <c r="C1393" s="6" t="s">
        <v>239</v>
      </c>
      <c r="D1393" s="6" t="s">
        <v>240</v>
      </c>
      <c r="E1393" s="6" t="s">
        <v>12</v>
      </c>
      <c r="F1393" s="6" t="s">
        <v>13</v>
      </c>
      <c r="G1393" s="6" t="s">
        <v>241</v>
      </c>
      <c r="H1393" s="8" t="s">
        <v>2396</v>
      </c>
      <c r="I1393" s="9">
        <v>1924000.0</v>
      </c>
      <c r="J1393" s="5" t="str">
        <f t="shared" ref="J1393:K1393" si="1393">SUBSTITUTE(H1393, ",", "")</f>
        <v>13</v>
      </c>
      <c r="K1393" s="5" t="str">
        <f t="shared" si="1393"/>
        <v>Rp1924000</v>
      </c>
      <c r="L1393" s="5" t="str">
        <f t="shared" si="3"/>
        <v>1924000</v>
      </c>
    </row>
    <row r="1394">
      <c r="A1394" s="6" t="s">
        <v>2443</v>
      </c>
      <c r="B1394" s="7" t="str">
        <f>HYPERLINK("https://shopee.co.id/Glowlabs-Healthy-Skin-Booster-Probiome-Acne-Serum-Retinol-Cica-Night-Serum--i.336869851.11703318865", "https://shopee.co.id/Glowlabs-Healthy-Skin-Booster-Probiome-Acne-Serum-Retinol-Cica-Night-Serum--i.336869851.11703318865")</f>
        <v>https://shopee.co.id/Glowlabs-Healthy-Skin-Booster-Probiome-Acne-Serum-Retinol-Cica-Night-Serum--i.336869851.11703318865</v>
      </c>
      <c r="C1394" s="6" t="s">
        <v>407</v>
      </c>
      <c r="D1394" s="6" t="s">
        <v>408</v>
      </c>
      <c r="E1394" s="6" t="s">
        <v>12</v>
      </c>
      <c r="F1394" s="6" t="s">
        <v>13</v>
      </c>
      <c r="G1394" s="6" t="s">
        <v>409</v>
      </c>
      <c r="H1394" s="8" t="s">
        <v>2396</v>
      </c>
      <c r="I1394" s="9">
        <v>2405000.0</v>
      </c>
      <c r="J1394" s="5" t="str">
        <f t="shared" ref="J1394:K1394" si="1394">SUBSTITUTE(H1394, ",", "")</f>
        <v>13</v>
      </c>
      <c r="K1394" s="5" t="str">
        <f t="shared" si="1394"/>
        <v>Rp2405000</v>
      </c>
      <c r="L1394" s="5" t="str">
        <f t="shared" si="3"/>
        <v>2405000</v>
      </c>
    </row>
    <row r="1395">
      <c r="A1395" s="6" t="s">
        <v>2444</v>
      </c>
      <c r="B1395" s="7" t="str">
        <f>HYPERLINK("https://shopee.co.id/Solcare-Ultra-Glow-Serum-i.266902345.4163825195", "https://shopee.co.id/Solcare-Ultra-Glow-Serum-i.266902345.4163825195")</f>
        <v>https://shopee.co.id/Solcare-Ultra-Glow-Serum-i.266902345.4163825195</v>
      </c>
      <c r="C1395" s="6" t="s">
        <v>910</v>
      </c>
      <c r="D1395" s="6" t="s">
        <v>911</v>
      </c>
      <c r="E1395" s="6" t="s">
        <v>12</v>
      </c>
      <c r="F1395" s="6" t="s">
        <v>13</v>
      </c>
      <c r="G1395" s="6" t="s">
        <v>241</v>
      </c>
      <c r="H1395" s="8" t="s">
        <v>2396</v>
      </c>
      <c r="I1395" s="9">
        <v>5633440.0</v>
      </c>
      <c r="J1395" s="5" t="str">
        <f t="shared" ref="J1395:K1395" si="1395">SUBSTITUTE(H1395, ",", "")</f>
        <v>13</v>
      </c>
      <c r="K1395" s="5" t="str">
        <f t="shared" si="1395"/>
        <v>Rp5633440</v>
      </c>
      <c r="L1395" s="5" t="str">
        <f t="shared" si="3"/>
        <v>5633440</v>
      </c>
    </row>
    <row r="1396">
      <c r="A1396" s="6" t="s">
        <v>2445</v>
      </c>
      <c r="B1396" s="7" t="str">
        <f>HYPERLINK("https://shopee.co.id/Roro-Mendut-Sea-Cucumber-Gamat-Collagen-Serum-i.87869551.4567755677", "https://shopee.co.id/Roro-Mendut-Sea-Cucumber-Gamat-Collagen-Serum-i.87869551.4567755677")</f>
        <v>https://shopee.co.id/Roro-Mendut-Sea-Cucumber-Gamat-Collagen-Serum-i.87869551.4567755677</v>
      </c>
      <c r="C1396" s="6" t="s">
        <v>1526</v>
      </c>
      <c r="D1396" s="6" t="s">
        <v>1527</v>
      </c>
      <c r="E1396" s="6" t="s">
        <v>12</v>
      </c>
      <c r="F1396" s="6" t="s">
        <v>13</v>
      </c>
      <c r="G1396" s="6" t="s">
        <v>380</v>
      </c>
      <c r="H1396" s="8" t="s">
        <v>2446</v>
      </c>
      <c r="I1396" s="9">
        <v>725500.0</v>
      </c>
      <c r="J1396" s="5" t="str">
        <f t="shared" ref="J1396:K1396" si="1396">SUBSTITUTE(H1396, ",", "")</f>
        <v>12</v>
      </c>
      <c r="K1396" s="5" t="str">
        <f t="shared" si="1396"/>
        <v>Rp725500</v>
      </c>
      <c r="L1396" s="5" t="str">
        <f t="shared" si="3"/>
        <v>725500</v>
      </c>
    </row>
    <row r="1397">
      <c r="A1397" s="6" t="s">
        <v>2447</v>
      </c>
      <c r="B1397" s="7" t="str">
        <f>HYPERLINK("https://shopee.co.id/AZARINE-Anti-Acne-Brightening-Serum-20-ml-i.68111.3969995179", "https://shopee.co.id/AZARINE-Anti-Acne-Brightening-Serum-20-ml-i.68111.3969995179")</f>
        <v>https://shopee.co.id/AZARINE-Anti-Acne-Brightening-Serum-20-ml-i.68111.3969995179</v>
      </c>
      <c r="C1397" s="6" t="s">
        <v>233</v>
      </c>
      <c r="D1397" s="6" t="s">
        <v>441</v>
      </c>
      <c r="E1397" s="6" t="s">
        <v>12</v>
      </c>
      <c r="F1397" s="6" t="s">
        <v>13</v>
      </c>
      <c r="G1397" s="6" t="s">
        <v>130</v>
      </c>
      <c r="H1397" s="8" t="s">
        <v>2446</v>
      </c>
      <c r="I1397" s="9">
        <v>752493.0</v>
      </c>
      <c r="J1397" s="5" t="str">
        <f t="shared" ref="J1397:K1397" si="1397">SUBSTITUTE(H1397, ",", "")</f>
        <v>12</v>
      </c>
      <c r="K1397" s="5" t="str">
        <f t="shared" si="1397"/>
        <v>Rp752493</v>
      </c>
      <c r="L1397" s="5" t="str">
        <f t="shared" si="3"/>
        <v>752493</v>
      </c>
    </row>
    <row r="1398">
      <c r="A1398" s="6" t="s">
        <v>2448</v>
      </c>
      <c r="B1398" s="7" t="str">
        <f>HYPERLINK("https://shopee.co.id/Olay-Regenerist-Micro-Sculpting-Serum-50-ml-i.36998337.6379914655", "https://shopee.co.id/Olay-Regenerist-Micro-Sculpting-Serum-50-ml-i.36998337.6379914655")</f>
        <v>https://shopee.co.id/Olay-Regenerist-Micro-Sculpting-Serum-50-ml-i.36998337.6379914655</v>
      </c>
      <c r="C1398" s="6" t="s">
        <v>317</v>
      </c>
      <c r="D1398" s="6" t="s">
        <v>2449</v>
      </c>
      <c r="E1398" s="6" t="s">
        <v>12</v>
      </c>
      <c r="F1398" s="6" t="s">
        <v>13</v>
      </c>
      <c r="G1398" s="6" t="s">
        <v>98</v>
      </c>
      <c r="H1398" s="8" t="s">
        <v>2446</v>
      </c>
      <c r="I1398" s="9">
        <v>1782500.0</v>
      </c>
      <c r="J1398" s="5" t="str">
        <f t="shared" ref="J1398:K1398" si="1398">SUBSTITUTE(H1398, ",", "")</f>
        <v>12</v>
      </c>
      <c r="K1398" s="5" t="str">
        <f t="shared" si="1398"/>
        <v>Rp1782500</v>
      </c>
      <c r="L1398" s="5" t="str">
        <f t="shared" si="3"/>
        <v>1782500</v>
      </c>
    </row>
    <row r="1399">
      <c r="A1399" s="6" t="s">
        <v>2450</v>
      </c>
      <c r="B1399" s="7" t="str">
        <f>HYPERLINK("https://shopee.co.id/Estetiderma-Serum-Wajah-Skin-Refining-Serum-i.61653681.7343954864", "https://shopee.co.id/Estetiderma-Serum-Wajah-Skin-Refining-Serum-i.61653681.7343954864")</f>
        <v>https://shopee.co.id/Estetiderma-Serum-Wajah-Skin-Refining-Serum-i.61653681.7343954864</v>
      </c>
      <c r="C1399" s="6" t="s">
        <v>2451</v>
      </c>
      <c r="D1399" s="6" t="s">
        <v>2452</v>
      </c>
      <c r="E1399" s="6" t="s">
        <v>12</v>
      </c>
      <c r="F1399" s="6" t="s">
        <v>13</v>
      </c>
      <c r="G1399" s="6" t="s">
        <v>98</v>
      </c>
      <c r="H1399" s="8" t="s">
        <v>2446</v>
      </c>
      <c r="I1399" s="9">
        <v>1591550.0</v>
      </c>
      <c r="J1399" s="5" t="str">
        <f t="shared" ref="J1399:K1399" si="1399">SUBSTITUTE(H1399, ",", "")</f>
        <v>12</v>
      </c>
      <c r="K1399" s="5" t="str">
        <f t="shared" si="1399"/>
        <v>Rp1591550</v>
      </c>
      <c r="L1399" s="5" t="str">
        <f t="shared" si="3"/>
        <v>1591550</v>
      </c>
    </row>
    <row r="1400">
      <c r="A1400" s="6" t="s">
        <v>2453</v>
      </c>
      <c r="B1400" s="7" t="str">
        <f>HYPERLINK("https://shopee.co.id/Humphrey-Spot-Serum-20ml-Flek-Hitam--i.83349.273142", "https://shopee.co.id/Humphrey-Spot-Serum-20ml-Flek-Hitam--i.83349.273142")</f>
        <v>https://shopee.co.id/Humphrey-Spot-Serum-20ml-Flek-Hitam--i.83349.273142</v>
      </c>
      <c r="C1400" s="6" t="s">
        <v>1832</v>
      </c>
      <c r="D1400" s="6" t="s">
        <v>1833</v>
      </c>
      <c r="E1400" s="6" t="s">
        <v>12</v>
      </c>
      <c r="F1400" s="6" t="s">
        <v>13</v>
      </c>
      <c r="G1400" s="6" t="s">
        <v>21</v>
      </c>
      <c r="H1400" s="8" t="s">
        <v>2446</v>
      </c>
      <c r="I1400" s="9">
        <v>1584600.0</v>
      </c>
      <c r="J1400" s="5" t="str">
        <f t="shared" ref="J1400:K1400" si="1400">SUBSTITUTE(H1400, ",", "")</f>
        <v>12</v>
      </c>
      <c r="K1400" s="5" t="str">
        <f t="shared" si="1400"/>
        <v>Rp1584600</v>
      </c>
      <c r="L1400" s="5" t="str">
        <f t="shared" si="3"/>
        <v>1584600</v>
      </c>
    </row>
    <row r="1401">
      <c r="A1401" s="6" t="s">
        <v>2454</v>
      </c>
      <c r="B1401" s="7" t="str">
        <f>HYPERLINK("https://shopee.co.id/Osho-Phyto-Natural-Enrich-Whitening-Emultion-130-ml-i.69409544.7307898455", "https://shopee.co.id/Osho-Phyto-Natural-Enrich-Whitening-Emultion-130-ml-i.69409544.7307898455")</f>
        <v>https://shopee.co.id/Osho-Phyto-Natural-Enrich-Whitening-Emultion-130-ml-i.69409544.7307898455</v>
      </c>
      <c r="C1401" s="6" t="s">
        <v>2313</v>
      </c>
      <c r="D1401" s="6" t="s">
        <v>2314</v>
      </c>
      <c r="E1401" s="6" t="s">
        <v>12</v>
      </c>
      <c r="F1401" s="6" t="s">
        <v>13</v>
      </c>
      <c r="G1401" s="6" t="s">
        <v>98</v>
      </c>
      <c r="H1401" s="8" t="s">
        <v>2446</v>
      </c>
      <c r="I1401" s="9">
        <v>994500.0</v>
      </c>
      <c r="J1401" s="5" t="str">
        <f t="shared" ref="J1401:K1401" si="1401">SUBSTITUTE(H1401, ",", "")</f>
        <v>12</v>
      </c>
      <c r="K1401" s="5" t="str">
        <f t="shared" si="1401"/>
        <v>Rp994500</v>
      </c>
      <c r="L1401" s="5" t="str">
        <f t="shared" si="3"/>
        <v>994500</v>
      </c>
    </row>
    <row r="1402">
      <c r="A1402" s="6" t="s">
        <v>2455</v>
      </c>
      <c r="B1402" s="7" t="str">
        <f>HYPERLINK("https://shopee.co.id/Dermies-Hello-Glow-Radiance-Serum-15-ml-Serum-Pemutih-Wajah-i.260681089.7133353314", "https://shopee.co.id/Dermies-Hello-Glow-Radiance-Serum-15-ml-Serum-Pemutih-Wajah-i.260681089.7133353314")</f>
        <v>https://shopee.co.id/Dermies-Hello-Glow-Radiance-Serum-15-ml-Serum-Pemutih-Wajah-i.260681089.7133353314</v>
      </c>
      <c r="C1402" s="6" t="s">
        <v>2456</v>
      </c>
      <c r="D1402" s="6" t="s">
        <v>2457</v>
      </c>
      <c r="E1402" s="6" t="s">
        <v>12</v>
      </c>
      <c r="F1402" s="6" t="s">
        <v>13</v>
      </c>
      <c r="G1402" s="6" t="s">
        <v>241</v>
      </c>
      <c r="H1402" s="8" t="s">
        <v>2446</v>
      </c>
      <c r="I1402" s="9">
        <v>1526220.0</v>
      </c>
      <c r="J1402" s="5" t="str">
        <f t="shared" ref="J1402:K1402" si="1402">SUBSTITUTE(H1402, ",", "")</f>
        <v>12</v>
      </c>
      <c r="K1402" s="5" t="str">
        <f t="shared" si="1402"/>
        <v>Rp1526220</v>
      </c>
      <c r="L1402" s="5" t="str">
        <f t="shared" si="3"/>
        <v>1526220</v>
      </c>
    </row>
    <row r="1403">
      <c r="A1403" s="6" t="s">
        <v>2458</v>
      </c>
      <c r="B1403" s="7" t="str">
        <f>HYPERLINK("https://shopee.co.id/Benton-Cacao-Moist-and-Mild-Serum-50gr-i.180415888.4203411477", "https://shopee.co.id/Benton-Cacao-Moist-and-Mild-Serum-50gr-i.180415888.4203411477")</f>
        <v>https://shopee.co.id/Benton-Cacao-Moist-and-Mild-Serum-50gr-i.180415888.4203411477</v>
      </c>
      <c r="C1403" s="6" t="s">
        <v>456</v>
      </c>
      <c r="D1403" s="6" t="s">
        <v>457</v>
      </c>
      <c r="E1403" s="6" t="s">
        <v>12</v>
      </c>
      <c r="F1403" s="6" t="s">
        <v>13</v>
      </c>
      <c r="G1403" s="6" t="s">
        <v>80</v>
      </c>
      <c r="H1403" s="8" t="s">
        <v>2446</v>
      </c>
      <c r="I1403" s="9">
        <v>282000.0</v>
      </c>
      <c r="J1403" s="5" t="str">
        <f t="shared" ref="J1403:K1403" si="1403">SUBSTITUTE(H1403, ",", "")</f>
        <v>12</v>
      </c>
      <c r="K1403" s="5" t="str">
        <f t="shared" si="1403"/>
        <v>Rp282000</v>
      </c>
      <c r="L1403" s="5" t="str">
        <f t="shared" si="3"/>
        <v>282000</v>
      </c>
    </row>
    <row r="1404">
      <c r="A1404" s="6" t="s">
        <v>2459</v>
      </c>
      <c r="B1404" s="7" t="str">
        <f>HYPERLINK("https://shopee.co.id/All-Perfect-Bundling-Package-1-Serum-2pcs--i.167618454.7168857131", "https://shopee.co.id/All-Perfect-Bundling-Package-1-Serum-2pcs--i.167618454.7168857131")</f>
        <v>https://shopee.co.id/All-Perfect-Bundling-Package-1-Serum-2pcs--i.167618454.7168857131</v>
      </c>
      <c r="C1404" s="6" t="s">
        <v>718</v>
      </c>
      <c r="D1404" s="6" t="s">
        <v>678</v>
      </c>
      <c r="E1404" s="6" t="s">
        <v>12</v>
      </c>
      <c r="F1404" s="6" t="s">
        <v>13</v>
      </c>
      <c r="G1404" s="6" t="s">
        <v>296</v>
      </c>
      <c r="H1404" s="8" t="s">
        <v>2446</v>
      </c>
      <c r="I1404" s="9">
        <v>1440500.0</v>
      </c>
      <c r="J1404" s="5" t="str">
        <f t="shared" ref="J1404:K1404" si="1404">SUBSTITUTE(H1404, ",", "")</f>
        <v>12</v>
      </c>
      <c r="K1404" s="5" t="str">
        <f t="shared" si="1404"/>
        <v>Rp1440500</v>
      </c>
      <c r="L1404" s="5" t="str">
        <f t="shared" si="3"/>
        <v>1440500</v>
      </c>
    </row>
    <row r="1405">
      <c r="A1405" s="6" t="s">
        <v>2460</v>
      </c>
      <c r="B1405" s="7" t="str">
        <f>HYPERLINK("https://shopee.co.id/Nusantics-Gotukola-Biome-Treatment-Essence-i.156645962.2334131533", "https://shopee.co.id/Nusantics-Gotukola-Biome-Treatment-Essence-i.156645962.2334131533")</f>
        <v>https://shopee.co.id/Nusantics-Gotukola-Biome-Treatment-Essence-i.156645962.2334131533</v>
      </c>
      <c r="C1405" s="6" t="s">
        <v>2427</v>
      </c>
      <c r="D1405" s="6" t="s">
        <v>2428</v>
      </c>
      <c r="E1405" s="6" t="s">
        <v>12</v>
      </c>
      <c r="F1405" s="6" t="s">
        <v>13</v>
      </c>
      <c r="G1405" s="6" t="s">
        <v>98</v>
      </c>
      <c r="H1405" s="8" t="s">
        <v>2446</v>
      </c>
      <c r="I1405" s="9">
        <v>3465000.0</v>
      </c>
      <c r="J1405" s="5" t="str">
        <f t="shared" ref="J1405:K1405" si="1405">SUBSTITUTE(H1405, ",", "")</f>
        <v>12</v>
      </c>
      <c r="K1405" s="5" t="str">
        <f t="shared" si="1405"/>
        <v>Rp3465000</v>
      </c>
      <c r="L1405" s="5" t="str">
        <f t="shared" si="3"/>
        <v>3465000</v>
      </c>
    </row>
    <row r="1406">
      <c r="A1406" s="6" t="s">
        <v>2461</v>
      </c>
      <c r="B1406" s="7" t="str">
        <f>HYPERLINK("https://shopee.co.id/Wardah-Lightening-Serum-Ampoule-8ml-i.30736001.9752457557", "https://shopee.co.id/Wardah-Lightening-Serum-Ampoule-8ml-i.30736001.9752457557")</f>
        <v>https://shopee.co.id/Wardah-Lightening-Serum-Ampoule-8ml-i.30736001.9752457557</v>
      </c>
      <c r="C1406" s="6" t="s">
        <v>169</v>
      </c>
      <c r="D1406" s="6" t="s">
        <v>335</v>
      </c>
      <c r="E1406" s="6" t="s">
        <v>12</v>
      </c>
      <c r="F1406" s="6" t="s">
        <v>13</v>
      </c>
      <c r="G1406" s="6" t="s">
        <v>36</v>
      </c>
      <c r="H1406" s="8" t="s">
        <v>2446</v>
      </c>
      <c r="I1406" s="9">
        <v>1548000.0</v>
      </c>
      <c r="J1406" s="5" t="str">
        <f t="shared" ref="J1406:K1406" si="1406">SUBSTITUTE(H1406, ",", "")</f>
        <v>12</v>
      </c>
      <c r="K1406" s="5" t="str">
        <f t="shared" si="1406"/>
        <v>Rp1548000</v>
      </c>
      <c r="L1406" s="5" t="str">
        <f t="shared" si="3"/>
        <v>1548000</v>
      </c>
    </row>
    <row r="1407">
      <c r="A1407" s="6" t="s">
        <v>2462</v>
      </c>
      <c r="B1407" s="7" t="str">
        <f>HYPERLINK("https://shopee.co.id/PLACENTOR-Regenerating-Serum-30ml-Serum-Wajah-Pertama-Yang-Mampu-Menyamakan-Jam-Biologis-Kulit-i.304477244.3550846876", "https://shopee.co.id/PLACENTOR-Regenerating-Serum-30ml-Serum-Wajah-Pertama-Yang-Mampu-Menyamakan-Jam-Biologis-Kulit-i.304477244.3550846876")</f>
        <v>https://shopee.co.id/PLACENTOR-Regenerating-Serum-30ml-Serum-Wajah-Pertama-Yang-Mampu-Menyamakan-Jam-Biologis-Kulit-i.304477244.3550846876</v>
      </c>
      <c r="C1407" s="6" t="s">
        <v>2346</v>
      </c>
      <c r="D1407" s="6" t="s">
        <v>2347</v>
      </c>
      <c r="E1407" s="6" t="s">
        <v>12</v>
      </c>
      <c r="F1407" s="6" t="s">
        <v>13</v>
      </c>
      <c r="G1407" s="6" t="s">
        <v>532</v>
      </c>
      <c r="H1407" s="8" t="s">
        <v>2446</v>
      </c>
      <c r="I1407" s="9">
        <v>228000.0</v>
      </c>
      <c r="J1407" s="5" t="str">
        <f t="shared" ref="J1407:K1407" si="1407">SUBSTITUTE(H1407, ",", "")</f>
        <v>12</v>
      </c>
      <c r="K1407" s="5" t="str">
        <f t="shared" si="1407"/>
        <v>Rp228000</v>
      </c>
      <c r="L1407" s="5" t="str">
        <f t="shared" si="3"/>
        <v>228000</v>
      </c>
    </row>
    <row r="1408">
      <c r="A1408" s="6" t="s">
        <v>2463</v>
      </c>
      <c r="B1408" s="7" t="str">
        <f>HYPERLINK("https://shopee.co.id/MD-Glowing-Serum-Glowing-Platinum-i.98061713.1801083788", "https://shopee.co.id/MD-Glowing-Serum-Glowing-Platinum-i.98061713.1801083788")</f>
        <v>https://shopee.co.id/MD-Glowing-Serum-Glowing-Platinum-i.98061713.1801083788</v>
      </c>
      <c r="C1408" s="6" t="s">
        <v>1353</v>
      </c>
      <c r="D1408" s="6" t="s">
        <v>1354</v>
      </c>
      <c r="E1408" s="6" t="s">
        <v>12</v>
      </c>
      <c r="F1408" s="6" t="s">
        <v>13</v>
      </c>
      <c r="G1408" s="6" t="s">
        <v>370</v>
      </c>
      <c r="H1408" s="8" t="s">
        <v>2446</v>
      </c>
      <c r="I1408" s="9">
        <v>2340000.0</v>
      </c>
      <c r="J1408" s="5" t="str">
        <f t="shared" ref="J1408:K1408" si="1408">SUBSTITUTE(H1408, ",", "")</f>
        <v>12</v>
      </c>
      <c r="K1408" s="5" t="str">
        <f t="shared" si="1408"/>
        <v>Rp2340000</v>
      </c>
      <c r="L1408" s="5" t="str">
        <f t="shared" si="3"/>
        <v>2340000</v>
      </c>
    </row>
    <row r="1409">
      <c r="A1409" s="6" t="s">
        <v>2464</v>
      </c>
      <c r="B1409" s="7" t="str">
        <f>HYPERLINK("https://shopee.co.id/Serum-Dark-Spot-Solution-i.3087844.3616685984", "https://shopee.co.id/Serum-Dark-Spot-Solution-i.3087844.3616685984")</f>
        <v>https://shopee.co.id/Serum-Dark-Spot-Solution-i.3087844.3616685984</v>
      </c>
      <c r="C1409" s="6" t="s">
        <v>2465</v>
      </c>
      <c r="D1409" s="6" t="s">
        <v>1158</v>
      </c>
      <c r="E1409" s="6" t="s">
        <v>12</v>
      </c>
      <c r="F1409" s="6" t="s">
        <v>13</v>
      </c>
      <c r="G1409" s="6" t="s">
        <v>241</v>
      </c>
      <c r="H1409" s="8" t="s">
        <v>2446</v>
      </c>
      <c r="I1409" s="9">
        <v>4525950.0</v>
      </c>
      <c r="J1409" s="5" t="str">
        <f t="shared" ref="J1409:K1409" si="1409">SUBSTITUTE(H1409, ",", "")</f>
        <v>12</v>
      </c>
      <c r="K1409" s="5" t="str">
        <f t="shared" si="1409"/>
        <v>Rp4525950</v>
      </c>
      <c r="L1409" s="5" t="str">
        <f t="shared" si="3"/>
        <v>4525950</v>
      </c>
    </row>
    <row r="1410">
      <c r="A1410" s="6" t="s">
        <v>2466</v>
      </c>
      <c r="B1410" s="7" t="str">
        <f>HYPERLINK("https://shopee.co.id/Paket-Brightening-Niacinamide-10-AHA-BHA-PHA-Centella-Peeling--i.83349.10126079687", "https://shopee.co.id/Paket-Brightening-Niacinamide-10-AHA-BHA-PHA-Centella-Peeling--i.83349.10126079687")</f>
        <v>https://shopee.co.id/Paket-Brightening-Niacinamide-10-AHA-BHA-PHA-Centella-Peeling--i.83349.10126079687</v>
      </c>
      <c r="C1410" s="6" t="s">
        <v>2026</v>
      </c>
      <c r="D1410" s="6" t="s">
        <v>1833</v>
      </c>
      <c r="E1410" s="6" t="s">
        <v>12</v>
      </c>
      <c r="F1410" s="6" t="s">
        <v>13</v>
      </c>
      <c r="G1410" s="6" t="s">
        <v>21</v>
      </c>
      <c r="H1410" s="8" t="s">
        <v>2446</v>
      </c>
      <c r="I1410" s="9">
        <v>269300.0</v>
      </c>
      <c r="J1410" s="5" t="str">
        <f t="shared" ref="J1410:K1410" si="1410">SUBSTITUTE(H1410, ",", "")</f>
        <v>12</v>
      </c>
      <c r="K1410" s="5" t="str">
        <f t="shared" si="1410"/>
        <v>Rp269300</v>
      </c>
      <c r="L1410" s="5" t="str">
        <f t="shared" si="3"/>
        <v>269300</v>
      </c>
    </row>
    <row r="1411">
      <c r="A1411" s="6" t="s">
        <v>2467</v>
      </c>
      <c r="B1411" s="7" t="str">
        <f>HYPERLINK("https://shopee.co.id/Soothe-Bamboo-Serum-50ml-Double-Set-i.446775850.10212998905", "https://shopee.co.id/Soothe-Bamboo-Serum-50ml-Double-Set-i.446775850.10212998905")</f>
        <v>https://shopee.co.id/Soothe-Bamboo-Serum-50ml-Double-Set-i.446775850.10212998905</v>
      </c>
      <c r="C1411" s="6" t="s">
        <v>1202</v>
      </c>
      <c r="D1411" s="6" t="s">
        <v>1203</v>
      </c>
      <c r="E1411" s="6" t="s">
        <v>12</v>
      </c>
      <c r="F1411" s="6" t="s">
        <v>13</v>
      </c>
      <c r="G1411" s="6" t="s">
        <v>80</v>
      </c>
      <c r="H1411" s="8" t="s">
        <v>2446</v>
      </c>
      <c r="I1411" s="9">
        <v>598800.0</v>
      </c>
      <c r="J1411" s="5" t="str">
        <f t="shared" ref="J1411:K1411" si="1411">SUBSTITUTE(H1411, ",", "")</f>
        <v>12</v>
      </c>
      <c r="K1411" s="5" t="str">
        <f t="shared" si="1411"/>
        <v>Rp598800</v>
      </c>
      <c r="L1411" s="5" t="str">
        <f t="shared" si="3"/>
        <v>598800</v>
      </c>
    </row>
    <row r="1412">
      <c r="A1412" s="6" t="s">
        <v>2468</v>
      </c>
      <c r="B1412" s="7" t="str">
        <f>HYPERLINK("https://shopee.co.id/Somethinc-Salmon-DNA-Marine-Collagen-Elixir-20ml-i.50948181.10302974433", "https://shopee.co.id/Somethinc-Salmon-DNA-Marine-Collagen-Elixir-20ml-i.50948181.10302974433")</f>
        <v>https://shopee.co.id/Somethinc-Salmon-DNA-Marine-Collagen-Elixir-20ml-i.50948181.10302974433</v>
      </c>
      <c r="C1412" s="6" t="s">
        <v>45</v>
      </c>
      <c r="D1412" s="6" t="s">
        <v>1129</v>
      </c>
      <c r="E1412" s="6" t="s">
        <v>12</v>
      </c>
      <c r="F1412" s="6" t="s">
        <v>13</v>
      </c>
      <c r="G1412" s="6" t="s">
        <v>1130</v>
      </c>
      <c r="H1412" s="8" t="s">
        <v>2446</v>
      </c>
      <c r="I1412" s="9">
        <v>2376000.0</v>
      </c>
      <c r="J1412" s="5" t="str">
        <f t="shared" ref="J1412:K1412" si="1412">SUBSTITUTE(H1412, ",", "")</f>
        <v>12</v>
      </c>
      <c r="K1412" s="5" t="str">
        <f t="shared" si="1412"/>
        <v>Rp2376000</v>
      </c>
      <c r="L1412" s="5" t="str">
        <f t="shared" si="3"/>
        <v>2376000</v>
      </c>
    </row>
    <row r="1413">
      <c r="A1413" s="6" t="s">
        <v>2469</v>
      </c>
      <c r="B1413" s="7" t="str">
        <f>HYPERLINK("https://shopee.co.id/MS-Glow-Whitening-Gold-Serum-Original-BPOM-Serum-Pemutih-Wajah-MS-Glow-Ampuh-Memutihkan-Wajah-i.287975332.11027895727", "https://shopee.co.id/MS-Glow-Whitening-Gold-Serum-Original-BPOM-Serum-Pemutih-Wajah-MS-Glow-Ampuh-Memutihkan-Wajah-i.287975332.11027895727")</f>
        <v>https://shopee.co.id/MS-Glow-Whitening-Gold-Serum-Original-BPOM-Serum-Pemutih-Wajah-MS-Glow-Ampuh-Memutihkan-Wajah-i.287975332.11027895727</v>
      </c>
      <c r="C1413" s="6" t="s">
        <v>96</v>
      </c>
      <c r="D1413" s="6" t="s">
        <v>349</v>
      </c>
      <c r="E1413" s="6" t="s">
        <v>12</v>
      </c>
      <c r="F1413" s="6" t="s">
        <v>13</v>
      </c>
      <c r="G1413" s="6" t="s">
        <v>350</v>
      </c>
      <c r="H1413" s="8" t="s">
        <v>2446</v>
      </c>
      <c r="I1413" s="9">
        <v>3307500.0</v>
      </c>
      <c r="J1413" s="5" t="str">
        <f t="shared" ref="J1413:K1413" si="1413">SUBSTITUTE(H1413, ",", "")</f>
        <v>12</v>
      </c>
      <c r="K1413" s="5" t="str">
        <f t="shared" si="1413"/>
        <v>Rp3307500</v>
      </c>
      <c r="L1413" s="5" t="str">
        <f t="shared" si="3"/>
        <v>3307500</v>
      </c>
    </row>
    <row r="1414">
      <c r="A1414" s="6" t="s">
        <v>2470</v>
      </c>
      <c r="B1414" s="7" t="str">
        <f>HYPERLINK("https://shopee.co.id/LANBENA-Blackhead-Mask-Pore-Minimizer-Serum-Varian-17ml-i.397732085.5483922223", "https://shopee.co.id/LANBENA-Blackhead-Mask-Pore-Minimizer-Serum-Varian-17ml-i.397732085.5483922223")</f>
        <v>https://shopee.co.id/LANBENA-Blackhead-Mask-Pore-Minimizer-Serum-Varian-17ml-i.397732085.5483922223</v>
      </c>
      <c r="C1414" s="6" t="s">
        <v>1427</v>
      </c>
      <c r="D1414" s="6" t="s">
        <v>1428</v>
      </c>
      <c r="E1414" s="6" t="s">
        <v>12</v>
      </c>
      <c r="F1414" s="6" t="s">
        <v>13</v>
      </c>
      <c r="G1414" s="6" t="s">
        <v>532</v>
      </c>
      <c r="H1414" s="8" t="s">
        <v>2446</v>
      </c>
      <c r="I1414" s="9">
        <v>2256000.0</v>
      </c>
      <c r="J1414" s="5" t="str">
        <f t="shared" ref="J1414:K1414" si="1414">SUBSTITUTE(H1414, ",", "")</f>
        <v>12</v>
      </c>
      <c r="K1414" s="5" t="str">
        <f t="shared" si="1414"/>
        <v>Rp2256000</v>
      </c>
      <c r="L1414" s="5" t="str">
        <f t="shared" si="3"/>
        <v>2256000</v>
      </c>
    </row>
    <row r="1415">
      <c r="A1415" s="6" t="s">
        <v>2471</v>
      </c>
      <c r="B1415" s="7" t="str">
        <f>HYPERLINK("https://shopee.co.id/La-Tulipe-Collagen-serum-i.131133483.5591849459", "https://shopee.co.id/La-Tulipe-Collagen-serum-i.131133483.5591849459")</f>
        <v>https://shopee.co.id/La-Tulipe-Collagen-serum-i.131133483.5591849459</v>
      </c>
      <c r="C1415" s="6" t="s">
        <v>1761</v>
      </c>
      <c r="D1415" s="6" t="s">
        <v>1762</v>
      </c>
      <c r="E1415" s="6" t="s">
        <v>12</v>
      </c>
      <c r="F1415" s="6" t="s">
        <v>13</v>
      </c>
      <c r="G1415" s="6" t="s">
        <v>61</v>
      </c>
      <c r="H1415" s="8" t="s">
        <v>2446</v>
      </c>
      <c r="I1415" s="9">
        <v>1392000.0</v>
      </c>
      <c r="J1415" s="5" t="str">
        <f t="shared" ref="J1415:K1415" si="1415">SUBSTITUTE(H1415, ",", "")</f>
        <v>12</v>
      </c>
      <c r="K1415" s="5" t="str">
        <f t="shared" si="1415"/>
        <v>Rp1392000</v>
      </c>
      <c r="L1415" s="5" t="str">
        <f t="shared" si="3"/>
        <v>1392000</v>
      </c>
    </row>
    <row r="1416">
      <c r="A1416" s="6" t="s">
        <v>2472</v>
      </c>
      <c r="B1416" s="7" t="str">
        <f>HYPERLINK("https://shopee.co.id/PROMO-Seger-Snow-Serum-Moisturizing-2pcs-Seger-Snow-Anti-anging-GRATIS-Totebag-i.221165466.8209801871", "https://shopee.co.id/PROMO-Seger-Snow-Serum-Moisturizing-2pcs-Seger-Snow-Anti-anging-GRATIS-Totebag-i.221165466.8209801871")</f>
        <v>https://shopee.co.id/PROMO-Seger-Snow-Serum-Moisturizing-2pcs-Seger-Snow-Anti-anging-GRATIS-Totebag-i.221165466.8209801871</v>
      </c>
      <c r="C1416" s="6" t="s">
        <v>2005</v>
      </c>
      <c r="D1416" s="6" t="s">
        <v>2006</v>
      </c>
      <c r="E1416" s="6" t="s">
        <v>12</v>
      </c>
      <c r="F1416" s="6" t="s">
        <v>13</v>
      </c>
      <c r="G1416" s="6" t="s">
        <v>241</v>
      </c>
      <c r="H1416" s="8" t="s">
        <v>2446</v>
      </c>
      <c r="I1416" s="9">
        <v>1620000.0</v>
      </c>
      <c r="J1416" s="5" t="str">
        <f t="shared" ref="J1416:K1416" si="1416">SUBSTITUTE(H1416, ",", "")</f>
        <v>12</v>
      </c>
      <c r="K1416" s="5" t="str">
        <f t="shared" si="1416"/>
        <v>Rp1620000</v>
      </c>
      <c r="L1416" s="5" t="str">
        <f t="shared" si="3"/>
        <v>1620000</v>
      </c>
    </row>
    <row r="1417">
      <c r="A1417" s="6" t="s">
        <v>2473</v>
      </c>
      <c r="B1417" s="7" t="str">
        <f>HYPERLINK("https://shopee.co.id/Whitelab-Brightening-Acne-Face-Serum-i.53887195.9209442535", "https://shopee.co.id/Whitelab-Brightening-Acne-Face-Serum-i.53887195.9209442535")</f>
        <v>https://shopee.co.id/Whitelab-Brightening-Acne-Face-Serum-i.53887195.9209442535</v>
      </c>
      <c r="C1417" s="6" t="s">
        <v>59</v>
      </c>
      <c r="D1417" s="6" t="s">
        <v>1026</v>
      </c>
      <c r="E1417" s="6" t="s">
        <v>12</v>
      </c>
      <c r="F1417" s="6" t="s">
        <v>13</v>
      </c>
      <c r="G1417" s="6" t="s">
        <v>80</v>
      </c>
      <c r="H1417" s="8" t="s">
        <v>2446</v>
      </c>
      <c r="I1417" s="9">
        <v>2695000.0</v>
      </c>
      <c r="J1417" s="5" t="str">
        <f t="shared" ref="J1417:K1417" si="1417">SUBSTITUTE(H1417, ",", "")</f>
        <v>12</v>
      </c>
      <c r="K1417" s="5" t="str">
        <f t="shared" si="1417"/>
        <v>Rp2695000</v>
      </c>
      <c r="L1417" s="5" t="str">
        <f t="shared" si="3"/>
        <v>2695000</v>
      </c>
    </row>
    <row r="1418">
      <c r="A1418" s="6" t="s">
        <v>2474</v>
      </c>
      <c r="B1418" s="7" t="str">
        <f>HYPERLINK("https://shopee.co.id/Keep-Cool-Soothe-Bamboo-Serum-50-ml-i.125116082.4019990627", "https://shopee.co.id/Keep-Cool-Soothe-Bamboo-Serum-50-ml-i.125116082.4019990627")</f>
        <v>https://shopee.co.id/Keep-Cool-Soothe-Bamboo-Serum-50-ml-i.125116082.4019990627</v>
      </c>
      <c r="C1418" s="6" t="s">
        <v>1202</v>
      </c>
      <c r="D1418" s="6" t="s">
        <v>713</v>
      </c>
      <c r="E1418" s="6" t="s">
        <v>12</v>
      </c>
      <c r="F1418" s="6" t="s">
        <v>13</v>
      </c>
      <c r="G1418" s="6" t="s">
        <v>61</v>
      </c>
      <c r="H1418" s="8" t="s">
        <v>2446</v>
      </c>
      <c r="I1418" s="9">
        <v>2793600.0</v>
      </c>
      <c r="J1418" s="5" t="str">
        <f t="shared" ref="J1418:K1418" si="1418">SUBSTITUTE(H1418, ",", "")</f>
        <v>12</v>
      </c>
      <c r="K1418" s="5" t="str">
        <f t="shared" si="1418"/>
        <v>Rp2793600</v>
      </c>
      <c r="L1418" s="5" t="str">
        <f t="shared" si="3"/>
        <v>2793600</v>
      </c>
    </row>
    <row r="1419">
      <c r="A1419" s="6" t="s">
        <v>2475</v>
      </c>
      <c r="B1419" s="7" t="str">
        <f>HYPERLINK("https://shopee.co.id/Huxley-Oil-Essence-Essence-Like-Oil-Like-i.125116082.2754005521", "https://shopee.co.id/Huxley-Oil-Essence-Essence-Like-Oil-Like-i.125116082.2754005521")</f>
        <v>https://shopee.co.id/Huxley-Oil-Essence-Essence-Like-Oil-Like-i.125116082.2754005521</v>
      </c>
      <c r="C1419" s="6" t="s">
        <v>1635</v>
      </c>
      <c r="D1419" s="6" t="s">
        <v>713</v>
      </c>
      <c r="E1419" s="6" t="s">
        <v>12</v>
      </c>
      <c r="F1419" s="6" t="s">
        <v>13</v>
      </c>
      <c r="G1419" s="6" t="s">
        <v>61</v>
      </c>
      <c r="H1419" s="8" t="s">
        <v>2446</v>
      </c>
      <c r="I1419" s="9">
        <v>1260000.0</v>
      </c>
      <c r="J1419" s="5" t="str">
        <f t="shared" ref="J1419:K1419" si="1419">SUBSTITUTE(H1419, ",", "")</f>
        <v>12</v>
      </c>
      <c r="K1419" s="5" t="str">
        <f t="shared" si="1419"/>
        <v>Rp1260000</v>
      </c>
      <c r="L1419" s="5" t="str">
        <f t="shared" si="3"/>
        <v>1260000</v>
      </c>
    </row>
    <row r="1420">
      <c r="A1420" s="6" t="s">
        <v>2476</v>
      </c>
      <c r="B1420" s="7" t="str">
        <f>HYPERLINK("https://shopee.co.id/Rojukiss-Jeju-Lotus-Pinkish-Bright-Serum-size-8-ml-Edit-by-Sociolla-i.224957239.11801718329", "https://shopee.co.id/Rojukiss-Jeju-Lotus-Pinkish-Bright-Serum-size-8-ml-Edit-by-Sociolla-i.224957239.11801718329")</f>
        <v>https://shopee.co.id/Rojukiss-Jeju-Lotus-Pinkish-Bright-Serum-size-8-ml-Edit-by-Sociolla-i.224957239.11801718329</v>
      </c>
      <c r="C1420" s="6" t="s">
        <v>1508</v>
      </c>
      <c r="D1420" s="6" t="s">
        <v>492</v>
      </c>
      <c r="E1420" s="6" t="s">
        <v>12</v>
      </c>
      <c r="F1420" s="6" t="s">
        <v>13</v>
      </c>
      <c r="G1420" s="6" t="s">
        <v>21</v>
      </c>
      <c r="H1420" s="8" t="s">
        <v>2446</v>
      </c>
      <c r="I1420" s="9">
        <v>353800.0</v>
      </c>
      <c r="J1420" s="5" t="str">
        <f t="shared" ref="J1420:K1420" si="1420">SUBSTITUTE(H1420, ",", "")</f>
        <v>12</v>
      </c>
      <c r="K1420" s="5" t="str">
        <f t="shared" si="1420"/>
        <v>Rp353800</v>
      </c>
      <c r="L1420" s="5" t="str">
        <f t="shared" si="3"/>
        <v>353800</v>
      </c>
    </row>
    <row r="1421">
      <c r="A1421" s="6" t="s">
        <v>2477</v>
      </c>
      <c r="B1421" s="7" t="str">
        <f>HYPERLINK("https://shopee.co.id/-BPOM-LANBENA-Hyaluronic-Acid-Serum-Melembabkan-15-ml--i.397732085.3281227760", "https://shopee.co.id/-BPOM-LANBENA-Hyaluronic-Acid-Serum-Melembabkan-15-ml--i.397732085.3281227760")</f>
        <v>https://shopee.co.id/-BPOM-LANBENA-Hyaluronic-Acid-Serum-Melembabkan-15-ml--i.397732085.3281227760</v>
      </c>
      <c r="C1421" s="6" t="s">
        <v>1427</v>
      </c>
      <c r="D1421" s="6" t="s">
        <v>1428</v>
      </c>
      <c r="E1421" s="6" t="s">
        <v>12</v>
      </c>
      <c r="F1421" s="6" t="s">
        <v>13</v>
      </c>
      <c r="G1421" s="6" t="s">
        <v>532</v>
      </c>
      <c r="H1421" s="8" t="s">
        <v>2446</v>
      </c>
      <c r="I1421" s="9">
        <v>1296000.0</v>
      </c>
      <c r="J1421" s="5" t="str">
        <f t="shared" ref="J1421:K1421" si="1421">SUBSTITUTE(H1421, ",", "")</f>
        <v>12</v>
      </c>
      <c r="K1421" s="5" t="str">
        <f t="shared" si="1421"/>
        <v>Rp1296000</v>
      </c>
      <c r="L1421" s="5" t="str">
        <f t="shared" si="3"/>
        <v>1296000</v>
      </c>
    </row>
    <row r="1422">
      <c r="A1422" s="6" t="s">
        <v>2478</v>
      </c>
      <c r="B1422" s="7" t="str">
        <f>HYPERLINK("https://shopee.co.id/Nacific-Real-Floral-Rose-Essence-50g--i.238379974.3292637103", "https://shopee.co.id/Nacific-Real-Floral-Rose-Essence-50g--i.238379974.3292637103")</f>
        <v>https://shopee.co.id/Nacific-Real-Floral-Rose-Essence-50g--i.238379974.3292637103</v>
      </c>
      <c r="C1422" s="6" t="s">
        <v>344</v>
      </c>
      <c r="D1422" s="6" t="s">
        <v>345</v>
      </c>
      <c r="E1422" s="6" t="s">
        <v>12</v>
      </c>
      <c r="F1422" s="6" t="s">
        <v>13</v>
      </c>
      <c r="G1422" s="6" t="s">
        <v>130</v>
      </c>
      <c r="H1422" s="8" t="s">
        <v>2446</v>
      </c>
      <c r="I1422" s="9">
        <v>3312400.0</v>
      </c>
      <c r="J1422" s="5" t="str">
        <f t="shared" ref="J1422:K1422" si="1422">SUBSTITUTE(H1422, ",", "")</f>
        <v>12</v>
      </c>
      <c r="K1422" s="5" t="str">
        <f t="shared" si="1422"/>
        <v>Rp3312400</v>
      </c>
      <c r="L1422" s="5" t="str">
        <f t="shared" si="3"/>
        <v>3312400</v>
      </c>
    </row>
    <row r="1423">
      <c r="A1423" s="6" t="s">
        <v>2479</v>
      </c>
      <c r="B1423" s="7" t="str">
        <f>HYPERLINK("https://shopee.co.id/Lanore-Whitening-Anti-Aging-Serum-30-gr-PROMO-BUY-1-GET-1-i.46593637.4648918534", "https://shopee.co.id/Lanore-Whitening-Anti-Aging-Serum-30-gr-PROMO-BUY-1-GET-1-i.46593637.4648918534")</f>
        <v>https://shopee.co.id/Lanore-Whitening-Anti-Aging-Serum-30-gr-PROMO-BUY-1-GET-1-i.46593637.4648918534</v>
      </c>
      <c r="C1423" s="6" t="s">
        <v>2480</v>
      </c>
      <c r="D1423" s="6" t="s">
        <v>1607</v>
      </c>
      <c r="E1423" s="6" t="s">
        <v>12</v>
      </c>
      <c r="F1423" s="6" t="s">
        <v>13</v>
      </c>
      <c r="G1423" s="6" t="s">
        <v>350</v>
      </c>
      <c r="H1423" s="8" t="s">
        <v>2446</v>
      </c>
      <c r="I1423" s="9">
        <v>908500.0</v>
      </c>
      <c r="J1423" s="5" t="str">
        <f t="shared" ref="J1423:K1423" si="1423">SUBSTITUTE(H1423, ",", "")</f>
        <v>12</v>
      </c>
      <c r="K1423" s="5" t="str">
        <f t="shared" si="1423"/>
        <v>Rp908500</v>
      </c>
      <c r="L1423" s="5" t="str">
        <f t="shared" si="3"/>
        <v>908500</v>
      </c>
    </row>
    <row r="1424">
      <c r="A1424" s="6" t="s">
        <v>2481</v>
      </c>
      <c r="B1424" s="7" t="str">
        <f>HYPERLINK("https://shopee.co.id/Sbcskin-Retinol-Renewal-Serum-Anti-aging-serum--i.229435322.6055405795", "https://shopee.co.id/Sbcskin-Retinol-Renewal-Serum-Anti-aging-serum--i.229435322.6055405795")</f>
        <v>https://shopee.co.id/Sbcskin-Retinol-Renewal-Serum-Anti-aging-serum--i.229435322.6055405795</v>
      </c>
      <c r="C1424" s="6" t="s">
        <v>1775</v>
      </c>
      <c r="D1424" s="6" t="s">
        <v>1776</v>
      </c>
      <c r="E1424" s="6" t="s">
        <v>12</v>
      </c>
      <c r="F1424" s="6" t="s">
        <v>13</v>
      </c>
      <c r="G1424" s="6" t="s">
        <v>1777</v>
      </c>
      <c r="H1424" s="8" t="s">
        <v>2446</v>
      </c>
      <c r="I1424" s="9">
        <v>1548000.0</v>
      </c>
      <c r="J1424" s="5" t="str">
        <f t="shared" ref="J1424:K1424" si="1424">SUBSTITUTE(H1424, ",", "")</f>
        <v>12</v>
      </c>
      <c r="K1424" s="5" t="str">
        <f t="shared" si="1424"/>
        <v>Rp1548000</v>
      </c>
      <c r="L1424" s="5" t="str">
        <f t="shared" si="3"/>
        <v>1548000</v>
      </c>
    </row>
    <row r="1425">
      <c r="A1425" s="6" t="s">
        <v>2482</v>
      </c>
      <c r="B1425" s="7" t="str">
        <f>HYPERLINK("https://shopee.co.id/MSBB-The-Aubree-Niacinamide-Skin-Booster-30-ml-i.288588702.5660549361", "https://shopee.co.id/MSBB-The-Aubree-Niacinamide-Skin-Booster-30-ml-i.288588702.5660549361")</f>
        <v>https://shopee.co.id/MSBB-The-Aubree-Niacinamide-Skin-Booster-30-ml-i.288588702.5660549361</v>
      </c>
      <c r="C1425" s="6" t="s">
        <v>772</v>
      </c>
      <c r="D1425" s="6" t="s">
        <v>79</v>
      </c>
      <c r="E1425" s="6" t="s">
        <v>12</v>
      </c>
      <c r="F1425" s="6" t="s">
        <v>13</v>
      </c>
      <c r="G1425" s="6" t="s">
        <v>80</v>
      </c>
      <c r="H1425" s="8" t="s">
        <v>2446</v>
      </c>
      <c r="I1425" s="9">
        <v>1413720.0</v>
      </c>
      <c r="J1425" s="5" t="str">
        <f t="shared" ref="J1425:K1425" si="1425">SUBSTITUTE(H1425, ",", "")</f>
        <v>12</v>
      </c>
      <c r="K1425" s="5" t="str">
        <f t="shared" si="1425"/>
        <v>Rp1413720</v>
      </c>
      <c r="L1425" s="5" t="str">
        <f t="shared" si="3"/>
        <v>1413720</v>
      </c>
    </row>
    <row r="1426">
      <c r="A1426" s="6" t="s">
        <v>2483</v>
      </c>
      <c r="B1426" s="7" t="str">
        <f>HYPERLINK("https://shopee.co.id/YU-CHUN-MEI-Cordyceps-Pure-Gold-24k-Serum-Perfect-Bright-30ml-i.230677444.9311538241", "https://shopee.co.id/YU-CHUN-MEI-Cordyceps-Pure-Gold-24k-Serum-Perfect-Bright-30ml-i.230677444.9311538241")</f>
        <v>https://shopee.co.id/YU-CHUN-MEI-Cordyceps-Pure-Gold-24k-Serum-Perfect-Bright-30ml-i.230677444.9311538241</v>
      </c>
      <c r="C1426" s="6" t="s">
        <v>1669</v>
      </c>
      <c r="D1426" s="6" t="s">
        <v>1670</v>
      </c>
      <c r="E1426" s="6" t="s">
        <v>12</v>
      </c>
      <c r="F1426" s="6" t="s">
        <v>13</v>
      </c>
      <c r="G1426" s="6" t="s">
        <v>61</v>
      </c>
      <c r="H1426" s="8" t="s">
        <v>2446</v>
      </c>
      <c r="I1426" s="9">
        <v>4200000.0</v>
      </c>
      <c r="J1426" s="5" t="str">
        <f t="shared" ref="J1426:K1426" si="1426">SUBSTITUTE(H1426, ",", "")</f>
        <v>12</v>
      </c>
      <c r="K1426" s="5" t="str">
        <f t="shared" si="1426"/>
        <v>Rp4200000</v>
      </c>
      <c r="L1426" s="5" t="str">
        <f t="shared" si="3"/>
        <v>4200000</v>
      </c>
    </row>
    <row r="1427">
      <c r="A1427" s="6" t="s">
        <v>2484</v>
      </c>
      <c r="B1427" s="7" t="str">
        <f>HYPERLINK("https://shopee.co.id/MSBB-Somethinc-AHA-7-BHA-1-PHA-3-Weekly-Peeling-solution-20Ml-i.288588702.9275257023", "https://shopee.co.id/MSBB-Somethinc-AHA-7-BHA-1-PHA-3-Weekly-Peeling-solution-20Ml-i.288588702.9275257023")</f>
        <v>https://shopee.co.id/MSBB-Somethinc-AHA-7-BHA-1-PHA-3-Weekly-Peeling-solution-20Ml-i.288588702.9275257023</v>
      </c>
      <c r="C1427" s="6" t="s">
        <v>45</v>
      </c>
      <c r="D1427" s="6" t="s">
        <v>79</v>
      </c>
      <c r="E1427" s="6" t="s">
        <v>12</v>
      </c>
      <c r="F1427" s="6" t="s">
        <v>13</v>
      </c>
      <c r="G1427" s="6" t="s">
        <v>80</v>
      </c>
      <c r="H1427" s="8" t="s">
        <v>2446</v>
      </c>
      <c r="I1427" s="9">
        <v>3015600.0</v>
      </c>
      <c r="J1427" s="5" t="str">
        <f t="shared" ref="J1427:K1427" si="1427">SUBSTITUTE(H1427, ",", "")</f>
        <v>12</v>
      </c>
      <c r="K1427" s="5" t="str">
        <f t="shared" si="1427"/>
        <v>Rp3015600</v>
      </c>
      <c r="L1427" s="5" t="str">
        <f t="shared" si="3"/>
        <v>3015600</v>
      </c>
    </row>
    <row r="1428">
      <c r="A1428" s="6" t="s">
        <v>2485</v>
      </c>
      <c r="B1428" s="7" t="str">
        <f>HYPERLINK("https://shopee.co.id/KANEBO-Illuminating-Serum-30ml-i.169111593.6331012915", "https://shopee.co.id/KANEBO-Illuminating-Serum-30ml-i.169111593.6331012915")</f>
        <v>https://shopee.co.id/KANEBO-Illuminating-Serum-30ml-i.169111593.6331012915</v>
      </c>
      <c r="C1428" s="6" t="s">
        <v>1473</v>
      </c>
      <c r="D1428" s="6" t="s">
        <v>1474</v>
      </c>
      <c r="E1428" s="6" t="s">
        <v>12</v>
      </c>
      <c r="F1428" s="6" t="s">
        <v>13</v>
      </c>
      <c r="G1428" s="6" t="s">
        <v>532</v>
      </c>
      <c r="H1428" s="8" t="s">
        <v>2446</v>
      </c>
      <c r="I1428" s="9">
        <v>4725000.0</v>
      </c>
      <c r="J1428" s="5" t="str">
        <f t="shared" ref="J1428:K1428" si="1428">SUBSTITUTE(H1428, ",", "")</f>
        <v>12</v>
      </c>
      <c r="K1428" s="5" t="str">
        <f t="shared" si="1428"/>
        <v>Rp4725000</v>
      </c>
      <c r="L1428" s="5" t="str">
        <f t="shared" si="3"/>
        <v>4725000</v>
      </c>
    </row>
    <row r="1429">
      <c r="A1429" s="6" t="s">
        <v>2486</v>
      </c>
      <c r="B1429" s="7" t="str">
        <f>HYPERLINK("https://shopee.co.id/SYB-Forte-Serum-Vitamin-C-Plus-Collagen-i.150222332.2329550841", "https://shopee.co.id/SYB-Forte-Serum-Vitamin-C-Plus-Collagen-i.150222332.2329550841")</f>
        <v>https://shopee.co.id/SYB-Forte-Serum-Vitamin-C-Plus-Collagen-i.150222332.2329550841</v>
      </c>
      <c r="C1429" s="6" t="s">
        <v>1736</v>
      </c>
      <c r="D1429" s="6" t="s">
        <v>1737</v>
      </c>
      <c r="E1429" s="6" t="s">
        <v>12</v>
      </c>
      <c r="F1429" s="6" t="s">
        <v>13</v>
      </c>
      <c r="G1429" s="6" t="s">
        <v>350</v>
      </c>
      <c r="H1429" s="8" t="s">
        <v>2446</v>
      </c>
      <c r="I1429" s="9">
        <v>960000.0</v>
      </c>
      <c r="J1429" s="5" t="str">
        <f t="shared" ref="J1429:K1429" si="1429">SUBSTITUTE(H1429, ",", "")</f>
        <v>12</v>
      </c>
      <c r="K1429" s="5" t="str">
        <f t="shared" si="1429"/>
        <v>Rp960000</v>
      </c>
      <c r="L1429" s="5" t="str">
        <f t="shared" si="3"/>
        <v>960000</v>
      </c>
    </row>
    <row r="1430">
      <c r="A1430" s="6" t="s">
        <v>2487</v>
      </c>
      <c r="B1430" s="7" t="str">
        <f>HYPERLINK("https://shopee.co.id/Somethinc-Holygrail-Multipeptide-Youth-Elixir-20ml-i.50948181.3888578774", "https://shopee.co.id/Somethinc-Holygrail-Multipeptide-Youth-Elixir-20ml-i.50948181.3888578774")</f>
        <v>https://shopee.co.id/Somethinc-Holygrail-Multipeptide-Youth-Elixir-20ml-i.50948181.3888578774</v>
      </c>
      <c r="C1430" s="6" t="s">
        <v>45</v>
      </c>
      <c r="D1430" s="6" t="s">
        <v>1129</v>
      </c>
      <c r="E1430" s="6" t="s">
        <v>12</v>
      </c>
      <c r="F1430" s="6" t="s">
        <v>13</v>
      </c>
      <c r="G1430" s="6" t="s">
        <v>1130</v>
      </c>
      <c r="H1430" s="8" t="s">
        <v>2446</v>
      </c>
      <c r="I1430" s="9">
        <v>443412.0</v>
      </c>
      <c r="J1430" s="5" t="str">
        <f t="shared" ref="J1430:K1430" si="1430">SUBSTITUTE(H1430, ",", "")</f>
        <v>12</v>
      </c>
      <c r="K1430" s="5" t="str">
        <f t="shared" si="1430"/>
        <v>Rp443412</v>
      </c>
      <c r="L1430" s="5" t="str">
        <f t="shared" si="3"/>
        <v>443412</v>
      </c>
    </row>
    <row r="1431">
      <c r="A1431" s="6" t="s">
        <v>2488</v>
      </c>
      <c r="B1431" s="7" t="str">
        <f>HYPERLINK("https://shopee.co.id/Nusantics-Biome-Essence-Spray-Tea-Tree-i.156645962.2333209183", "https://shopee.co.id/Nusantics-Biome-Essence-Spray-Tea-Tree-i.156645962.2333209183")</f>
        <v>https://shopee.co.id/Nusantics-Biome-Essence-Spray-Tea-Tree-i.156645962.2333209183</v>
      </c>
      <c r="C1431" s="6" t="s">
        <v>2427</v>
      </c>
      <c r="D1431" s="6" t="s">
        <v>2428</v>
      </c>
      <c r="E1431" s="6" t="s">
        <v>12</v>
      </c>
      <c r="F1431" s="6" t="s">
        <v>13</v>
      </c>
      <c r="G1431" s="6" t="s">
        <v>98</v>
      </c>
      <c r="H1431" s="8" t="s">
        <v>2446</v>
      </c>
      <c r="I1431" s="9">
        <v>809100.0</v>
      </c>
      <c r="J1431" s="5" t="str">
        <f t="shared" ref="J1431:K1431" si="1431">SUBSTITUTE(H1431, ",", "")</f>
        <v>12</v>
      </c>
      <c r="K1431" s="5" t="str">
        <f t="shared" si="1431"/>
        <v>Rp809100</v>
      </c>
      <c r="L1431" s="5" t="str">
        <f t="shared" si="3"/>
        <v>809100</v>
      </c>
    </row>
    <row r="1432">
      <c r="A1432" s="6" t="s">
        <v>2489</v>
      </c>
      <c r="B1432" s="7" t="str">
        <f>HYPERLINK("https://shopee.co.id/SKEYNDOR-Hyaluronic-Moisturising-Booster-i.241089883.5279505101", "https://shopee.co.id/SKEYNDOR-Hyaluronic-Moisturising-Booster-i.241089883.5279505101")</f>
        <v>https://shopee.co.id/SKEYNDOR-Hyaluronic-Moisturising-Booster-i.241089883.5279505101</v>
      </c>
      <c r="C1432" s="6" t="s">
        <v>2215</v>
      </c>
      <c r="D1432" s="6" t="s">
        <v>2216</v>
      </c>
      <c r="E1432" s="6" t="s">
        <v>12</v>
      </c>
      <c r="F1432" s="6" t="s">
        <v>13</v>
      </c>
      <c r="G1432" s="6" t="s">
        <v>21</v>
      </c>
      <c r="H1432" s="8" t="s">
        <v>2446</v>
      </c>
      <c r="I1432" s="9">
        <v>2074308.0</v>
      </c>
      <c r="J1432" s="5" t="str">
        <f t="shared" ref="J1432:K1432" si="1432">SUBSTITUTE(H1432, ",", "")</f>
        <v>12</v>
      </c>
      <c r="K1432" s="5" t="str">
        <f t="shared" si="1432"/>
        <v>Rp2074308</v>
      </c>
      <c r="L1432" s="5" t="str">
        <f t="shared" si="3"/>
        <v>2074308</v>
      </c>
    </row>
    <row r="1433">
      <c r="A1433" s="6" t="s">
        <v>2490</v>
      </c>
      <c r="B1433" s="7" t="str">
        <f>HYPERLINK("https://shopee.co.id/Wardah-White-Secret-Pure-Treatment-Essence-i.24819895.6472759772", "https://shopee.co.id/Wardah-White-Secret-Pure-Treatment-Essence-i.24819895.6472759772")</f>
        <v>https://shopee.co.id/Wardah-White-Secret-Pure-Treatment-Essence-i.24819895.6472759772</v>
      </c>
      <c r="C1433" s="6" t="s">
        <v>169</v>
      </c>
      <c r="D1433" s="6" t="s">
        <v>2491</v>
      </c>
      <c r="E1433" s="6" t="s">
        <v>12</v>
      </c>
      <c r="F1433" s="6" t="s">
        <v>13</v>
      </c>
      <c r="G1433" s="6" t="s">
        <v>1085</v>
      </c>
      <c r="H1433" s="8" t="s">
        <v>2446</v>
      </c>
      <c r="I1433" s="9">
        <v>2827200.0</v>
      </c>
      <c r="J1433" s="5" t="str">
        <f t="shared" ref="J1433:K1433" si="1433">SUBSTITUTE(H1433, ",", "")</f>
        <v>12</v>
      </c>
      <c r="K1433" s="5" t="str">
        <f t="shared" si="1433"/>
        <v>Rp2827200</v>
      </c>
      <c r="L1433" s="5" t="str">
        <f t="shared" si="3"/>
        <v>2827200</v>
      </c>
    </row>
    <row r="1434">
      <c r="A1434" s="6" t="s">
        <v>2492</v>
      </c>
      <c r="B1434" s="7" t="str">
        <f>HYPERLINK("https://shopee.co.id/BHUMI-C-Brightening-Booster-18ml-i.68111.12811715991", "https://shopee.co.id/BHUMI-C-Brightening-Booster-18ml-i.68111.12811715991")</f>
        <v>https://shopee.co.id/BHUMI-C-Brightening-Booster-18ml-i.68111.12811715991</v>
      </c>
      <c r="C1434" s="6" t="s">
        <v>753</v>
      </c>
      <c r="D1434" s="6" t="s">
        <v>441</v>
      </c>
      <c r="E1434" s="6" t="s">
        <v>12</v>
      </c>
      <c r="F1434" s="6" t="s">
        <v>13</v>
      </c>
      <c r="G1434" s="6" t="s">
        <v>130</v>
      </c>
      <c r="H1434" s="8" t="s">
        <v>2446</v>
      </c>
      <c r="I1434" s="9">
        <v>484000.0</v>
      </c>
      <c r="J1434" s="5" t="str">
        <f t="shared" ref="J1434:K1434" si="1434">SUBSTITUTE(H1434, ",", "")</f>
        <v>12</v>
      </c>
      <c r="K1434" s="5" t="str">
        <f t="shared" si="1434"/>
        <v>Rp484000</v>
      </c>
      <c r="L1434" s="5" t="str">
        <f t="shared" si="3"/>
        <v>484000</v>
      </c>
    </row>
    <row r="1435">
      <c r="A1435" s="6" t="s">
        <v>2493</v>
      </c>
      <c r="B1435" s="7" t="str">
        <f>HYPERLINK("https://shopee.co.id/SECA-Healthy-Eye-Bundle-Collagen-Caffeine-Eyecream--i.373749700.8187279564", "https://shopee.co.id/SECA-Healthy-Eye-Bundle-Collagen-Caffeine-Eyecream--i.373749700.8187279564")</f>
        <v>https://shopee.co.id/SECA-Healthy-Eye-Bundle-Collagen-Caffeine-Eyecream--i.373749700.8187279564</v>
      </c>
      <c r="C1435" s="6" t="s">
        <v>985</v>
      </c>
      <c r="D1435" s="6" t="s">
        <v>986</v>
      </c>
      <c r="E1435" s="6" t="s">
        <v>12</v>
      </c>
      <c r="F1435" s="6" t="s">
        <v>13</v>
      </c>
      <c r="G1435" s="6" t="s">
        <v>36</v>
      </c>
      <c r="H1435" s="8" t="s">
        <v>2446</v>
      </c>
      <c r="I1435" s="9">
        <v>1598200.0</v>
      </c>
      <c r="J1435" s="5" t="str">
        <f t="shared" ref="J1435:K1435" si="1435">SUBSTITUTE(H1435, ",", "")</f>
        <v>12</v>
      </c>
      <c r="K1435" s="5" t="str">
        <f t="shared" si="1435"/>
        <v>Rp1598200</v>
      </c>
      <c r="L1435" s="5" t="str">
        <f t="shared" si="3"/>
        <v>1598200</v>
      </c>
    </row>
    <row r="1436">
      <c r="A1436" s="6" t="s">
        <v>2494</v>
      </c>
      <c r="B1436" s="7" t="str">
        <f>HYPERLINK("https://shopee.co.id/MSBB-Avoskin-Perfect-Hydrating-Treatment-Essence-Special-Edition-100ml-i.288588702.7471553889", "https://shopee.co.id/MSBB-Avoskin-Perfect-Hydrating-Treatment-Essence-Special-Edition-100ml-i.288588702.7471553889")</f>
        <v>https://shopee.co.id/MSBB-Avoskin-Perfect-Hydrating-Treatment-Essence-Special-Edition-100ml-i.288588702.7471553889</v>
      </c>
      <c r="C1436" s="6" t="s">
        <v>83</v>
      </c>
      <c r="D1436" s="6" t="s">
        <v>79</v>
      </c>
      <c r="E1436" s="6" t="s">
        <v>12</v>
      </c>
      <c r="F1436" s="6" t="s">
        <v>13</v>
      </c>
      <c r="G1436" s="6" t="s">
        <v>80</v>
      </c>
      <c r="H1436" s="8" t="s">
        <v>2446</v>
      </c>
      <c r="I1436" s="9">
        <v>1434000.0</v>
      </c>
      <c r="J1436" s="5" t="str">
        <f t="shared" ref="J1436:K1436" si="1436">SUBSTITUTE(H1436, ",", "")</f>
        <v>12</v>
      </c>
      <c r="K1436" s="5" t="str">
        <f t="shared" si="1436"/>
        <v>Rp1434000</v>
      </c>
      <c r="L1436" s="5" t="str">
        <f t="shared" si="3"/>
        <v>1434000</v>
      </c>
    </row>
    <row r="1437">
      <c r="A1437" s="6" t="s">
        <v>2495</v>
      </c>
      <c r="B1437" s="7" t="str">
        <f>HYPERLINK("https://shopee.co.id/Serum-Glowing-Seger-Snow-Moisturizing-Serum-Wajah-Pelembab-Hingga-8-Jam-15ml-i.221165466.3863913100", "https://shopee.co.id/Serum-Glowing-Seger-Snow-Moisturizing-Serum-Wajah-Pelembab-Hingga-8-Jam-15ml-i.221165466.3863913100")</f>
        <v>https://shopee.co.id/Serum-Glowing-Seger-Snow-Moisturizing-Serum-Wajah-Pelembab-Hingga-8-Jam-15ml-i.221165466.3863913100</v>
      </c>
      <c r="C1437" s="6" t="s">
        <v>2005</v>
      </c>
      <c r="D1437" s="6" t="s">
        <v>2006</v>
      </c>
      <c r="E1437" s="6" t="s">
        <v>12</v>
      </c>
      <c r="F1437" s="6" t="s">
        <v>13</v>
      </c>
      <c r="G1437" s="6" t="s">
        <v>241</v>
      </c>
      <c r="H1437" s="8" t="s">
        <v>2446</v>
      </c>
      <c r="I1437" s="9">
        <v>1.2E7</v>
      </c>
      <c r="J1437" s="5" t="str">
        <f t="shared" ref="J1437:K1437" si="1437">SUBSTITUTE(H1437, ",", "")</f>
        <v>12</v>
      </c>
      <c r="K1437" s="5" t="str">
        <f t="shared" si="1437"/>
        <v>Rp12000000</v>
      </c>
      <c r="L1437" s="5" t="str">
        <f t="shared" si="3"/>
        <v>12000000</v>
      </c>
    </row>
    <row r="1438">
      <c r="A1438" s="6" t="s">
        <v>2496</v>
      </c>
      <c r="B1438" s="7" t="str">
        <f>HYPERLINK("https://shopee.co.id/Lacoco-En-Nature-Darkspot-Essence-i.17081863.3455754630", "https://shopee.co.id/Lacoco-En-Nature-Darkspot-Essence-i.17081863.3455754630")</f>
        <v>https://shopee.co.id/Lacoco-En-Nature-Darkspot-Essence-i.17081863.3455754630</v>
      </c>
      <c r="C1438" s="6" t="s">
        <v>501</v>
      </c>
      <c r="D1438" s="6" t="s">
        <v>2497</v>
      </c>
      <c r="E1438" s="6" t="s">
        <v>12</v>
      </c>
      <c r="F1438" s="6" t="s">
        <v>13</v>
      </c>
      <c r="G1438" s="6" t="s">
        <v>21</v>
      </c>
      <c r="H1438" s="8" t="s">
        <v>2446</v>
      </c>
      <c r="I1438" s="9">
        <v>178500.0</v>
      </c>
      <c r="J1438" s="5" t="str">
        <f t="shared" ref="J1438:K1438" si="1438">SUBSTITUTE(H1438, ",", "")</f>
        <v>12</v>
      </c>
      <c r="K1438" s="5" t="str">
        <f t="shared" si="1438"/>
        <v>Rp178500</v>
      </c>
      <c r="L1438" s="5" t="str">
        <f t="shared" si="3"/>
        <v>178500</v>
      </c>
    </row>
    <row r="1439">
      <c r="A1439" s="6" t="s">
        <v>2498</v>
      </c>
      <c r="B1439" s="7" t="str">
        <f>HYPERLINK("https://shopee.co.id/V-NATURAL-Whitening-Serum-Temulawak-20ml-i.335556884.2929003490", "https://shopee.co.id/V-NATURAL-Whitening-Serum-Temulawak-20ml-i.335556884.2929003490")</f>
        <v>https://shopee.co.id/V-NATURAL-Whitening-Serum-Temulawak-20ml-i.335556884.2929003490</v>
      </c>
      <c r="C1439" s="6" t="s">
        <v>2499</v>
      </c>
      <c r="D1439" s="6" t="s">
        <v>2500</v>
      </c>
      <c r="E1439" s="6" t="s">
        <v>12</v>
      </c>
      <c r="F1439" s="6" t="s">
        <v>13</v>
      </c>
      <c r="G1439" s="6" t="s">
        <v>21</v>
      </c>
      <c r="H1439" s="8" t="s">
        <v>2446</v>
      </c>
      <c r="I1439" s="9">
        <v>5148000.0</v>
      </c>
      <c r="J1439" s="5" t="str">
        <f t="shared" ref="J1439:K1439" si="1439">SUBSTITUTE(H1439, ",", "")</f>
        <v>12</v>
      </c>
      <c r="K1439" s="5" t="str">
        <f t="shared" si="1439"/>
        <v>Rp5148000</v>
      </c>
      <c r="L1439" s="5" t="str">
        <f t="shared" si="3"/>
        <v>5148000</v>
      </c>
    </row>
    <row r="1440">
      <c r="A1440" s="6" t="s">
        <v>2501</v>
      </c>
      <c r="B1440" s="7" t="str">
        <f>HYPERLINK("https://shopee.co.id/Dsavior-Body-Whitening-Serum-Pencerah-Intan-Glowing-Tanpa-Lengket-Di-Kulit-Dengan-Aroma-Segar-BPOM-i.279468047.8239711252", "https://shopee.co.id/Dsavior-Body-Whitening-Serum-Pencerah-Intan-Glowing-Tanpa-Lengket-Di-Kulit-Dengan-Aroma-Segar-BPOM-i.279468047.8239711252")</f>
        <v>https://shopee.co.id/Dsavior-Body-Whitening-Serum-Pencerah-Intan-Glowing-Tanpa-Lengket-Di-Kulit-Dengan-Aroma-Segar-BPOM-i.279468047.8239711252</v>
      </c>
      <c r="C1440" s="6" t="s">
        <v>2502</v>
      </c>
      <c r="D1440" s="6" t="s">
        <v>2503</v>
      </c>
      <c r="E1440" s="6" t="s">
        <v>12</v>
      </c>
      <c r="F1440" s="6" t="s">
        <v>13</v>
      </c>
      <c r="G1440" s="6" t="s">
        <v>115</v>
      </c>
      <c r="H1440" s="8" t="s">
        <v>2446</v>
      </c>
      <c r="I1440" s="9">
        <v>3600000.0</v>
      </c>
      <c r="J1440" s="5" t="str">
        <f t="shared" ref="J1440:K1440" si="1440">SUBSTITUTE(H1440, ",", "")</f>
        <v>12</v>
      </c>
      <c r="K1440" s="5" t="str">
        <f t="shared" si="1440"/>
        <v>Rp3600000</v>
      </c>
      <c r="L1440" s="5" t="str">
        <f t="shared" si="3"/>
        <v>3600000</v>
      </c>
    </row>
    <row r="1441">
      <c r="A1441" s="6" t="s">
        <v>2504</v>
      </c>
      <c r="B1441" s="7" t="str">
        <f>HYPERLINK("https://shopee.co.id/Mazaya-Dermo-Anti-Aging-Serum-with-Astaxanthin-15ml-i.111075825.2835092373", "https://shopee.co.id/Mazaya-Dermo-Anti-Aging-Serum-with-Astaxanthin-15ml-i.111075825.2835092373")</f>
        <v>https://shopee.co.id/Mazaya-Dermo-Anti-Aging-Serum-with-Astaxanthin-15ml-i.111075825.2835092373</v>
      </c>
      <c r="C1441" s="6" t="s">
        <v>2196</v>
      </c>
      <c r="D1441" s="6" t="s">
        <v>2197</v>
      </c>
      <c r="E1441" s="6" t="s">
        <v>12</v>
      </c>
      <c r="F1441" s="6" t="s">
        <v>13</v>
      </c>
      <c r="G1441" s="6" t="s">
        <v>1048</v>
      </c>
      <c r="H1441" s="8" t="s">
        <v>2446</v>
      </c>
      <c r="I1441" s="9">
        <v>944400.0</v>
      </c>
      <c r="J1441" s="5" t="str">
        <f t="shared" ref="J1441:K1441" si="1441">SUBSTITUTE(H1441, ",", "")</f>
        <v>12</v>
      </c>
      <c r="K1441" s="5" t="str">
        <f t="shared" si="1441"/>
        <v>Rp944400</v>
      </c>
      <c r="L1441" s="5" t="str">
        <f t="shared" si="3"/>
        <v>944400</v>
      </c>
    </row>
    <row r="1442">
      <c r="A1442" s="6" t="s">
        <v>2505</v>
      </c>
      <c r="B1442" s="7" t="str">
        <f>HYPERLINK("https://shopee.co.id/Somethinc-Bakuchiol-Skinpair-Oil-Serum-20ml-i.825870.8832197978", "https://shopee.co.id/Somethinc-Bakuchiol-Skinpair-Oil-Serum-20ml-i.825870.8832197978")</f>
        <v>https://shopee.co.id/Somethinc-Bakuchiol-Skinpair-Oil-Serum-20ml-i.825870.8832197978</v>
      </c>
      <c r="C1442" s="6" t="s">
        <v>45</v>
      </c>
      <c r="D1442" s="6" t="s">
        <v>1184</v>
      </c>
      <c r="E1442" s="6" t="s">
        <v>12</v>
      </c>
      <c r="F1442" s="6" t="s">
        <v>13</v>
      </c>
      <c r="G1442" s="6" t="s">
        <v>21</v>
      </c>
      <c r="H1442" s="8" t="s">
        <v>2506</v>
      </c>
      <c r="I1442" s="9">
        <v>1890500.0</v>
      </c>
      <c r="J1442" s="5" t="str">
        <f t="shared" ref="J1442:K1442" si="1442">SUBSTITUTE(H1442, ",", "")</f>
        <v>11</v>
      </c>
      <c r="K1442" s="5" t="str">
        <f t="shared" si="1442"/>
        <v>Rp1890500</v>
      </c>
      <c r="L1442" s="5" t="str">
        <f t="shared" si="3"/>
        <v>1890500</v>
      </c>
    </row>
    <row r="1443">
      <c r="A1443" s="6" t="s">
        <v>2507</v>
      </c>
      <c r="B1443" s="7" t="str">
        <f>HYPERLINK("https://shopee.co.id/Nutrishe-Intensive-Bright-Glow-Serum-30ml-i.825870.5555175669", "https://shopee.co.id/Nutrishe-Intensive-Bright-Glow-Serum-30ml-i.825870.5555175669")</f>
        <v>https://shopee.co.id/Nutrishe-Intensive-Bright-Glow-Serum-30ml-i.825870.5555175669</v>
      </c>
      <c r="C1443" s="6" t="s">
        <v>195</v>
      </c>
      <c r="D1443" s="6" t="s">
        <v>1184</v>
      </c>
      <c r="E1443" s="6" t="s">
        <v>12</v>
      </c>
      <c r="F1443" s="6" t="s">
        <v>13</v>
      </c>
      <c r="G1443" s="6" t="s">
        <v>21</v>
      </c>
      <c r="H1443" s="8" t="s">
        <v>2506</v>
      </c>
      <c r="I1443" s="9">
        <v>8085000.0</v>
      </c>
      <c r="J1443" s="5" t="str">
        <f t="shared" ref="J1443:K1443" si="1443">SUBSTITUTE(H1443, ",", "")</f>
        <v>11</v>
      </c>
      <c r="K1443" s="5" t="str">
        <f t="shared" si="1443"/>
        <v>Rp8085000</v>
      </c>
      <c r="L1443" s="5" t="str">
        <f t="shared" si="3"/>
        <v>8085000</v>
      </c>
    </row>
    <row r="1444">
      <c r="A1444" s="6" t="s">
        <v>2508</v>
      </c>
      <c r="B1444" s="7" t="str">
        <f>HYPERLINK("https://shopee.co.id/Glowlabs-Gentle-Bright-Serum-Peptide-Moist-i.336869851.8870597325", "https://shopee.co.id/Glowlabs-Gentle-Bright-Serum-Peptide-Moist-i.336869851.8870597325")</f>
        <v>https://shopee.co.id/Glowlabs-Gentle-Bright-Serum-Peptide-Moist-i.336869851.8870597325</v>
      </c>
      <c r="C1444" s="6" t="s">
        <v>407</v>
      </c>
      <c r="D1444" s="6" t="s">
        <v>408</v>
      </c>
      <c r="E1444" s="6" t="s">
        <v>12</v>
      </c>
      <c r="F1444" s="6" t="s">
        <v>13</v>
      </c>
      <c r="G1444" s="6" t="s">
        <v>409</v>
      </c>
      <c r="H1444" s="8" t="s">
        <v>2506</v>
      </c>
      <c r="I1444" s="9">
        <v>3278900.0</v>
      </c>
      <c r="J1444" s="5" t="str">
        <f t="shared" ref="J1444:K1444" si="1444">SUBSTITUTE(H1444, ",", "")</f>
        <v>11</v>
      </c>
      <c r="K1444" s="5" t="str">
        <f t="shared" si="1444"/>
        <v>Rp3278900</v>
      </c>
      <c r="L1444" s="5" t="str">
        <f t="shared" si="3"/>
        <v>3278900</v>
      </c>
    </row>
    <row r="1445">
      <c r="A1445" s="6" t="s">
        <v>2509</v>
      </c>
      <c r="B1445" s="7" t="str">
        <f>HYPERLINK("https://shopee.co.id/Safi-Age-Defy-Gold-Water-Essence-30-ml-Naturals-Micellar-Water-with-Yuzu-100-ml-i.63823668.5043854650", "https://shopee.co.id/Safi-Age-Defy-Gold-Water-Essence-30-ml-Naturals-Micellar-Water-with-Yuzu-100-ml-i.63823668.5043854650")</f>
        <v>https://shopee.co.id/Safi-Age-Defy-Gold-Water-Essence-30-ml-Naturals-Micellar-Water-with-Yuzu-100-ml-i.63823668.5043854650</v>
      </c>
      <c r="C1445" s="6" t="s">
        <v>2510</v>
      </c>
      <c r="D1445" s="6" t="s">
        <v>279</v>
      </c>
      <c r="E1445" s="6" t="s">
        <v>12</v>
      </c>
      <c r="F1445" s="6" t="s">
        <v>13</v>
      </c>
      <c r="G1445" s="6" t="s">
        <v>61</v>
      </c>
      <c r="H1445" s="8" t="s">
        <v>2506</v>
      </c>
      <c r="I1445" s="9">
        <v>1833650.0</v>
      </c>
      <c r="J1445" s="5" t="str">
        <f t="shared" ref="J1445:K1445" si="1445">SUBSTITUTE(H1445, ",", "")</f>
        <v>11</v>
      </c>
      <c r="K1445" s="5" t="str">
        <f t="shared" si="1445"/>
        <v>Rp1833650</v>
      </c>
      <c r="L1445" s="5" t="str">
        <f t="shared" si="3"/>
        <v>1833650</v>
      </c>
    </row>
    <row r="1446">
      <c r="A1446" s="6" t="s">
        <v>2511</v>
      </c>
      <c r="B1446" s="7" t="str">
        <f>HYPERLINK("https://shopee.co.id/Facial-Wash-Acne-Marwah-Skin-Care-i.357101711.8438123881", "https://shopee.co.id/Facial-Wash-Acne-Marwah-Skin-Care-i.357101711.8438123881")</f>
        <v>https://shopee.co.id/Facial-Wash-Acne-Marwah-Skin-Care-i.357101711.8438123881</v>
      </c>
      <c r="C1446" s="6" t="s">
        <v>2249</v>
      </c>
      <c r="D1446" s="6" t="s">
        <v>2250</v>
      </c>
      <c r="E1446" s="6" t="s">
        <v>12</v>
      </c>
      <c r="F1446" s="6" t="s">
        <v>13</v>
      </c>
      <c r="G1446" s="6" t="s">
        <v>370</v>
      </c>
      <c r="H1446" s="8" t="s">
        <v>2506</v>
      </c>
      <c r="I1446" s="9">
        <v>1039500.0</v>
      </c>
      <c r="J1446" s="5" t="str">
        <f t="shared" ref="J1446:K1446" si="1446">SUBSTITUTE(H1446, ",", "")</f>
        <v>11</v>
      </c>
      <c r="K1446" s="5" t="str">
        <f t="shared" si="1446"/>
        <v>Rp1039500</v>
      </c>
      <c r="L1446" s="5" t="str">
        <f t="shared" si="3"/>
        <v>1039500</v>
      </c>
    </row>
    <row r="1447">
      <c r="A1447" s="6" t="s">
        <v>2512</v>
      </c>
      <c r="B1447" s="7" t="str">
        <f>HYPERLINK("https://shopee.co.id/Glowlabs-Glo-C-Gang-Gentle-Exfoliator-Essence-Vit-C-Serum-Acne-Prone-Moisturizer--i.336869851.9409196074", "https://shopee.co.id/Glowlabs-Glo-C-Gang-Gentle-Exfoliator-Essence-Vit-C-Serum-Acne-Prone-Moisturizer--i.336869851.9409196074")</f>
        <v>https://shopee.co.id/Glowlabs-Glo-C-Gang-Gentle-Exfoliator-Essence-Vit-C-Serum-Acne-Prone-Moisturizer--i.336869851.9409196074</v>
      </c>
      <c r="C1447" s="6" t="s">
        <v>407</v>
      </c>
      <c r="D1447" s="6" t="s">
        <v>408</v>
      </c>
      <c r="E1447" s="6" t="s">
        <v>12</v>
      </c>
      <c r="F1447" s="6" t="s">
        <v>13</v>
      </c>
      <c r="G1447" s="6" t="s">
        <v>409</v>
      </c>
      <c r="H1447" s="8" t="s">
        <v>2506</v>
      </c>
      <c r="I1447" s="9">
        <v>462000.0</v>
      </c>
      <c r="J1447" s="5" t="str">
        <f t="shared" ref="J1447:K1447" si="1447">SUBSTITUTE(H1447, ",", "")</f>
        <v>11</v>
      </c>
      <c r="K1447" s="5" t="str">
        <f t="shared" si="1447"/>
        <v>Rp462000</v>
      </c>
      <c r="L1447" s="5" t="str">
        <f t="shared" si="3"/>
        <v>462000</v>
      </c>
    </row>
    <row r="1448">
      <c r="A1448" s="6" t="s">
        <v>2513</v>
      </c>
      <c r="B1448" s="7" t="str">
        <f>HYPERLINK("https://shopee.co.id/Roro-Mendut-Red-Algae-Hyaluronic-Acid-B5-Serum-i.87869551.4867756649", "https://shopee.co.id/Roro-Mendut-Red-Algae-Hyaluronic-Acid-B5-Serum-i.87869551.4867756649")</f>
        <v>https://shopee.co.id/Roro-Mendut-Red-Algae-Hyaluronic-Acid-B5-Serum-i.87869551.4867756649</v>
      </c>
      <c r="C1448" s="6" t="s">
        <v>1526</v>
      </c>
      <c r="D1448" s="6" t="s">
        <v>1527</v>
      </c>
      <c r="E1448" s="6" t="s">
        <v>12</v>
      </c>
      <c r="F1448" s="6" t="s">
        <v>13</v>
      </c>
      <c r="G1448" s="6" t="s">
        <v>380</v>
      </c>
      <c r="H1448" s="8" t="s">
        <v>2506</v>
      </c>
      <c r="I1448" s="9">
        <v>247925.0</v>
      </c>
      <c r="J1448" s="5" t="str">
        <f t="shared" ref="J1448:K1448" si="1448">SUBSTITUTE(H1448, ",", "")</f>
        <v>11</v>
      </c>
      <c r="K1448" s="5" t="str">
        <f t="shared" si="1448"/>
        <v>Rp247925</v>
      </c>
      <c r="L1448" s="5" t="str">
        <f t="shared" si="3"/>
        <v>247925</v>
      </c>
    </row>
    <row r="1449">
      <c r="A1449" s="6" t="s">
        <v>2514</v>
      </c>
      <c r="B1449" s="7" t="str">
        <f>HYPERLINK("https://shopee.co.id/Serum-Nature-Reaction-Crystal-Bright-Serum-Pencerah-Wajah-Glowing-dan-Bebas-Jerawat-Flek-Hitam-i.375565670.10126471077", "https://shopee.co.id/Serum-Nature-Reaction-Crystal-Bright-Serum-Pencerah-Wajah-Glowing-dan-Bebas-Jerawat-Flek-Hitam-i.375565670.10126471077")</f>
        <v>https://shopee.co.id/Serum-Nature-Reaction-Crystal-Bright-Serum-Pencerah-Wajah-Glowing-dan-Bebas-Jerawat-Flek-Hitam-i.375565670.10126471077</v>
      </c>
      <c r="C1449" s="6" t="s">
        <v>530</v>
      </c>
      <c r="D1449" s="6" t="s">
        <v>531</v>
      </c>
      <c r="E1449" s="6" t="s">
        <v>12</v>
      </c>
      <c r="F1449" s="6" t="s">
        <v>13</v>
      </c>
      <c r="G1449" s="6" t="s">
        <v>532</v>
      </c>
      <c r="H1449" s="8" t="s">
        <v>2506</v>
      </c>
      <c r="I1449" s="9">
        <v>453700.0</v>
      </c>
      <c r="J1449" s="5" t="str">
        <f t="shared" ref="J1449:K1449" si="1449">SUBSTITUTE(H1449, ",", "")</f>
        <v>11</v>
      </c>
      <c r="K1449" s="5" t="str">
        <f t="shared" si="1449"/>
        <v>Rp453700</v>
      </c>
      <c r="L1449" s="5" t="str">
        <f t="shared" si="3"/>
        <v>453700</v>
      </c>
    </row>
    <row r="1450">
      <c r="A1450" s="6" t="s">
        <v>2515</v>
      </c>
      <c r="B1450" s="7" t="str">
        <f>HYPERLINK("https://shopee.co.id/Gloskin-White-C-Expert-Serum-i.206769167.9742513386", "https://shopee.co.id/Gloskin-White-C-Expert-Serum-i.206769167.9742513386")</f>
        <v>https://shopee.co.id/Gloskin-White-C-Expert-Serum-i.206769167.9742513386</v>
      </c>
      <c r="C1450" s="6" t="s">
        <v>2516</v>
      </c>
      <c r="D1450" s="6" t="s">
        <v>2257</v>
      </c>
      <c r="E1450" s="6" t="s">
        <v>12</v>
      </c>
      <c r="F1450" s="6" t="s">
        <v>13</v>
      </c>
      <c r="G1450" s="6" t="s">
        <v>98</v>
      </c>
      <c r="H1450" s="8" t="s">
        <v>2506</v>
      </c>
      <c r="I1450" s="9">
        <v>1652000.0</v>
      </c>
      <c r="J1450" s="5" t="str">
        <f t="shared" ref="J1450:K1450" si="1450">SUBSTITUTE(H1450, ",", "")</f>
        <v>11</v>
      </c>
      <c r="K1450" s="5" t="str">
        <f t="shared" si="1450"/>
        <v>Rp1652000</v>
      </c>
      <c r="L1450" s="5" t="str">
        <f t="shared" si="3"/>
        <v>1652000</v>
      </c>
    </row>
    <row r="1451">
      <c r="A1451" s="6" t="s">
        <v>2517</v>
      </c>
      <c r="B1451" s="7" t="str">
        <f>HYPERLINK("https://shopee.co.id/Azarine-Anti-Acne-Brightening-Serum-20ml-i.50948181.3382563819", "https://shopee.co.id/Azarine-Anti-Acne-Brightening-Serum-20ml-i.50948181.3382563819")</f>
        <v>https://shopee.co.id/Azarine-Anti-Acne-Brightening-Serum-20ml-i.50948181.3382563819</v>
      </c>
      <c r="C1451" s="6" t="s">
        <v>233</v>
      </c>
      <c r="D1451" s="6" t="s">
        <v>1129</v>
      </c>
      <c r="E1451" s="6" t="s">
        <v>12</v>
      </c>
      <c r="F1451" s="6" t="s">
        <v>13</v>
      </c>
      <c r="G1451" s="6" t="s">
        <v>1130</v>
      </c>
      <c r="H1451" s="8" t="s">
        <v>2506</v>
      </c>
      <c r="I1451" s="9">
        <v>2293600.0</v>
      </c>
      <c r="J1451" s="5" t="str">
        <f t="shared" ref="J1451:K1451" si="1451">SUBSTITUTE(H1451, ",", "")</f>
        <v>11</v>
      </c>
      <c r="K1451" s="5" t="str">
        <f t="shared" si="1451"/>
        <v>Rp2293600</v>
      </c>
      <c r="L1451" s="5" t="str">
        <f t="shared" si="3"/>
        <v>2293600</v>
      </c>
    </row>
    <row r="1452">
      <c r="A1452" s="6" t="s">
        <v>2518</v>
      </c>
      <c r="B1452" s="7" t="str">
        <f>HYPERLINK("https://shopee.co.id/KLAIRS-Midnight-Blue-Youth-Activating-Drop-Serum-20ml-i.68111.315858216", "https://shopee.co.id/KLAIRS-Midnight-Blue-Youth-Activating-Drop-Serum-20ml-i.68111.315858216")</f>
        <v>https://shopee.co.id/KLAIRS-Midnight-Blue-Youth-Activating-Drop-Serum-20ml-i.68111.315858216</v>
      </c>
      <c r="C1452" s="6" t="s">
        <v>432</v>
      </c>
      <c r="D1452" s="6" t="s">
        <v>441</v>
      </c>
      <c r="E1452" s="6" t="s">
        <v>12</v>
      </c>
      <c r="F1452" s="6" t="s">
        <v>13</v>
      </c>
      <c r="G1452" s="6" t="s">
        <v>130</v>
      </c>
      <c r="H1452" s="8" t="s">
        <v>2506</v>
      </c>
      <c r="I1452" s="9">
        <v>3561500.0</v>
      </c>
      <c r="J1452" s="5" t="str">
        <f t="shared" ref="J1452:K1452" si="1452">SUBSTITUTE(H1452, ",", "")</f>
        <v>11</v>
      </c>
      <c r="K1452" s="5" t="str">
        <f t="shared" si="1452"/>
        <v>Rp3561500</v>
      </c>
      <c r="L1452" s="5" t="str">
        <f t="shared" si="3"/>
        <v>3561500</v>
      </c>
    </row>
    <row r="1453">
      <c r="A1453" s="6" t="s">
        <v>2519</v>
      </c>
      <c r="B1453" s="7" t="str">
        <f>HYPERLINK("https://shopee.co.id/Somethinc-5-Niacinamide-Barrier-Serum-20ml-40ml-i.50948181.5297764675", "https://shopee.co.id/Somethinc-5-Niacinamide-Barrier-Serum-20ml-40ml-i.50948181.5297764675")</f>
        <v>https://shopee.co.id/Somethinc-5-Niacinamide-Barrier-Serum-20ml-40ml-i.50948181.5297764675</v>
      </c>
      <c r="C1453" s="6" t="s">
        <v>45</v>
      </c>
      <c r="D1453" s="6" t="s">
        <v>1129</v>
      </c>
      <c r="E1453" s="6" t="s">
        <v>12</v>
      </c>
      <c r="F1453" s="6" t="s">
        <v>13</v>
      </c>
      <c r="G1453" s="6" t="s">
        <v>1130</v>
      </c>
      <c r="H1453" s="8" t="s">
        <v>2506</v>
      </c>
      <c r="I1453" s="9">
        <v>3948930.0</v>
      </c>
      <c r="J1453" s="5" t="str">
        <f t="shared" ref="J1453:K1453" si="1453">SUBSTITUTE(H1453, ",", "")</f>
        <v>11</v>
      </c>
      <c r="K1453" s="5" t="str">
        <f t="shared" si="1453"/>
        <v>Rp3948930</v>
      </c>
      <c r="L1453" s="5" t="str">
        <f t="shared" si="3"/>
        <v>3948930</v>
      </c>
    </row>
    <row r="1454">
      <c r="A1454" s="6" t="s">
        <v>2520</v>
      </c>
      <c r="B1454" s="7" t="str">
        <f>HYPERLINK("https://shopee.co.id/Beauty-Package-Hyaluronic-Acid-Ceramide-Serum-i.124549994.9484554293", "https://shopee.co.id/Beauty-Package-Hyaluronic-Acid-Ceramide-Serum-i.124549994.9484554293")</f>
        <v>https://shopee.co.id/Beauty-Package-Hyaluronic-Acid-Ceramide-Serum-i.124549994.9484554293</v>
      </c>
      <c r="C1454" s="6" t="s">
        <v>807</v>
      </c>
      <c r="D1454" s="6" t="s">
        <v>808</v>
      </c>
      <c r="E1454" s="6" t="s">
        <v>12</v>
      </c>
      <c r="F1454" s="6" t="s">
        <v>13</v>
      </c>
      <c r="G1454" s="6" t="s">
        <v>61</v>
      </c>
      <c r="H1454" s="8" t="s">
        <v>2506</v>
      </c>
      <c r="I1454" s="9">
        <v>2959600.0</v>
      </c>
      <c r="J1454" s="5" t="str">
        <f t="shared" ref="J1454:K1454" si="1454">SUBSTITUTE(H1454, ",", "")</f>
        <v>11</v>
      </c>
      <c r="K1454" s="5" t="str">
        <f t="shared" si="1454"/>
        <v>Rp2959600</v>
      </c>
      <c r="L1454" s="5" t="str">
        <f t="shared" si="3"/>
        <v>2959600</v>
      </c>
    </row>
    <row r="1455">
      <c r="A1455" s="6" t="s">
        <v>2521</v>
      </c>
      <c r="B1455" s="7" t="str">
        <f>HYPERLINK("https://shopee.co.id/Dermies-Clear-Me-Acne-Control-Serum-15-ml-Serum-untuk-kulit-berminyak-dan-acne-prone-i.260681089.11332611812", "https://shopee.co.id/Dermies-Clear-Me-Acne-Control-Serum-15-ml-Serum-untuk-kulit-berminyak-dan-acne-prone-i.260681089.11332611812")</f>
        <v>https://shopee.co.id/Dermies-Clear-Me-Acne-Control-Serum-15-ml-Serum-untuk-kulit-berminyak-dan-acne-prone-i.260681089.11332611812</v>
      </c>
      <c r="C1455" s="6" t="s">
        <v>2456</v>
      </c>
      <c r="D1455" s="6" t="s">
        <v>2457</v>
      </c>
      <c r="E1455" s="6" t="s">
        <v>12</v>
      </c>
      <c r="F1455" s="6" t="s">
        <v>13</v>
      </c>
      <c r="G1455" s="6" t="s">
        <v>241</v>
      </c>
      <c r="H1455" s="8" t="s">
        <v>2506</v>
      </c>
      <c r="I1455" s="9">
        <v>1199000.0</v>
      </c>
      <c r="J1455" s="5" t="str">
        <f t="shared" ref="J1455:K1455" si="1455">SUBSTITUTE(H1455, ",", "")</f>
        <v>11</v>
      </c>
      <c r="K1455" s="5" t="str">
        <f t="shared" si="1455"/>
        <v>Rp1199000</v>
      </c>
      <c r="L1455" s="5" t="str">
        <f t="shared" si="3"/>
        <v>1199000</v>
      </c>
    </row>
    <row r="1456">
      <c r="A1456" s="6" t="s">
        <v>2522</v>
      </c>
      <c r="B1456" s="7" t="str">
        <f>HYPERLINK("https://shopee.co.id/Frudia-Blueberry-Hydrating-Serum-SACHET-isi-10-pcs-i.98124209.8926108980", "https://shopee.co.id/Frudia-Blueberry-Hydrating-Serum-SACHET-isi-10-pcs-i.98124209.8926108980")</f>
        <v>https://shopee.co.id/Frudia-Blueberry-Hydrating-Serum-SACHET-isi-10-pcs-i.98124209.8926108980</v>
      </c>
      <c r="C1456" s="6" t="s">
        <v>790</v>
      </c>
      <c r="D1456" s="6" t="s">
        <v>791</v>
      </c>
      <c r="E1456" s="6" t="s">
        <v>12</v>
      </c>
      <c r="F1456" s="6" t="s">
        <v>13</v>
      </c>
      <c r="G1456" s="6" t="s">
        <v>85</v>
      </c>
      <c r="H1456" s="8" t="s">
        <v>2506</v>
      </c>
      <c r="I1456" s="9">
        <v>681300.0</v>
      </c>
      <c r="J1456" s="5" t="str">
        <f t="shared" ref="J1456:K1456" si="1456">SUBSTITUTE(H1456, ",", "")</f>
        <v>11</v>
      </c>
      <c r="K1456" s="5" t="str">
        <f t="shared" si="1456"/>
        <v>Rp681300</v>
      </c>
      <c r="L1456" s="5" t="str">
        <f t="shared" si="3"/>
        <v>681300</v>
      </c>
    </row>
    <row r="1457">
      <c r="A1457" s="6" t="s">
        <v>2523</v>
      </c>
      <c r="B1457" s="7" t="str">
        <f>HYPERLINK("https://shopee.co.id/Whitelab-Peeling-Serum-AHA-BHA-PHA-15ml-i.136011044.9620429114", "https://shopee.co.id/Whitelab-Peeling-Serum-AHA-BHA-PHA-15ml-i.136011044.9620429114")</f>
        <v>https://shopee.co.id/Whitelab-Peeling-Serum-AHA-BHA-PHA-15ml-i.136011044.9620429114</v>
      </c>
      <c r="C1457" s="6" t="s">
        <v>59</v>
      </c>
      <c r="D1457" s="6" t="s">
        <v>632</v>
      </c>
      <c r="E1457" s="6" t="s">
        <v>12</v>
      </c>
      <c r="F1457" s="6" t="s">
        <v>13</v>
      </c>
      <c r="G1457" s="6" t="s">
        <v>21</v>
      </c>
      <c r="H1457" s="8" t="s">
        <v>2506</v>
      </c>
      <c r="I1457" s="9">
        <v>869000.0</v>
      </c>
      <c r="J1457" s="5" t="str">
        <f t="shared" ref="J1457:K1457" si="1457">SUBSTITUTE(H1457, ",", "")</f>
        <v>11</v>
      </c>
      <c r="K1457" s="5" t="str">
        <f t="shared" si="1457"/>
        <v>Rp869000</v>
      </c>
      <c r="L1457" s="5" t="str">
        <f t="shared" si="3"/>
        <v>869000</v>
      </c>
    </row>
    <row r="1458">
      <c r="A1458" s="6" t="s">
        <v>2524</v>
      </c>
      <c r="B1458" s="7" t="str">
        <f>HYPERLINK("https://shopee.co.id/Natasha-by-dr-Fredi-Setyawan-Moist-Skin-Barrier-AQP-Serum-i.40121814.5215101958", "https://shopee.co.id/Natasha-by-dr-Fredi-Setyawan-Moist-Skin-Barrier-AQP-Serum-i.40121814.5215101958")</f>
        <v>https://shopee.co.id/Natasha-by-dr-Fredi-Setyawan-Moist-Skin-Barrier-AQP-Serum-i.40121814.5215101958</v>
      </c>
      <c r="C1458" s="6" t="s">
        <v>1752</v>
      </c>
      <c r="D1458" s="6" t="s">
        <v>794</v>
      </c>
      <c r="E1458" s="6" t="s">
        <v>12</v>
      </c>
      <c r="F1458" s="6" t="s">
        <v>13</v>
      </c>
      <c r="G1458" s="6" t="s">
        <v>380</v>
      </c>
      <c r="H1458" s="8" t="s">
        <v>2506</v>
      </c>
      <c r="I1458" s="9">
        <v>2760000.0</v>
      </c>
      <c r="J1458" s="5" t="str">
        <f t="shared" ref="J1458:K1458" si="1458">SUBSTITUTE(H1458, ",", "")</f>
        <v>11</v>
      </c>
      <c r="K1458" s="5" t="str">
        <f t="shared" si="1458"/>
        <v>Rp2760000</v>
      </c>
      <c r="L1458" s="5" t="str">
        <f t="shared" si="3"/>
        <v>2760000</v>
      </c>
    </row>
    <row r="1459">
      <c r="A1459" s="6" t="s">
        <v>2525</v>
      </c>
      <c r="B1459" s="7" t="str">
        <f>HYPERLINK("https://shopee.co.id/Bio-Essence-Bio-Renew-Deep-Cleanser-100-gr-Foam-Cleanser-i.63822287.1222599282", "https://shopee.co.id/Bio-Essence-Bio-Renew-Deep-Cleanser-100-gr-Foam-Cleanser-i.63822287.1222599282")</f>
        <v>https://shopee.co.id/Bio-Essence-Bio-Renew-Deep-Cleanser-100-gr-Foam-Cleanser-i.63822287.1222599282</v>
      </c>
      <c r="C1459" s="6" t="s">
        <v>1254</v>
      </c>
      <c r="D1459" s="6" t="s">
        <v>835</v>
      </c>
      <c r="E1459" s="6" t="s">
        <v>12</v>
      </c>
      <c r="F1459" s="6" t="s">
        <v>13</v>
      </c>
      <c r="G1459" s="6" t="s">
        <v>61</v>
      </c>
      <c r="H1459" s="8" t="s">
        <v>2506</v>
      </c>
      <c r="I1459" s="9">
        <v>2959500.0</v>
      </c>
      <c r="J1459" s="5" t="str">
        <f t="shared" ref="J1459:K1459" si="1459">SUBSTITUTE(H1459, ",", "")</f>
        <v>11</v>
      </c>
      <c r="K1459" s="5" t="str">
        <f t="shared" si="1459"/>
        <v>Rp2959500</v>
      </c>
      <c r="L1459" s="5" t="str">
        <f t="shared" si="3"/>
        <v>2959500</v>
      </c>
    </row>
    <row r="1460">
      <c r="A1460" s="6" t="s">
        <v>2526</v>
      </c>
      <c r="B1460" s="7" t="str">
        <f>HYPERLINK("https://shopee.co.id/Dear-Me-Beauty-10-Niacinamide-Watermelon-Extract-Face-Serum-i.270965687.11706237257", "https://shopee.co.id/Dear-Me-Beauty-10-Niacinamide-Watermelon-Extract-Face-Serum-i.270965687.11706237257")</f>
        <v>https://shopee.co.id/Dear-Me-Beauty-10-Niacinamide-Watermelon-Extract-Face-Serum-i.270965687.11706237257</v>
      </c>
      <c r="C1460" s="6" t="s">
        <v>70</v>
      </c>
      <c r="D1460" s="6" t="s">
        <v>379</v>
      </c>
      <c r="E1460" s="6" t="s">
        <v>12</v>
      </c>
      <c r="F1460" s="6" t="s">
        <v>13</v>
      </c>
      <c r="G1460" s="6" t="s">
        <v>380</v>
      </c>
      <c r="H1460" s="8" t="s">
        <v>2506</v>
      </c>
      <c r="I1460" s="9">
        <v>1103200.0</v>
      </c>
      <c r="J1460" s="5" t="str">
        <f t="shared" ref="J1460:K1460" si="1460">SUBSTITUTE(H1460, ",", "")</f>
        <v>11</v>
      </c>
      <c r="K1460" s="5" t="str">
        <f t="shared" si="1460"/>
        <v>Rp1103200</v>
      </c>
      <c r="L1460" s="5" t="str">
        <f t="shared" si="3"/>
        <v>1103200</v>
      </c>
    </row>
    <row r="1461">
      <c r="A1461" s="6" t="s">
        <v>2527</v>
      </c>
      <c r="B1461" s="7" t="str">
        <f>HYPERLINK("https://shopee.co.id/Bio-Essence-Bio-White-Tanaka-Camelia-Advanced-Whitening-Cleanser-100gr-i.186214521.4331719283", "https://shopee.co.id/Bio-Essence-Bio-White-Tanaka-Camelia-Advanced-Whitening-Cleanser-100gr-i.186214521.4331719283")</f>
        <v>https://shopee.co.id/Bio-Essence-Bio-White-Tanaka-Camelia-Advanced-Whitening-Cleanser-100gr-i.186214521.4331719283</v>
      </c>
      <c r="C1461" s="6" t="s">
        <v>2528</v>
      </c>
      <c r="D1461" s="6" t="s">
        <v>2293</v>
      </c>
      <c r="E1461" s="6" t="s">
        <v>12</v>
      </c>
      <c r="F1461" s="6" t="s">
        <v>13</v>
      </c>
      <c r="G1461" s="6" t="s">
        <v>61</v>
      </c>
      <c r="H1461" s="8" t="s">
        <v>2506</v>
      </c>
      <c r="I1461" s="9">
        <v>2550800.0</v>
      </c>
      <c r="J1461" s="5" t="str">
        <f t="shared" ref="J1461:K1461" si="1461">SUBSTITUTE(H1461, ",", "")</f>
        <v>11</v>
      </c>
      <c r="K1461" s="5" t="str">
        <f t="shared" si="1461"/>
        <v>Rp2550800</v>
      </c>
      <c r="L1461" s="5" t="str">
        <f t="shared" si="3"/>
        <v>2550800</v>
      </c>
    </row>
    <row r="1462">
      <c r="A1462" s="6" t="s">
        <v>2529</v>
      </c>
      <c r="B1462" s="7" t="str">
        <f>HYPERLINK("https://shopee.co.id/MSBB-Jarte-Cica-Care-Ampoule-i.288588702.8513285892", "https://shopee.co.id/MSBB-Jarte-Cica-Care-Ampoule-i.288588702.8513285892")</f>
        <v>https://shopee.co.id/MSBB-Jarte-Cica-Care-Ampoule-i.288588702.8513285892</v>
      </c>
      <c r="C1462" s="6" t="s">
        <v>78</v>
      </c>
      <c r="D1462" s="6" t="s">
        <v>79</v>
      </c>
      <c r="E1462" s="6" t="s">
        <v>12</v>
      </c>
      <c r="F1462" s="6" t="s">
        <v>13</v>
      </c>
      <c r="G1462" s="6" t="s">
        <v>80</v>
      </c>
      <c r="H1462" s="8" t="s">
        <v>2506</v>
      </c>
      <c r="I1462" s="9">
        <v>541200.0</v>
      </c>
      <c r="J1462" s="5" t="str">
        <f t="shared" ref="J1462:K1462" si="1462">SUBSTITUTE(H1462, ",", "")</f>
        <v>11</v>
      </c>
      <c r="K1462" s="5" t="str">
        <f t="shared" si="1462"/>
        <v>Rp541200</v>
      </c>
      <c r="L1462" s="5" t="str">
        <f t="shared" si="3"/>
        <v>541200</v>
      </c>
    </row>
    <row r="1463">
      <c r="A1463" s="6" t="s">
        <v>2530</v>
      </c>
      <c r="B1463" s="7" t="str">
        <f>HYPERLINK("https://shopee.co.id/-Isi-2-Hanasui-Anti-Acne-Serum-20ml-PINK-Serum-Wajah-Obat-Jerawat-i.114789399.2657573822", "https://shopee.co.id/-Isi-2-Hanasui-Anti-Acne-Serum-20ml-PINK-Serum-Wajah-Obat-Jerawat-i.114789399.2657573822")</f>
        <v>https://shopee.co.id/-Isi-2-Hanasui-Anti-Acne-Serum-20ml-PINK-Serum-Wajah-Obat-Jerawat-i.114789399.2657573822</v>
      </c>
      <c r="C1463" s="6" t="s">
        <v>784</v>
      </c>
      <c r="D1463" s="6" t="s">
        <v>2531</v>
      </c>
      <c r="E1463" s="6" t="s">
        <v>12</v>
      </c>
      <c r="F1463" s="6" t="s">
        <v>13</v>
      </c>
      <c r="G1463" s="6" t="s">
        <v>36</v>
      </c>
      <c r="H1463" s="8" t="s">
        <v>2506</v>
      </c>
      <c r="I1463" s="9">
        <v>1516800.0</v>
      </c>
      <c r="J1463" s="5" t="str">
        <f t="shared" ref="J1463:K1463" si="1463">SUBSTITUTE(H1463, ",", "")</f>
        <v>11</v>
      </c>
      <c r="K1463" s="5" t="str">
        <f t="shared" si="1463"/>
        <v>Rp1516800</v>
      </c>
      <c r="L1463" s="5" t="str">
        <f t="shared" si="3"/>
        <v>1516800</v>
      </c>
    </row>
    <row r="1464">
      <c r="A1464" s="6" t="s">
        <v>2532</v>
      </c>
      <c r="B1464" s="7" t="str">
        <f>HYPERLINK("https://shopee.co.id/INGENIA-Intense-Radiance-Gold-Serum-Eventone-Series--i.175299555.2912596624", "https://shopee.co.id/INGENIA-Intense-Radiance-Gold-Serum-Eventone-Series--i.175299555.2912596624")</f>
        <v>https://shopee.co.id/INGENIA-Intense-Radiance-Gold-Serum-Eventone-Series--i.175299555.2912596624</v>
      </c>
      <c r="C1464" s="6" t="s">
        <v>2533</v>
      </c>
      <c r="D1464" s="6" t="s">
        <v>2534</v>
      </c>
      <c r="E1464" s="6" t="s">
        <v>12</v>
      </c>
      <c r="F1464" s="6" t="s">
        <v>13</v>
      </c>
      <c r="G1464" s="6" t="s">
        <v>1314</v>
      </c>
      <c r="H1464" s="8" t="s">
        <v>2506</v>
      </c>
      <c r="I1464" s="9">
        <v>1887600.0</v>
      </c>
      <c r="J1464" s="5" t="str">
        <f t="shared" ref="J1464:K1464" si="1464">SUBSTITUTE(H1464, ",", "")</f>
        <v>11</v>
      </c>
      <c r="K1464" s="5" t="str">
        <f t="shared" si="1464"/>
        <v>Rp1887600</v>
      </c>
      <c r="L1464" s="5" t="str">
        <f t="shared" si="3"/>
        <v>1887600</v>
      </c>
    </row>
    <row r="1465">
      <c r="A1465" s="6" t="s">
        <v>2535</v>
      </c>
      <c r="B1465" s="7" t="str">
        <f>HYPERLINK("https://shopee.co.id/Swissvita-Dark-Spot-Correcting-Serum-VitaBtech-Trial-Size-i.29252724.2596134104", "https://shopee.co.id/Swissvita-Dark-Spot-Correcting-Serum-VitaBtech-Trial-Size-i.29252724.2596134104")</f>
        <v>https://shopee.co.id/Swissvita-Dark-Spot-Correcting-Serum-VitaBtech-Trial-Size-i.29252724.2596134104</v>
      </c>
      <c r="C1465" s="6" t="s">
        <v>2536</v>
      </c>
      <c r="D1465" s="6" t="s">
        <v>2537</v>
      </c>
      <c r="E1465" s="6" t="s">
        <v>12</v>
      </c>
      <c r="F1465" s="6" t="s">
        <v>13</v>
      </c>
      <c r="G1465" s="6" t="s">
        <v>61</v>
      </c>
      <c r="H1465" s="8" t="s">
        <v>2506</v>
      </c>
      <c r="I1465" s="9">
        <v>2200000.0</v>
      </c>
      <c r="J1465" s="5" t="str">
        <f t="shared" ref="J1465:K1465" si="1465">SUBSTITUTE(H1465, ",", "")</f>
        <v>11</v>
      </c>
      <c r="K1465" s="5" t="str">
        <f t="shared" si="1465"/>
        <v>Rp2200000</v>
      </c>
      <c r="L1465" s="5" t="str">
        <f t="shared" si="3"/>
        <v>2200000</v>
      </c>
    </row>
    <row r="1466">
      <c r="A1466" s="6" t="s">
        <v>2538</v>
      </c>
      <c r="B1466" s="7" t="str">
        <f>HYPERLINK("https://shopee.co.id/Whitelab-Serum-Brightening-Acne-Peeling-Intensive-Care-i.50948181.8470771126", "https://shopee.co.id/Whitelab-Serum-Brightening-Acne-Peeling-Intensive-Care-i.50948181.8470771126")</f>
        <v>https://shopee.co.id/Whitelab-Serum-Brightening-Acne-Peeling-Intensive-Care-i.50948181.8470771126</v>
      </c>
      <c r="C1466" s="6" t="s">
        <v>59</v>
      </c>
      <c r="D1466" s="6" t="s">
        <v>1129</v>
      </c>
      <c r="E1466" s="6" t="s">
        <v>12</v>
      </c>
      <c r="F1466" s="6" t="s">
        <v>13</v>
      </c>
      <c r="G1466" s="6" t="s">
        <v>1130</v>
      </c>
      <c r="H1466" s="8" t="s">
        <v>2506</v>
      </c>
      <c r="I1466" s="9">
        <v>2412000.0</v>
      </c>
      <c r="J1466" s="5" t="str">
        <f t="shared" ref="J1466:K1466" si="1466">SUBSTITUTE(H1466, ",", "")</f>
        <v>11</v>
      </c>
      <c r="K1466" s="5" t="str">
        <f t="shared" si="1466"/>
        <v>Rp2412000</v>
      </c>
      <c r="L1466" s="5" t="str">
        <f t="shared" si="3"/>
        <v>2412000</v>
      </c>
    </row>
    <row r="1467">
      <c r="A1467" s="6" t="s">
        <v>2539</v>
      </c>
      <c r="B1467" s="7" t="str">
        <f>HYPERLINK("https://shopee.co.id/Somethinc-5-Niacinamide-Barrier-Serum-i.10689.7191306139", "https://shopee.co.id/Somethinc-5-Niacinamide-Barrier-Serum-i.10689.7191306139")</f>
        <v>https://shopee.co.id/Somethinc-5-Niacinamide-Barrier-Serum-i.10689.7191306139</v>
      </c>
      <c r="C1467" s="6" t="s">
        <v>45</v>
      </c>
      <c r="D1467" s="6" t="s">
        <v>745</v>
      </c>
      <c r="E1467" s="6" t="s">
        <v>12</v>
      </c>
      <c r="F1467" s="6" t="s">
        <v>13</v>
      </c>
      <c r="G1467" s="6" t="s">
        <v>61</v>
      </c>
      <c r="H1467" s="8" t="s">
        <v>2506</v>
      </c>
      <c r="I1467" s="9">
        <v>1870500.0</v>
      </c>
      <c r="J1467" s="5" t="str">
        <f t="shared" ref="J1467:K1467" si="1467">SUBSTITUTE(H1467, ",", "")</f>
        <v>11</v>
      </c>
      <c r="K1467" s="5" t="str">
        <f t="shared" si="1467"/>
        <v>Rp1870500</v>
      </c>
      <c r="L1467" s="5" t="str">
        <f t="shared" si="3"/>
        <v>1870500</v>
      </c>
    </row>
    <row r="1468">
      <c r="A1468" s="6" t="s">
        <v>2540</v>
      </c>
      <c r="B1468" s="7" t="str">
        <f>HYPERLINK("https://shopee.co.id/Babor-Dr-Babor-Daily-Bright-Serum-50ml-i.131188140.8400275870", "https://shopee.co.id/Babor-Dr-Babor-Daily-Bright-Serum-50ml-i.131188140.8400275870")</f>
        <v>https://shopee.co.id/Babor-Dr-Babor-Daily-Bright-Serum-50ml-i.131188140.8400275870</v>
      </c>
      <c r="C1468" s="6" t="s">
        <v>1433</v>
      </c>
      <c r="D1468" s="6" t="s">
        <v>1434</v>
      </c>
      <c r="E1468" s="6" t="s">
        <v>12</v>
      </c>
      <c r="F1468" s="6" t="s">
        <v>13</v>
      </c>
      <c r="G1468" s="6" t="s">
        <v>61</v>
      </c>
      <c r="H1468" s="8" t="s">
        <v>2506</v>
      </c>
      <c r="I1468" s="9">
        <v>1074150.0</v>
      </c>
      <c r="J1468" s="5" t="str">
        <f t="shared" ref="J1468:K1468" si="1468">SUBSTITUTE(H1468, ",", "")</f>
        <v>11</v>
      </c>
      <c r="K1468" s="5" t="str">
        <f t="shared" si="1468"/>
        <v>Rp1074150</v>
      </c>
      <c r="L1468" s="5" t="str">
        <f t="shared" si="3"/>
        <v>1074150</v>
      </c>
    </row>
    <row r="1469">
      <c r="A1469" s="6" t="s">
        <v>2541</v>
      </c>
      <c r="B1469" s="7" t="str">
        <f>HYPERLINK("https://shopee.co.id/Glowlabs-Probiome-Acne-Serum-Peptide-Moist-i.336869851.9128455296", "https://shopee.co.id/Glowlabs-Probiome-Acne-Serum-Peptide-Moist-i.336869851.9128455296")</f>
        <v>https://shopee.co.id/Glowlabs-Probiome-Acne-Serum-Peptide-Moist-i.336869851.9128455296</v>
      </c>
      <c r="C1469" s="6" t="s">
        <v>407</v>
      </c>
      <c r="D1469" s="6" t="s">
        <v>408</v>
      </c>
      <c r="E1469" s="6" t="s">
        <v>12</v>
      </c>
      <c r="F1469" s="6" t="s">
        <v>13</v>
      </c>
      <c r="G1469" s="6" t="s">
        <v>409</v>
      </c>
      <c r="H1469" s="8" t="s">
        <v>2506</v>
      </c>
      <c r="I1469" s="9">
        <v>871400.0</v>
      </c>
      <c r="J1469" s="5" t="str">
        <f t="shared" ref="J1469:K1469" si="1469">SUBSTITUTE(H1469, ",", "")</f>
        <v>11</v>
      </c>
      <c r="K1469" s="5" t="str">
        <f t="shared" si="1469"/>
        <v>Rp871400</v>
      </c>
      <c r="L1469" s="5" t="str">
        <f t="shared" si="3"/>
        <v>871400</v>
      </c>
    </row>
    <row r="1470">
      <c r="A1470" s="6" t="s">
        <v>2542</v>
      </c>
      <c r="B1470" s="7" t="str">
        <f>HYPERLINK("https://shopee.co.id/Solcare-Acne-Serum-with-Tree-Tea-Oil-i.266902345.6377304700", "https://shopee.co.id/Solcare-Acne-Serum-with-Tree-Tea-Oil-i.266902345.6377304700")</f>
        <v>https://shopee.co.id/Solcare-Acne-Serum-with-Tree-Tea-Oil-i.266902345.6377304700</v>
      </c>
      <c r="C1470" s="6" t="s">
        <v>910</v>
      </c>
      <c r="D1470" s="6" t="s">
        <v>911</v>
      </c>
      <c r="E1470" s="6" t="s">
        <v>12</v>
      </c>
      <c r="F1470" s="6" t="s">
        <v>13</v>
      </c>
      <c r="G1470" s="6" t="s">
        <v>241</v>
      </c>
      <c r="H1470" s="8" t="s">
        <v>2506</v>
      </c>
      <c r="I1470" s="9">
        <v>1188000.0</v>
      </c>
      <c r="J1470" s="5" t="str">
        <f t="shared" ref="J1470:K1470" si="1470">SUBSTITUTE(H1470, ",", "")</f>
        <v>11</v>
      </c>
      <c r="K1470" s="5" t="str">
        <f t="shared" si="1470"/>
        <v>Rp1188000</v>
      </c>
      <c r="L1470" s="5" t="str">
        <f t="shared" si="3"/>
        <v>1188000</v>
      </c>
    </row>
    <row r="1471">
      <c r="A1471" s="6" t="s">
        <v>2543</v>
      </c>
      <c r="B1471" s="7" t="str">
        <f>HYPERLINK("https://shopee.co.id/SOME-BY-MI-AHABHAPHA-30-Days-Miracle-Cream-i.125116082.9267178368", "https://shopee.co.id/SOME-BY-MI-AHABHAPHA-30-Days-Miracle-Cream-i.125116082.9267178368")</f>
        <v>https://shopee.co.id/SOME-BY-MI-AHABHAPHA-30-Days-Miracle-Cream-i.125116082.9267178368</v>
      </c>
      <c r="C1471" s="6" t="s">
        <v>213</v>
      </c>
      <c r="D1471" s="6" t="s">
        <v>713</v>
      </c>
      <c r="E1471" s="6" t="s">
        <v>12</v>
      </c>
      <c r="F1471" s="6" t="s">
        <v>13</v>
      </c>
      <c r="G1471" s="6" t="s">
        <v>61</v>
      </c>
      <c r="H1471" s="8" t="s">
        <v>2506</v>
      </c>
      <c r="I1471" s="9">
        <v>487550.0</v>
      </c>
      <c r="J1471" s="5" t="str">
        <f t="shared" ref="J1471:K1471" si="1471">SUBSTITUTE(H1471, ",", "")</f>
        <v>11</v>
      </c>
      <c r="K1471" s="5" t="str">
        <f t="shared" si="1471"/>
        <v>Rp487550</v>
      </c>
      <c r="L1471" s="5" t="str">
        <f t="shared" si="3"/>
        <v>487550</v>
      </c>
    </row>
    <row r="1472">
      <c r="A1472" s="6" t="s">
        <v>2544</v>
      </c>
      <c r="B1472" s="7" t="str">
        <f>HYPERLINK("https://shopee.co.id/Somethinc-10-Niacinamide-Barrier-Serum-20ml-40ml-i.50948181.11213799628", "https://shopee.co.id/Somethinc-10-Niacinamide-Barrier-Serum-20ml-40ml-i.50948181.11213799628")</f>
        <v>https://shopee.co.id/Somethinc-10-Niacinamide-Barrier-Serum-20ml-40ml-i.50948181.11213799628</v>
      </c>
      <c r="C1472" s="6" t="s">
        <v>45</v>
      </c>
      <c r="D1472" s="6" t="s">
        <v>1129</v>
      </c>
      <c r="E1472" s="6" t="s">
        <v>12</v>
      </c>
      <c r="F1472" s="6" t="s">
        <v>13</v>
      </c>
      <c r="G1472" s="6" t="s">
        <v>1130</v>
      </c>
      <c r="H1472" s="8" t="s">
        <v>2506</v>
      </c>
      <c r="I1472" s="9">
        <v>1822000.0</v>
      </c>
      <c r="J1472" s="5" t="str">
        <f t="shared" ref="J1472:K1472" si="1472">SUBSTITUTE(H1472, ",", "")</f>
        <v>11</v>
      </c>
      <c r="K1472" s="5" t="str">
        <f t="shared" si="1472"/>
        <v>Rp1822000</v>
      </c>
      <c r="L1472" s="5" t="str">
        <f t="shared" si="3"/>
        <v>1822000</v>
      </c>
    </row>
    <row r="1473">
      <c r="A1473" s="6" t="s">
        <v>2545</v>
      </c>
      <c r="B1473" s="7" t="str">
        <f>HYPERLINK("https://shopee.co.id/AIZEN-Bakuchiol-10-Ultra-Ampoule-i.68111.5284599306", "https://shopee.co.id/AIZEN-Bakuchiol-10-Ultra-Ampoule-i.68111.5284599306")</f>
        <v>https://shopee.co.id/AIZEN-Bakuchiol-10-Ultra-Ampoule-i.68111.5284599306</v>
      </c>
      <c r="C1473" s="6" t="s">
        <v>1325</v>
      </c>
      <c r="D1473" s="6" t="s">
        <v>441</v>
      </c>
      <c r="E1473" s="6" t="s">
        <v>12</v>
      </c>
      <c r="F1473" s="6" t="s">
        <v>13</v>
      </c>
      <c r="G1473" s="6" t="s">
        <v>130</v>
      </c>
      <c r="H1473" s="8" t="s">
        <v>2506</v>
      </c>
      <c r="I1473" s="9">
        <v>1199000.0</v>
      </c>
      <c r="J1473" s="5" t="str">
        <f t="shared" ref="J1473:K1473" si="1473">SUBSTITUTE(H1473, ",", "")</f>
        <v>11</v>
      </c>
      <c r="K1473" s="5" t="str">
        <f t="shared" si="1473"/>
        <v>Rp1199000</v>
      </c>
      <c r="L1473" s="5" t="str">
        <f t="shared" si="3"/>
        <v>1199000</v>
      </c>
    </row>
    <row r="1474">
      <c r="A1474" s="6" t="s">
        <v>2546</v>
      </c>
      <c r="B1474" s="7" t="str">
        <f>HYPERLINK("https://shopee.co.id/LT-PRO-Intensive-Care-Serum-i.131418876.2075719592", "https://shopee.co.id/LT-PRO-Intensive-Care-Serum-i.131418876.2075719592")</f>
        <v>https://shopee.co.id/LT-PRO-Intensive-Care-Serum-i.131418876.2075719592</v>
      </c>
      <c r="C1474" s="6" t="s">
        <v>2413</v>
      </c>
      <c r="D1474" s="6" t="s">
        <v>2414</v>
      </c>
      <c r="E1474" s="6" t="s">
        <v>12</v>
      </c>
      <c r="F1474" s="6" t="s">
        <v>13</v>
      </c>
      <c r="G1474" s="6" t="s">
        <v>61</v>
      </c>
      <c r="H1474" s="8" t="s">
        <v>2506</v>
      </c>
      <c r="I1474" s="9">
        <v>568950.0</v>
      </c>
      <c r="J1474" s="5" t="str">
        <f t="shared" ref="J1474:K1474" si="1474">SUBSTITUTE(H1474, ",", "")</f>
        <v>11</v>
      </c>
      <c r="K1474" s="5" t="str">
        <f t="shared" si="1474"/>
        <v>Rp568950</v>
      </c>
      <c r="L1474" s="5" t="str">
        <f t="shared" si="3"/>
        <v>568950</v>
      </c>
    </row>
    <row r="1475">
      <c r="A1475" s="6" t="s">
        <v>2547</v>
      </c>
      <c r="B1475" s="7" t="str">
        <f>HYPERLINK("https://shopee.co.id/AIZEN-SymWhite-377-3-Ultra-Ampoule-i.68111.5584597893", "https://shopee.co.id/AIZEN-SymWhite-377-3-Ultra-Ampoule-i.68111.5584597893")</f>
        <v>https://shopee.co.id/AIZEN-SymWhite-377-3-Ultra-Ampoule-i.68111.5584597893</v>
      </c>
      <c r="C1475" s="6" t="s">
        <v>1325</v>
      </c>
      <c r="D1475" s="6" t="s">
        <v>441</v>
      </c>
      <c r="E1475" s="6" t="s">
        <v>12</v>
      </c>
      <c r="F1475" s="6" t="s">
        <v>13</v>
      </c>
      <c r="G1475" s="6" t="s">
        <v>130</v>
      </c>
      <c r="H1475" s="8" t="s">
        <v>2506</v>
      </c>
      <c r="I1475" s="9">
        <v>772650.0</v>
      </c>
      <c r="J1475" s="5" t="str">
        <f t="shared" ref="J1475:K1475" si="1475">SUBSTITUTE(H1475, ",", "")</f>
        <v>11</v>
      </c>
      <c r="K1475" s="5" t="str">
        <f t="shared" si="1475"/>
        <v>Rp772650</v>
      </c>
      <c r="L1475" s="5" t="str">
        <f t="shared" si="3"/>
        <v>772650</v>
      </c>
    </row>
    <row r="1476">
      <c r="A1476" s="6" t="s">
        <v>2548</v>
      </c>
      <c r="B1476" s="7" t="str">
        <f>HYPERLINK("https://shopee.co.id/Hanasui-Serum-Whitening-Collagen-Plus-Vit-C-20ml-i.277377659.3153441719", "https://shopee.co.id/Hanasui-Serum-Whitening-Collagen-Plus-Vit-C-20ml-i.277377659.3153441719")</f>
        <v>https://shopee.co.id/Hanasui-Serum-Whitening-Collagen-Plus-Vit-C-20ml-i.277377659.3153441719</v>
      </c>
      <c r="C1476" s="6" t="s">
        <v>784</v>
      </c>
      <c r="D1476" s="6" t="s">
        <v>2549</v>
      </c>
      <c r="E1476" s="6" t="s">
        <v>12</v>
      </c>
      <c r="F1476" s="6" t="s">
        <v>13</v>
      </c>
      <c r="G1476" s="6" t="s">
        <v>532</v>
      </c>
      <c r="H1476" s="8" t="s">
        <v>2506</v>
      </c>
      <c r="I1476" s="9">
        <v>2695000.0</v>
      </c>
      <c r="J1476" s="5" t="str">
        <f t="shared" ref="J1476:K1476" si="1476">SUBSTITUTE(H1476, ",", "")</f>
        <v>11</v>
      </c>
      <c r="K1476" s="5" t="str">
        <f t="shared" si="1476"/>
        <v>Rp2695000</v>
      </c>
      <c r="L1476" s="5" t="str">
        <f t="shared" si="3"/>
        <v>2695000</v>
      </c>
    </row>
    <row r="1477">
      <c r="A1477" s="6" t="s">
        <v>2550</v>
      </c>
      <c r="B1477" s="7" t="str">
        <f>HYPERLINK("https://shopee.co.id/Npure-Face-Essence-Centella-Asiatica-20ml-i.50948181.5660652664", "https://shopee.co.id/Npure-Face-Essence-Centella-Asiatica-20ml-i.50948181.5660652664")</f>
        <v>https://shopee.co.id/Npure-Face-Essence-Centella-Asiatica-20ml-i.50948181.5660652664</v>
      </c>
      <c r="C1477" s="6" t="s">
        <v>266</v>
      </c>
      <c r="D1477" s="6" t="s">
        <v>1129</v>
      </c>
      <c r="E1477" s="6" t="s">
        <v>12</v>
      </c>
      <c r="F1477" s="6" t="s">
        <v>13</v>
      </c>
      <c r="G1477" s="6" t="s">
        <v>1130</v>
      </c>
      <c r="H1477" s="8" t="s">
        <v>2506</v>
      </c>
      <c r="I1477" s="9">
        <v>1314500.0</v>
      </c>
      <c r="J1477" s="5" t="str">
        <f t="shared" ref="J1477:K1477" si="1477">SUBSTITUTE(H1477, ",", "")</f>
        <v>11</v>
      </c>
      <c r="K1477" s="5" t="str">
        <f t="shared" si="1477"/>
        <v>Rp1314500</v>
      </c>
      <c r="L1477" s="5" t="str">
        <f t="shared" si="3"/>
        <v>1314500</v>
      </c>
    </row>
    <row r="1478">
      <c r="A1478" s="6" t="s">
        <v>2551</v>
      </c>
      <c r="B1478" s="7" t="str">
        <f>HYPERLINK("https://shopee.co.id/Radi-Skin-Niacinamide-Clear-Serum-i.147850476.2272960948", "https://shopee.co.id/Radi-Skin-Niacinamide-Clear-Serum-i.147850476.2272960948")</f>
        <v>https://shopee.co.id/Radi-Skin-Niacinamide-Clear-Serum-i.147850476.2272960948</v>
      </c>
      <c r="C1478" s="6" t="s">
        <v>1879</v>
      </c>
      <c r="D1478" s="6" t="s">
        <v>1880</v>
      </c>
      <c r="E1478" s="6" t="s">
        <v>12</v>
      </c>
      <c r="F1478" s="6" t="s">
        <v>13</v>
      </c>
      <c r="G1478" s="6" t="s">
        <v>61</v>
      </c>
      <c r="H1478" s="8" t="s">
        <v>2506</v>
      </c>
      <c r="I1478" s="9">
        <v>1.346E7</v>
      </c>
      <c r="J1478" s="5" t="str">
        <f t="shared" ref="J1478:K1478" si="1478">SUBSTITUTE(H1478, ",", "")</f>
        <v>11</v>
      </c>
      <c r="K1478" s="5" t="str">
        <f t="shared" si="1478"/>
        <v>Rp13460000</v>
      </c>
      <c r="L1478" s="5" t="str">
        <f t="shared" si="3"/>
        <v>13460000</v>
      </c>
    </row>
    <row r="1479">
      <c r="A1479" s="6" t="s">
        <v>2552</v>
      </c>
      <c r="B1479" s="7" t="str">
        <f>HYPERLINK("https://shopee.co.id/Keyglow-ACNE-SERUM-i.125491027.5701950750", "https://shopee.co.id/Keyglow-ACNE-SERUM-i.125491027.5701950750")</f>
        <v>https://shopee.co.id/Keyglow-ACNE-SERUM-i.125491027.5701950750</v>
      </c>
      <c r="C1479" s="6" t="s">
        <v>2151</v>
      </c>
      <c r="D1479" s="6" t="s">
        <v>2152</v>
      </c>
      <c r="E1479" s="6" t="s">
        <v>12</v>
      </c>
      <c r="F1479" s="6" t="s">
        <v>13</v>
      </c>
      <c r="G1479" s="6" t="s">
        <v>98</v>
      </c>
      <c r="H1479" s="8" t="s">
        <v>2506</v>
      </c>
      <c r="I1479" s="9">
        <v>1618800.0</v>
      </c>
      <c r="J1479" s="5" t="str">
        <f t="shared" ref="J1479:K1479" si="1479">SUBSTITUTE(H1479, ",", "")</f>
        <v>11</v>
      </c>
      <c r="K1479" s="5" t="str">
        <f t="shared" si="1479"/>
        <v>Rp1618800</v>
      </c>
      <c r="L1479" s="5" t="str">
        <f t="shared" si="3"/>
        <v>1618800</v>
      </c>
    </row>
    <row r="1480">
      <c r="A1480" s="6" t="s">
        <v>2553</v>
      </c>
      <c r="B1480" s="7" t="str">
        <f>HYPERLINK("https://shopee.co.id/QL-Cosmetic-Vitamin-C-Serum-i.42379979.699146759", "https://shopee.co.id/QL-Cosmetic-Vitamin-C-Serum-i.42379979.699146759")</f>
        <v>https://shopee.co.id/QL-Cosmetic-Vitamin-C-Serum-i.42379979.699146759</v>
      </c>
      <c r="C1480" s="6" t="s">
        <v>2554</v>
      </c>
      <c r="D1480" s="6" t="s">
        <v>2555</v>
      </c>
      <c r="E1480" s="6" t="s">
        <v>12</v>
      </c>
      <c r="F1480" s="6" t="s">
        <v>13</v>
      </c>
      <c r="G1480" s="6" t="s">
        <v>61</v>
      </c>
      <c r="H1480" s="8" t="s">
        <v>2506</v>
      </c>
      <c r="I1480" s="9">
        <v>1206150.0</v>
      </c>
      <c r="J1480" s="5" t="str">
        <f t="shared" ref="J1480:K1480" si="1480">SUBSTITUTE(H1480, ",", "")</f>
        <v>11</v>
      </c>
      <c r="K1480" s="5" t="str">
        <f t="shared" si="1480"/>
        <v>Rp1206150</v>
      </c>
      <c r="L1480" s="5" t="str">
        <f t="shared" si="3"/>
        <v>1206150</v>
      </c>
    </row>
    <row r="1481">
      <c r="A1481" s="6" t="s">
        <v>2556</v>
      </c>
      <c r="B1481" s="7" t="str">
        <f>HYPERLINK("https://shopee.co.id/Iunik-Tea-Tree-Relief-Serum-15ml-i.825870.5853261708", "https://shopee.co.id/Iunik-Tea-Tree-Relief-Serum-15ml-i.825870.5853261708")</f>
        <v>https://shopee.co.id/Iunik-Tea-Tree-Relief-Serum-15ml-i.825870.5853261708</v>
      </c>
      <c r="C1481" s="6" t="s">
        <v>1658</v>
      </c>
      <c r="D1481" s="6" t="s">
        <v>1184</v>
      </c>
      <c r="E1481" s="6" t="s">
        <v>12</v>
      </c>
      <c r="F1481" s="6" t="s">
        <v>13</v>
      </c>
      <c r="G1481" s="6" t="s">
        <v>21</v>
      </c>
      <c r="H1481" s="8" t="s">
        <v>2506</v>
      </c>
      <c r="I1481" s="9">
        <v>6589000.0</v>
      </c>
      <c r="J1481" s="5" t="str">
        <f t="shared" ref="J1481:K1481" si="1481">SUBSTITUTE(H1481, ",", "")</f>
        <v>11</v>
      </c>
      <c r="K1481" s="5" t="str">
        <f t="shared" si="1481"/>
        <v>Rp6589000</v>
      </c>
      <c r="L1481" s="5" t="str">
        <f t="shared" si="3"/>
        <v>6589000</v>
      </c>
    </row>
    <row r="1482">
      <c r="A1482" s="6" t="s">
        <v>2557</v>
      </c>
      <c r="B1482" s="7" t="str">
        <f>HYPERLINK("https://shopee.co.id/SOMETHINC-Repair-Your-Skin-Barrier-20-ml-i.68111.11146612225", "https://shopee.co.id/SOMETHINC-Repair-Your-Skin-Barrier-20-ml-i.68111.11146612225")</f>
        <v>https://shopee.co.id/SOMETHINC-Repair-Your-Skin-Barrier-20-ml-i.68111.11146612225</v>
      </c>
      <c r="C1482" s="6" t="s">
        <v>45</v>
      </c>
      <c r="D1482" s="6" t="s">
        <v>441</v>
      </c>
      <c r="E1482" s="6" t="s">
        <v>12</v>
      </c>
      <c r="F1482" s="6" t="s">
        <v>13</v>
      </c>
      <c r="G1482" s="6" t="s">
        <v>130</v>
      </c>
      <c r="H1482" s="8" t="s">
        <v>2506</v>
      </c>
      <c r="I1482" s="9">
        <v>1437500.0</v>
      </c>
      <c r="J1482" s="5" t="str">
        <f t="shared" ref="J1482:K1482" si="1482">SUBSTITUTE(H1482, ",", "")</f>
        <v>11</v>
      </c>
      <c r="K1482" s="5" t="str">
        <f t="shared" si="1482"/>
        <v>Rp1437500</v>
      </c>
      <c r="L1482" s="5" t="str">
        <f t="shared" si="3"/>
        <v>1437500</v>
      </c>
    </row>
    <row r="1483">
      <c r="A1483" s="6" t="s">
        <v>2558</v>
      </c>
      <c r="B1483" s="7" t="str">
        <f>HYPERLINK("https://shopee.co.id/dr-Erna-Serum-Vit-C-Brightening-with-Anti-Aging-Serum-Pencerah-Wajah-dr-Erna-Skincare-i.147564934.7269798199", "https://shopee.co.id/dr-Erna-Serum-Vit-C-Brightening-with-Anti-Aging-Serum-Pencerah-Wajah-dr-Erna-Skincare-i.147564934.7269798199")</f>
        <v>https://shopee.co.id/dr-Erna-Serum-Vit-C-Brightening-with-Anti-Aging-Serum-Pencerah-Wajah-dr-Erna-Skincare-i.147564934.7269798199</v>
      </c>
      <c r="C1483" s="6" t="s">
        <v>2222</v>
      </c>
      <c r="D1483" s="6" t="s">
        <v>2223</v>
      </c>
      <c r="E1483" s="6" t="s">
        <v>12</v>
      </c>
      <c r="F1483" s="6" t="s">
        <v>13</v>
      </c>
      <c r="G1483" s="6" t="s">
        <v>21</v>
      </c>
      <c r="H1483" s="8" t="s">
        <v>2506</v>
      </c>
      <c r="I1483" s="9">
        <v>291900.0</v>
      </c>
      <c r="J1483" s="5" t="str">
        <f t="shared" ref="J1483:K1483" si="1483">SUBSTITUTE(H1483, ",", "")</f>
        <v>11</v>
      </c>
      <c r="K1483" s="5" t="str">
        <f t="shared" si="1483"/>
        <v>Rp291900</v>
      </c>
      <c r="L1483" s="5" t="str">
        <f t="shared" si="3"/>
        <v>291900</v>
      </c>
    </row>
    <row r="1484">
      <c r="A1484" s="6" t="s">
        <v>2559</v>
      </c>
      <c r="B1484" s="7" t="str">
        <f>HYPERLINK("https://shopee.co.id/THE-MOST-ICONIC-SERUM-ELIXIR-ULTIME-ORIGINAL-i.252376370.7667714535", "https://shopee.co.id/THE-MOST-ICONIC-SERUM-ELIXIR-ULTIME-ORIGINAL-i.252376370.7667714535")</f>
        <v>https://shopee.co.id/THE-MOST-ICONIC-SERUM-ELIXIR-ULTIME-ORIGINAL-i.252376370.7667714535</v>
      </c>
      <c r="C1484" s="6" t="s">
        <v>2560</v>
      </c>
      <c r="D1484" s="6" t="s">
        <v>2561</v>
      </c>
      <c r="E1484" s="6" t="s">
        <v>12</v>
      </c>
      <c r="F1484" s="6" t="s">
        <v>13</v>
      </c>
      <c r="G1484" s="6" t="s">
        <v>1480</v>
      </c>
      <c r="H1484" s="8" t="s">
        <v>2506</v>
      </c>
      <c r="I1484" s="9">
        <v>742500.0</v>
      </c>
      <c r="J1484" s="5" t="str">
        <f t="shared" ref="J1484:K1484" si="1484">SUBSTITUTE(H1484, ",", "")</f>
        <v>11</v>
      </c>
      <c r="K1484" s="5" t="str">
        <f t="shared" si="1484"/>
        <v>Rp742500</v>
      </c>
      <c r="L1484" s="5" t="str">
        <f t="shared" si="3"/>
        <v>742500</v>
      </c>
    </row>
    <row r="1485">
      <c r="A1485" s="6" t="s">
        <v>2562</v>
      </c>
      <c r="B1485" s="7" t="str">
        <f>HYPERLINK("https://shopee.co.id/L-Oreal-Paris-Package-Exclusive-KOL-Anti-Kulit-Kering-i.62579622.5132082461", "https://shopee.co.id/L-Oreal-Paris-Package-Exclusive-KOL-Anti-Kulit-Kering-i.62579622.5132082461")</f>
        <v>https://shopee.co.id/L-Oreal-Paris-Package-Exclusive-KOL-Anti-Kulit-Kering-i.62579622.5132082461</v>
      </c>
      <c r="C1485" s="6" t="s">
        <v>105</v>
      </c>
      <c r="D1485" s="6" t="s">
        <v>106</v>
      </c>
      <c r="E1485" s="6" t="s">
        <v>12</v>
      </c>
      <c r="F1485" s="6" t="s">
        <v>13</v>
      </c>
      <c r="G1485" s="6" t="s">
        <v>61</v>
      </c>
      <c r="H1485" s="8" t="s">
        <v>2506</v>
      </c>
      <c r="I1485" s="9">
        <v>1045000.0</v>
      </c>
      <c r="J1485" s="5" t="str">
        <f t="shared" ref="J1485:K1485" si="1485">SUBSTITUTE(H1485, ",", "")</f>
        <v>11</v>
      </c>
      <c r="K1485" s="5" t="str">
        <f t="shared" si="1485"/>
        <v>Rp1045000</v>
      </c>
      <c r="L1485" s="5" t="str">
        <f t="shared" si="3"/>
        <v>1045000</v>
      </c>
    </row>
    <row r="1486">
      <c r="A1486" s="6" t="s">
        <v>2563</v>
      </c>
      <c r="B1486" s="7" t="str">
        <f>HYPERLINK("https://shopee.co.id/MISSHA-Super-Aqua-Snail-Skin-Treatment-130ml-CLEARANCE-SALE_Expired-Maret-2022-i.37557990.7403607545", "https://shopee.co.id/MISSHA-Super-Aqua-Snail-Skin-Treatment-130ml-CLEARANCE-SALE_Expired-Maret-2022-i.37557990.7403607545")</f>
        <v>https://shopee.co.id/MISSHA-Super-Aqua-Snail-Skin-Treatment-130ml-CLEARANCE-SALE_Expired-Maret-2022-i.37557990.7403607545</v>
      </c>
      <c r="C1486" s="6" t="s">
        <v>695</v>
      </c>
      <c r="D1486" s="6" t="s">
        <v>696</v>
      </c>
      <c r="E1486" s="6" t="s">
        <v>12</v>
      </c>
      <c r="F1486" s="6" t="s">
        <v>13</v>
      </c>
      <c r="G1486" s="6" t="s">
        <v>80</v>
      </c>
      <c r="H1486" s="8" t="s">
        <v>2506</v>
      </c>
      <c r="I1486" s="9">
        <v>695700.0</v>
      </c>
      <c r="J1486" s="5" t="str">
        <f t="shared" ref="J1486:K1486" si="1486">SUBSTITUTE(H1486, ",", "")</f>
        <v>11</v>
      </c>
      <c r="K1486" s="5" t="str">
        <f t="shared" si="1486"/>
        <v>Rp695700</v>
      </c>
      <c r="L1486" s="5" t="str">
        <f t="shared" si="3"/>
        <v>695700</v>
      </c>
    </row>
    <row r="1487">
      <c r="A1487" s="6" t="s">
        <v>2564</v>
      </c>
      <c r="B1487" s="7" t="str">
        <f>HYPERLINK("https://shopee.co.id/LORE-Advanced-Lift-Perfection-Serum-30-ml-i.68740273.8727230552", "https://shopee.co.id/LORE-Advanced-Lift-Perfection-Serum-30-ml-i.68740273.8727230552")</f>
        <v>https://shopee.co.id/LORE-Advanced-Lift-Perfection-Serum-30-ml-i.68740273.8727230552</v>
      </c>
      <c r="C1487" s="6" t="s">
        <v>2565</v>
      </c>
      <c r="D1487" s="6" t="s">
        <v>2566</v>
      </c>
      <c r="E1487" s="6" t="s">
        <v>12</v>
      </c>
      <c r="F1487" s="6" t="s">
        <v>13</v>
      </c>
      <c r="G1487" s="6" t="s">
        <v>409</v>
      </c>
      <c r="H1487" s="8" t="s">
        <v>2506</v>
      </c>
      <c r="I1487" s="9">
        <v>410000.0</v>
      </c>
      <c r="J1487" s="5" t="str">
        <f t="shared" ref="J1487:K1487" si="1487">SUBSTITUTE(H1487, ",", "")</f>
        <v>11</v>
      </c>
      <c r="K1487" s="5" t="str">
        <f t="shared" si="1487"/>
        <v>Rp410000</v>
      </c>
      <c r="L1487" s="5" t="str">
        <f t="shared" si="3"/>
        <v>410000</v>
      </c>
    </row>
    <row r="1488">
      <c r="A1488" s="6" t="s">
        <v>2567</v>
      </c>
      <c r="B1488" s="7" t="str">
        <f>HYPERLINK("https://shopee.co.id/Illuminare-Brightening-Serum-30-gram-Serum-Wajah-i.204185841.6318655718", "https://shopee.co.id/Illuminare-Brightening-Serum-30-gram-Serum-Wajah-i.204185841.6318655718")</f>
        <v>https://shopee.co.id/Illuminare-Brightening-Serum-30-gram-Serum-Wajah-i.204185841.6318655718</v>
      </c>
      <c r="C1488" s="6" t="s">
        <v>1750</v>
      </c>
      <c r="D1488" s="6" t="s">
        <v>2568</v>
      </c>
      <c r="E1488" s="6" t="s">
        <v>12</v>
      </c>
      <c r="F1488" s="6" t="s">
        <v>13</v>
      </c>
      <c r="G1488" s="6" t="s">
        <v>36</v>
      </c>
      <c r="H1488" s="8" t="s">
        <v>2569</v>
      </c>
      <c r="I1488" s="9">
        <v>618792.0</v>
      </c>
      <c r="J1488" s="5" t="str">
        <f t="shared" ref="J1488:K1488" si="1488">SUBSTITUTE(H1488, ",", "")</f>
        <v>10</v>
      </c>
      <c r="K1488" s="5" t="str">
        <f t="shared" si="1488"/>
        <v>Rp618792</v>
      </c>
      <c r="L1488" s="5" t="str">
        <f t="shared" si="3"/>
        <v>618792</v>
      </c>
    </row>
    <row r="1489">
      <c r="A1489" s="6" t="s">
        <v>2570</v>
      </c>
      <c r="B1489" s="7" t="str">
        <f>HYPERLINK("https://shopee.co.id/Mineral-Botanica-First-Defense-Serum-i.124549994.7365468019", "https://shopee.co.id/Mineral-Botanica-First-Defense-Serum-i.124549994.7365468019")</f>
        <v>https://shopee.co.id/Mineral-Botanica-First-Defense-Serum-i.124549994.7365468019</v>
      </c>
      <c r="C1489" s="6" t="s">
        <v>807</v>
      </c>
      <c r="D1489" s="6" t="s">
        <v>808</v>
      </c>
      <c r="E1489" s="6" t="s">
        <v>12</v>
      </c>
      <c r="F1489" s="6" t="s">
        <v>13</v>
      </c>
      <c r="G1489" s="6" t="s">
        <v>80</v>
      </c>
      <c r="H1489" s="8" t="s">
        <v>2569</v>
      </c>
      <c r="I1489" s="9">
        <v>4648000.0</v>
      </c>
      <c r="J1489" s="5" t="str">
        <f t="shared" ref="J1489:K1489" si="1489">SUBSTITUTE(H1489, ",", "")</f>
        <v>10</v>
      </c>
      <c r="K1489" s="5" t="str">
        <f t="shared" si="1489"/>
        <v>Rp4648000</v>
      </c>
      <c r="L1489" s="5" t="str">
        <f t="shared" si="3"/>
        <v>4648000</v>
      </c>
    </row>
    <row r="1490">
      <c r="A1490" s="6" t="s">
        <v>2571</v>
      </c>
      <c r="B1490" s="7" t="str">
        <f>HYPERLINK("https://shopee.co.id/Dear-Me-Beauty-10-Vitamin-C-Orange-Extract-Face-Serum-12ml-i.10689.8573936008", "https://shopee.co.id/Dear-Me-Beauty-10-Vitamin-C-Orange-Extract-Face-Serum-12ml-i.10689.8573936008")</f>
        <v>https://shopee.co.id/Dear-Me-Beauty-10-Vitamin-C-Orange-Extract-Face-Serum-12ml-i.10689.8573936008</v>
      </c>
      <c r="C1490" s="6" t="s">
        <v>70</v>
      </c>
      <c r="D1490" s="6" t="s">
        <v>745</v>
      </c>
      <c r="E1490" s="6" t="s">
        <v>12</v>
      </c>
      <c r="F1490" s="6" t="s">
        <v>13</v>
      </c>
      <c r="G1490" s="6" t="s">
        <v>61</v>
      </c>
      <c r="H1490" s="8" t="s">
        <v>2569</v>
      </c>
      <c r="I1490" s="9">
        <v>2.2E7</v>
      </c>
      <c r="J1490" s="5" t="str">
        <f t="shared" ref="J1490:K1490" si="1490">SUBSTITUTE(H1490, ",", "")</f>
        <v>10</v>
      </c>
      <c r="K1490" s="5" t="str">
        <f t="shared" si="1490"/>
        <v>Rp22000000</v>
      </c>
      <c r="L1490" s="5" t="str">
        <f t="shared" si="3"/>
        <v>22000000</v>
      </c>
    </row>
    <row r="1491">
      <c r="A1491" s="6" t="s">
        <v>2572</v>
      </c>
      <c r="B1491" s="7" t="str">
        <f>HYPERLINK("https://shopee.co.id/MSBB-Somethinc-Holygrail-Multipeptide-Youth-Elixir-20ml-i.288588702.8453356554", "https://shopee.co.id/MSBB-Somethinc-Holygrail-Multipeptide-Youth-Elixir-20ml-i.288588702.8453356554")</f>
        <v>https://shopee.co.id/MSBB-Somethinc-Holygrail-Multipeptide-Youth-Elixir-20ml-i.288588702.8453356554</v>
      </c>
      <c r="C1491" s="6" t="s">
        <v>45</v>
      </c>
      <c r="D1491" s="6" t="s">
        <v>79</v>
      </c>
      <c r="E1491" s="6" t="s">
        <v>12</v>
      </c>
      <c r="F1491" s="6" t="s">
        <v>13</v>
      </c>
      <c r="G1491" s="6" t="s">
        <v>80</v>
      </c>
      <c r="H1491" s="8" t="s">
        <v>2569</v>
      </c>
      <c r="I1491" s="9">
        <v>300000.0</v>
      </c>
      <c r="J1491" s="5" t="str">
        <f t="shared" ref="J1491:K1491" si="1491">SUBSTITUTE(H1491, ",", "")</f>
        <v>10</v>
      </c>
      <c r="K1491" s="5" t="str">
        <f t="shared" si="1491"/>
        <v>Rp300000</v>
      </c>
      <c r="L1491" s="5" t="str">
        <f t="shared" si="3"/>
        <v>300000</v>
      </c>
    </row>
    <row r="1492">
      <c r="A1492" s="6" t="s">
        <v>2573</v>
      </c>
      <c r="B1492" s="7" t="str">
        <f>HYPERLINK("https://shopee.co.id/Buy-1-Get-1-Bio-Essence-Bio-White-Advanced-Whitening-Day-Cream-50-gr-i.63822287.13706184885", "https://shopee.co.id/Buy-1-Get-1-Bio-Essence-Bio-White-Advanced-Whitening-Day-Cream-50-gr-i.63822287.13706184885")</f>
        <v>https://shopee.co.id/Buy-1-Get-1-Bio-Essence-Bio-White-Advanced-Whitening-Day-Cream-50-gr-i.63822287.13706184885</v>
      </c>
      <c r="C1492" s="6" t="s">
        <v>1254</v>
      </c>
      <c r="D1492" s="6" t="s">
        <v>835</v>
      </c>
      <c r="E1492" s="6" t="s">
        <v>12</v>
      </c>
      <c r="F1492" s="6" t="s">
        <v>13</v>
      </c>
      <c r="G1492" s="6" t="s">
        <v>61</v>
      </c>
      <c r="H1492" s="8" t="s">
        <v>2569</v>
      </c>
      <c r="I1492" s="9">
        <v>980000.0</v>
      </c>
      <c r="J1492" s="5" t="str">
        <f t="shared" ref="J1492:K1492" si="1492">SUBSTITUTE(H1492, ",", "")</f>
        <v>10</v>
      </c>
      <c r="K1492" s="5" t="str">
        <f t="shared" si="1492"/>
        <v>Rp980000</v>
      </c>
      <c r="L1492" s="5" t="str">
        <f t="shared" si="3"/>
        <v>980000</v>
      </c>
    </row>
    <row r="1493">
      <c r="A1493" s="6" t="s">
        <v>2574</v>
      </c>
      <c r="B1493" s="7" t="str">
        <f>HYPERLINK("https://shopee.co.id/Buy-1-Get-1-Bio-Essence-Bio-White-Advanced-Whitening-Night-Cream-45-gr-i.63822287.12606212308", "https://shopee.co.id/Buy-1-Get-1-Bio-Essence-Bio-White-Advanced-Whitening-Night-Cream-45-gr-i.63822287.12606212308")</f>
        <v>https://shopee.co.id/Buy-1-Get-1-Bio-Essence-Bio-White-Advanced-Whitening-Night-Cream-45-gr-i.63822287.12606212308</v>
      </c>
      <c r="C1493" s="6" t="s">
        <v>1254</v>
      </c>
      <c r="D1493" s="6" t="s">
        <v>835</v>
      </c>
      <c r="E1493" s="6" t="s">
        <v>12</v>
      </c>
      <c r="F1493" s="6" t="s">
        <v>13</v>
      </c>
      <c r="G1493" s="6" t="s">
        <v>61</v>
      </c>
      <c r="H1493" s="8" t="s">
        <v>2569</v>
      </c>
      <c r="I1493" s="9">
        <v>484600.0</v>
      </c>
      <c r="J1493" s="5" t="str">
        <f t="shared" ref="J1493:K1493" si="1493">SUBSTITUTE(H1493, ",", "")</f>
        <v>10</v>
      </c>
      <c r="K1493" s="5" t="str">
        <f t="shared" si="1493"/>
        <v>Rp484600</v>
      </c>
      <c r="L1493" s="5" t="str">
        <f t="shared" si="3"/>
        <v>484600</v>
      </c>
    </row>
    <row r="1494">
      <c r="A1494" s="6" t="s">
        <v>2575</v>
      </c>
      <c r="B1494" s="7" t="str">
        <f>HYPERLINK("https://shopee.co.id/FIRST-LAB-Probiotic-Skin-Essence-SIGNATURE-150ml-i.109981258.4051943569", "https://shopee.co.id/FIRST-LAB-Probiotic-Skin-Essence-SIGNATURE-150ml-i.109981258.4051943569")</f>
        <v>https://shopee.co.id/FIRST-LAB-Probiotic-Skin-Essence-SIGNATURE-150ml-i.109981258.4051943569</v>
      </c>
      <c r="C1494" s="6" t="s">
        <v>1617</v>
      </c>
      <c r="D1494" s="6" t="s">
        <v>2576</v>
      </c>
      <c r="E1494" s="6" t="s">
        <v>12</v>
      </c>
      <c r="F1494" s="6" t="s">
        <v>13</v>
      </c>
      <c r="G1494" s="6" t="s">
        <v>21</v>
      </c>
      <c r="H1494" s="8" t="s">
        <v>2569</v>
      </c>
      <c r="I1494" s="9">
        <v>1140000.0</v>
      </c>
      <c r="J1494" s="5" t="str">
        <f t="shared" ref="J1494:K1494" si="1494">SUBSTITUTE(H1494, ",", "")</f>
        <v>10</v>
      </c>
      <c r="K1494" s="5" t="str">
        <f t="shared" si="1494"/>
        <v>Rp1140000</v>
      </c>
      <c r="L1494" s="5" t="str">
        <f t="shared" si="3"/>
        <v>1140000</v>
      </c>
    </row>
    <row r="1495">
      <c r="A1495" s="6" t="s">
        <v>2577</v>
      </c>
      <c r="B1495" s="7" t="str">
        <f>HYPERLINK("https://shopee.co.id/AVOSKIN-Travel-Size-Perfect-Hydrating-Treatment-Essence-30ml-i.68111.2262614348", "https://shopee.co.id/AVOSKIN-Travel-Size-Perfect-Hydrating-Treatment-Essence-30ml-i.68111.2262614348")</f>
        <v>https://shopee.co.id/AVOSKIN-Travel-Size-Perfect-Hydrating-Treatment-Essence-30ml-i.68111.2262614348</v>
      </c>
      <c r="C1495" s="6" t="s">
        <v>83</v>
      </c>
      <c r="D1495" s="6" t="s">
        <v>441</v>
      </c>
      <c r="E1495" s="6" t="s">
        <v>12</v>
      </c>
      <c r="F1495" s="6" t="s">
        <v>13</v>
      </c>
      <c r="G1495" s="6" t="s">
        <v>130</v>
      </c>
      <c r="H1495" s="8" t="s">
        <v>2569</v>
      </c>
      <c r="I1495" s="9">
        <v>2424400.0</v>
      </c>
      <c r="J1495" s="5" t="str">
        <f t="shared" ref="J1495:K1495" si="1495">SUBSTITUTE(H1495, ",", "")</f>
        <v>10</v>
      </c>
      <c r="K1495" s="5" t="str">
        <f t="shared" si="1495"/>
        <v>Rp2424400</v>
      </c>
      <c r="L1495" s="5" t="str">
        <f t="shared" si="3"/>
        <v>2424400</v>
      </c>
    </row>
    <row r="1496">
      <c r="A1496" s="6" t="s">
        <v>374</v>
      </c>
      <c r="B1496" s="7" t="str">
        <f>HYPERLINK("https://shopee.co.id/Bloomka-Bakuchiol-Vitamin-B3-Facial-Treatment-Serum-Brightening-acne--i.52581685.5776255561", "https://shopee.co.id/Bloomka-Bakuchiol-Vitamin-B3-Facial-Treatment-Serum-Brightening-acne--i.52581685.5776255561")</f>
        <v>https://shopee.co.id/Bloomka-Bakuchiol-Vitamin-B3-Facial-Treatment-Serum-Brightening-acne--i.52581685.5776255561</v>
      </c>
      <c r="C1496" s="6" t="s">
        <v>375</v>
      </c>
      <c r="D1496" s="6" t="s">
        <v>614</v>
      </c>
      <c r="E1496" s="6" t="s">
        <v>12</v>
      </c>
      <c r="F1496" s="6" t="s">
        <v>13</v>
      </c>
      <c r="G1496" s="6" t="s">
        <v>61</v>
      </c>
      <c r="H1496" s="8" t="s">
        <v>2569</v>
      </c>
      <c r="I1496" s="9">
        <v>5253400.0</v>
      </c>
      <c r="J1496" s="5" t="str">
        <f t="shared" ref="J1496:K1496" si="1496">SUBSTITUTE(H1496, ",", "")</f>
        <v>10</v>
      </c>
      <c r="K1496" s="5" t="str">
        <f t="shared" si="1496"/>
        <v>Rp5253400</v>
      </c>
      <c r="L1496" s="5" t="str">
        <f t="shared" si="3"/>
        <v>5253400</v>
      </c>
    </row>
    <row r="1497">
      <c r="A1497" s="6" t="s">
        <v>2578</v>
      </c>
      <c r="B1497" s="7" t="str">
        <f>HYPERLINK("https://shopee.co.id/FABIL-Plumping-Skin-Bright-Serum-20ml-i.3990192.5341597100", "https://shopee.co.id/FABIL-Plumping-Skin-Bright-Serum-20ml-i.3990192.5341597100")</f>
        <v>https://shopee.co.id/FABIL-Plumping-Skin-Bright-Serum-20ml-i.3990192.5341597100</v>
      </c>
      <c r="C1497" s="6" t="s">
        <v>2579</v>
      </c>
      <c r="D1497" s="6" t="s">
        <v>2580</v>
      </c>
      <c r="E1497" s="6" t="s">
        <v>12</v>
      </c>
      <c r="F1497" s="6" t="s">
        <v>13</v>
      </c>
      <c r="G1497" s="6" t="s">
        <v>1085</v>
      </c>
      <c r="H1497" s="8" t="s">
        <v>2569</v>
      </c>
      <c r="I1497" s="9">
        <v>3721300.0</v>
      </c>
      <c r="J1497" s="5" t="str">
        <f t="shared" ref="J1497:K1497" si="1497">SUBSTITUTE(H1497, ",", "")</f>
        <v>10</v>
      </c>
      <c r="K1497" s="5" t="str">
        <f t="shared" si="1497"/>
        <v>Rp3721300</v>
      </c>
      <c r="L1497" s="5" t="str">
        <f t="shared" si="3"/>
        <v>3721300</v>
      </c>
    </row>
    <row r="1498">
      <c r="A1498" s="6" t="s">
        <v>2581</v>
      </c>
      <c r="B1498" s="7" t="str">
        <f>HYPERLINK("https://shopee.co.id/Estetiderma-Serum-Vitamin-C-Skin-Brightening-Vitamin-C-i.61653681.5743954797", "https://shopee.co.id/Estetiderma-Serum-Vitamin-C-Skin-Brightening-Vitamin-C-i.61653681.5743954797")</f>
        <v>https://shopee.co.id/Estetiderma-Serum-Vitamin-C-Skin-Brightening-Vitamin-C-i.61653681.5743954797</v>
      </c>
      <c r="C1498" s="6" t="s">
        <v>2451</v>
      </c>
      <c r="D1498" s="6" t="s">
        <v>2452</v>
      </c>
      <c r="E1498" s="6" t="s">
        <v>12</v>
      </c>
      <c r="F1498" s="6" t="s">
        <v>13</v>
      </c>
      <c r="G1498" s="6" t="s">
        <v>98</v>
      </c>
      <c r="H1498" s="8" t="s">
        <v>2569</v>
      </c>
      <c r="I1498" s="9">
        <v>1500000.0</v>
      </c>
      <c r="J1498" s="5" t="str">
        <f t="shared" ref="J1498:K1498" si="1498">SUBSTITUTE(H1498, ",", "")</f>
        <v>10</v>
      </c>
      <c r="K1498" s="5" t="str">
        <f t="shared" si="1498"/>
        <v>Rp1500000</v>
      </c>
      <c r="L1498" s="5" t="str">
        <f t="shared" si="3"/>
        <v>1500000</v>
      </c>
    </row>
    <row r="1499">
      <c r="A1499" s="6" t="s">
        <v>2582</v>
      </c>
      <c r="B1499" s="7" t="str">
        <f>HYPERLINK("https://shopee.co.id/La-Tulipe-La-Tulipe-C-Serum-La-Tulipe-La-Tulipe-C-Night-Cream-i.131133483.7456104445", "https://shopee.co.id/La-Tulipe-La-Tulipe-C-Serum-La-Tulipe-La-Tulipe-C-Night-Cream-i.131133483.7456104445")</f>
        <v>https://shopee.co.id/La-Tulipe-La-Tulipe-C-Serum-La-Tulipe-La-Tulipe-C-Night-Cream-i.131133483.7456104445</v>
      </c>
      <c r="C1499" s="6" t="s">
        <v>1761</v>
      </c>
      <c r="D1499" s="6" t="s">
        <v>1762</v>
      </c>
      <c r="E1499" s="6" t="s">
        <v>12</v>
      </c>
      <c r="F1499" s="6" t="s">
        <v>13</v>
      </c>
      <c r="G1499" s="6" t="s">
        <v>61</v>
      </c>
      <c r="H1499" s="8" t="s">
        <v>2569</v>
      </c>
      <c r="I1499" s="9">
        <v>1490000.0</v>
      </c>
      <c r="J1499" s="5" t="str">
        <f t="shared" ref="J1499:K1499" si="1499">SUBSTITUTE(H1499, ",", "")</f>
        <v>10</v>
      </c>
      <c r="K1499" s="5" t="str">
        <f t="shared" si="1499"/>
        <v>Rp1490000</v>
      </c>
      <c r="L1499" s="5" t="str">
        <f t="shared" si="3"/>
        <v>1490000</v>
      </c>
    </row>
    <row r="1500">
      <c r="A1500" s="6" t="s">
        <v>2583</v>
      </c>
      <c r="B1500" s="7" t="str">
        <f>HYPERLINK("https://shopee.co.id/AZARINE-C-white-lightening-serum-i.68111.7617921658", "https://shopee.co.id/AZARINE-C-white-lightening-serum-i.68111.7617921658")</f>
        <v>https://shopee.co.id/AZARINE-C-white-lightening-serum-i.68111.7617921658</v>
      </c>
      <c r="C1500" s="6" t="s">
        <v>233</v>
      </c>
      <c r="D1500" s="6" t="s">
        <v>441</v>
      </c>
      <c r="E1500" s="6" t="s">
        <v>12</v>
      </c>
      <c r="F1500" s="6" t="s">
        <v>13</v>
      </c>
      <c r="G1500" s="6" t="s">
        <v>130</v>
      </c>
      <c r="H1500" s="8" t="s">
        <v>2569</v>
      </c>
      <c r="I1500" s="9">
        <v>2571400.0</v>
      </c>
      <c r="J1500" s="5" t="str">
        <f t="shared" ref="J1500:K1500" si="1500">SUBSTITUTE(H1500, ",", "")</f>
        <v>10</v>
      </c>
      <c r="K1500" s="5" t="str">
        <f t="shared" si="1500"/>
        <v>Rp2571400</v>
      </c>
      <c r="L1500" s="5" t="str">
        <f t="shared" si="3"/>
        <v>2571400</v>
      </c>
    </row>
    <row r="1501">
      <c r="A1501" s="6" t="s">
        <v>2584</v>
      </c>
      <c r="B1501" s="7" t="str">
        <f>HYPERLINK("https://shopee.co.id/-BPOM-LANBENA-Pore-Minimizer-Serum-Mengecilkan-Pori-Pori-17ml--i.397732085.8522530844", "https://shopee.co.id/-BPOM-LANBENA-Pore-Minimizer-Serum-Mengecilkan-Pori-Pori-17ml--i.397732085.8522530844")</f>
        <v>https://shopee.co.id/-BPOM-LANBENA-Pore-Minimizer-Serum-Mengecilkan-Pori-Pori-17ml--i.397732085.8522530844</v>
      </c>
      <c r="C1501" s="6" t="s">
        <v>1427</v>
      </c>
      <c r="D1501" s="6" t="s">
        <v>1428</v>
      </c>
      <c r="E1501" s="6" t="s">
        <v>12</v>
      </c>
      <c r="F1501" s="6" t="s">
        <v>13</v>
      </c>
      <c r="G1501" s="6" t="s">
        <v>532</v>
      </c>
      <c r="H1501" s="8" t="s">
        <v>2569</v>
      </c>
      <c r="I1501" s="9">
        <v>3581100.0</v>
      </c>
      <c r="J1501" s="5" t="str">
        <f t="shared" ref="J1501:K1501" si="1501">SUBSTITUTE(H1501, ",", "")</f>
        <v>10</v>
      </c>
      <c r="K1501" s="5" t="str">
        <f t="shared" si="1501"/>
        <v>Rp3581100</v>
      </c>
      <c r="L1501" s="5" t="str">
        <f t="shared" si="3"/>
        <v>3581100</v>
      </c>
    </row>
    <row r="1502">
      <c r="A1502" s="6" t="s">
        <v>2585</v>
      </c>
      <c r="B1502" s="7" t="str">
        <f>HYPERLINK("https://shopee.co.id/Calendula-Glow-Serum-Velrose-Secret-i.101584557.7805883149", "https://shopee.co.id/Calendula-Glow-Serum-Velrose-Secret-i.101584557.7805883149")</f>
        <v>https://shopee.co.id/Calendula-Glow-Serum-Velrose-Secret-i.101584557.7805883149</v>
      </c>
      <c r="C1502" s="6" t="s">
        <v>2586</v>
      </c>
      <c r="D1502" s="6" t="s">
        <v>2587</v>
      </c>
      <c r="E1502" s="6" t="s">
        <v>12</v>
      </c>
      <c r="F1502" s="6" t="s">
        <v>13</v>
      </c>
      <c r="G1502" s="6" t="s">
        <v>469</v>
      </c>
      <c r="H1502" s="8" t="s">
        <v>2569</v>
      </c>
      <c r="I1502" s="9">
        <v>1960000.0</v>
      </c>
      <c r="J1502" s="5" t="str">
        <f t="shared" ref="J1502:K1502" si="1502">SUBSTITUTE(H1502, ",", "")</f>
        <v>10</v>
      </c>
      <c r="K1502" s="5" t="str">
        <f t="shared" si="1502"/>
        <v>Rp1960000</v>
      </c>
      <c r="L1502" s="5" t="str">
        <f t="shared" si="3"/>
        <v>1960000</v>
      </c>
    </row>
    <row r="1503">
      <c r="A1503" s="6" t="s">
        <v>2588</v>
      </c>
      <c r="B1503" s="7" t="str">
        <f>HYPERLINK("https://shopee.co.id/Mireya-Bright-Boost-Serum-Niacinamide-10-3M3-Whiteris-i.101578297.8316946140", "https://shopee.co.id/Mireya-Bright-Boost-Serum-Niacinamide-10-3M3-Whiteris-i.101578297.8316946140")</f>
        <v>https://shopee.co.id/Mireya-Bright-Boost-Serum-Niacinamide-10-3M3-Whiteris-i.101578297.8316946140</v>
      </c>
      <c r="C1503" s="6" t="s">
        <v>2430</v>
      </c>
      <c r="D1503" s="6" t="s">
        <v>2431</v>
      </c>
      <c r="E1503" s="6" t="s">
        <v>12</v>
      </c>
      <c r="F1503" s="6" t="s">
        <v>13</v>
      </c>
      <c r="G1503" s="6" t="s">
        <v>21</v>
      </c>
      <c r="H1503" s="8" t="s">
        <v>2569</v>
      </c>
      <c r="I1503" s="9">
        <v>807500.0</v>
      </c>
      <c r="J1503" s="5" t="str">
        <f t="shared" ref="J1503:K1503" si="1503">SUBSTITUTE(H1503, ",", "")</f>
        <v>10</v>
      </c>
      <c r="K1503" s="5" t="str">
        <f t="shared" si="1503"/>
        <v>Rp807500</v>
      </c>
      <c r="L1503" s="5" t="str">
        <f t="shared" si="3"/>
        <v>807500</v>
      </c>
    </row>
    <row r="1504">
      <c r="A1504" s="6" t="s">
        <v>2589</v>
      </c>
      <c r="B1504" s="7" t="str">
        <f>HYPERLINK("https://shopee.co.id/Scarlett-Whitening-Acne-to-Glow-Mini-Series-5mlx2-i.136011044.5896690877", "https://shopee.co.id/Scarlett-Whitening-Acne-to-Glow-Mini-Series-5mlx2-i.136011044.5896690877")</f>
        <v>https://shopee.co.id/Scarlett-Whitening-Acne-to-Glow-Mini-Series-5mlx2-i.136011044.5896690877</v>
      </c>
      <c r="C1504" s="6" t="s">
        <v>19</v>
      </c>
      <c r="D1504" s="6" t="s">
        <v>632</v>
      </c>
      <c r="E1504" s="6" t="s">
        <v>12</v>
      </c>
      <c r="F1504" s="6" t="s">
        <v>13</v>
      </c>
      <c r="G1504" s="6" t="s">
        <v>21</v>
      </c>
      <c r="H1504" s="8" t="s">
        <v>2569</v>
      </c>
      <c r="I1504" s="9">
        <v>1156000.0</v>
      </c>
      <c r="J1504" s="5" t="str">
        <f t="shared" ref="J1504:K1504" si="1504">SUBSTITUTE(H1504, ",", "")</f>
        <v>10</v>
      </c>
      <c r="K1504" s="5" t="str">
        <f t="shared" si="1504"/>
        <v>Rp1156000</v>
      </c>
      <c r="L1504" s="5" t="str">
        <f t="shared" si="3"/>
        <v>1156000</v>
      </c>
    </row>
    <row r="1505">
      <c r="A1505" s="6" t="s">
        <v>2590</v>
      </c>
      <c r="B1505" s="7" t="str">
        <f>HYPERLINK("https://shopee.co.id/Click-House-Acne-Care-Serum-i.130532371.6009529540", "https://shopee.co.id/Click-House-Acne-Care-Serum-i.130532371.6009529540")</f>
        <v>https://shopee.co.id/Click-House-Acne-Care-Serum-i.130532371.6009529540</v>
      </c>
      <c r="C1505" s="6" t="s">
        <v>2021</v>
      </c>
      <c r="D1505" s="6" t="s">
        <v>2022</v>
      </c>
      <c r="E1505" s="6" t="s">
        <v>12</v>
      </c>
      <c r="F1505" s="6" t="s">
        <v>13</v>
      </c>
      <c r="G1505" s="6" t="s">
        <v>98</v>
      </c>
      <c r="H1505" s="8" t="s">
        <v>2569</v>
      </c>
      <c r="I1505" s="9">
        <v>600000.0</v>
      </c>
      <c r="J1505" s="5" t="str">
        <f t="shared" ref="J1505:K1505" si="1505">SUBSTITUTE(H1505, ",", "")</f>
        <v>10</v>
      </c>
      <c r="K1505" s="5" t="str">
        <f t="shared" si="1505"/>
        <v>Rp600000</v>
      </c>
      <c r="L1505" s="5" t="str">
        <f t="shared" si="3"/>
        <v>600000</v>
      </c>
    </row>
    <row r="1506">
      <c r="A1506" s="6" t="s">
        <v>2591</v>
      </c>
      <c r="B1506" s="7" t="str">
        <f>HYPERLINK("https://shopee.co.id/Hya-Intensive-Whitening-Pre-serum-i.118878742.3165856176", "https://shopee.co.id/Hya-Intensive-Whitening-Pre-serum-i.118878742.3165856176")</f>
        <v>https://shopee.co.id/Hya-Intensive-Whitening-Pre-serum-i.118878742.3165856176</v>
      </c>
      <c r="C1506" s="6" t="s">
        <v>2592</v>
      </c>
      <c r="D1506" s="6" t="s">
        <v>2593</v>
      </c>
      <c r="E1506" s="6" t="s">
        <v>12</v>
      </c>
      <c r="F1506" s="6" t="s">
        <v>13</v>
      </c>
      <c r="G1506" s="6" t="s">
        <v>61</v>
      </c>
      <c r="H1506" s="8" t="s">
        <v>2569</v>
      </c>
      <c r="I1506" s="9">
        <v>2060000.0</v>
      </c>
      <c r="J1506" s="5" t="str">
        <f t="shared" ref="J1506:K1506" si="1506">SUBSTITUTE(H1506, ",", "")</f>
        <v>10</v>
      </c>
      <c r="K1506" s="5" t="str">
        <f t="shared" si="1506"/>
        <v>Rp2060000</v>
      </c>
      <c r="L1506" s="5" t="str">
        <f t="shared" si="3"/>
        <v>2060000</v>
      </c>
    </row>
    <row r="1507">
      <c r="A1507" s="6" t="s">
        <v>2594</v>
      </c>
      <c r="B1507" s="7" t="str">
        <f>HYPERLINK("https://shopee.co.id/SOMETHINC-Niacinamide-Moisture-Beet-Serum-40ml-i.30736001.5384170300", "https://shopee.co.id/SOMETHINC-Niacinamide-Moisture-Beet-Serum-40ml-i.30736001.5384170300")</f>
        <v>https://shopee.co.id/SOMETHINC-Niacinamide-Moisture-Beet-Serum-40ml-i.30736001.5384170300</v>
      </c>
      <c r="C1507" s="6" t="s">
        <v>45</v>
      </c>
      <c r="D1507" s="6" t="s">
        <v>335</v>
      </c>
      <c r="E1507" s="6" t="s">
        <v>12</v>
      </c>
      <c r="F1507" s="6" t="s">
        <v>13</v>
      </c>
      <c r="G1507" s="6" t="s">
        <v>36</v>
      </c>
      <c r="H1507" s="8" t="s">
        <v>2569</v>
      </c>
      <c r="I1507" s="9">
        <v>1520000.0</v>
      </c>
      <c r="J1507" s="5" t="str">
        <f t="shared" ref="J1507:K1507" si="1507">SUBSTITUTE(H1507, ",", "")</f>
        <v>10</v>
      </c>
      <c r="K1507" s="5" t="str">
        <f t="shared" si="1507"/>
        <v>Rp1520000</v>
      </c>
      <c r="L1507" s="5" t="str">
        <f t="shared" si="3"/>
        <v>1520000</v>
      </c>
    </row>
    <row r="1508">
      <c r="A1508" s="6" t="s">
        <v>2595</v>
      </c>
      <c r="B1508" s="7" t="str">
        <f>HYPERLINK("https://shopee.co.id/Tea-Tree-Serum-i.180415888.3378261663", "https://shopee.co.id/Tea-Tree-Serum-i.180415888.3378261663")</f>
        <v>https://shopee.co.id/Tea-Tree-Serum-i.180415888.3378261663</v>
      </c>
      <c r="C1508" s="6" t="s">
        <v>456</v>
      </c>
      <c r="D1508" s="6" t="s">
        <v>457</v>
      </c>
      <c r="E1508" s="6" t="s">
        <v>12</v>
      </c>
      <c r="F1508" s="6" t="s">
        <v>13</v>
      </c>
      <c r="G1508" s="6" t="s">
        <v>80</v>
      </c>
      <c r="H1508" s="8" t="s">
        <v>2569</v>
      </c>
      <c r="I1508" s="9">
        <v>420000.0</v>
      </c>
      <c r="J1508" s="5" t="str">
        <f t="shared" ref="J1508:K1508" si="1508">SUBSTITUTE(H1508, ",", "")</f>
        <v>10</v>
      </c>
      <c r="K1508" s="5" t="str">
        <f t="shared" si="1508"/>
        <v>Rp420000</v>
      </c>
      <c r="L1508" s="5" t="str">
        <f t="shared" si="3"/>
        <v>420000</v>
      </c>
    </row>
    <row r="1509">
      <c r="A1509" s="6" t="s">
        <v>2596</v>
      </c>
      <c r="B1509" s="7" t="str">
        <f>HYPERLINK("https://shopee.co.id/Sekkisei-Day-Essence-i.105297385.1714709911", "https://shopee.co.id/Sekkisei-Day-Essence-i.105297385.1714709911")</f>
        <v>https://shopee.co.id/Sekkisei-Day-Essence-i.105297385.1714709911</v>
      </c>
      <c r="C1509" s="6" t="s">
        <v>1997</v>
      </c>
      <c r="D1509" s="6" t="s">
        <v>1998</v>
      </c>
      <c r="E1509" s="6" t="s">
        <v>12</v>
      </c>
      <c r="F1509" s="6" t="s">
        <v>13</v>
      </c>
      <c r="G1509" s="6" t="s">
        <v>532</v>
      </c>
      <c r="H1509" s="8" t="s">
        <v>2569</v>
      </c>
      <c r="I1509" s="9">
        <v>1575690.0</v>
      </c>
      <c r="J1509" s="5" t="str">
        <f t="shared" ref="J1509:K1509" si="1509">SUBSTITUTE(H1509, ",", "")</f>
        <v>10</v>
      </c>
      <c r="K1509" s="5" t="str">
        <f t="shared" si="1509"/>
        <v>Rp1575690</v>
      </c>
      <c r="L1509" s="5" t="str">
        <f t="shared" si="3"/>
        <v>1575690</v>
      </c>
    </row>
    <row r="1510">
      <c r="A1510" s="6" t="s">
        <v>2597</v>
      </c>
      <c r="B1510" s="7" t="str">
        <f>HYPERLINK("https://shopee.co.id/Bio-Essence-Bio-Gold-Day-Cream-SPF-25-40-gr-Twinpack-Special-i.63822287.9638817193", "https://shopee.co.id/Bio-Essence-Bio-Gold-Day-Cream-SPF-25-40-gr-Twinpack-Special-i.63822287.9638817193")</f>
        <v>https://shopee.co.id/Bio-Essence-Bio-Gold-Day-Cream-SPF-25-40-gr-Twinpack-Special-i.63822287.9638817193</v>
      </c>
      <c r="C1510" s="6" t="s">
        <v>834</v>
      </c>
      <c r="D1510" s="6" t="s">
        <v>835</v>
      </c>
      <c r="E1510" s="6" t="s">
        <v>12</v>
      </c>
      <c r="F1510" s="6" t="s">
        <v>13</v>
      </c>
      <c r="G1510" s="6" t="s">
        <v>61</v>
      </c>
      <c r="H1510" s="8" t="s">
        <v>2569</v>
      </c>
      <c r="I1510" s="9">
        <v>795000.0</v>
      </c>
      <c r="J1510" s="5" t="str">
        <f t="shared" ref="J1510:K1510" si="1510">SUBSTITUTE(H1510, ",", "")</f>
        <v>10</v>
      </c>
      <c r="K1510" s="5" t="str">
        <f t="shared" si="1510"/>
        <v>Rp795000</v>
      </c>
      <c r="L1510" s="5" t="str">
        <f t="shared" si="3"/>
        <v>795000</v>
      </c>
    </row>
    <row r="1511">
      <c r="A1511" s="6" t="s">
        <v>505</v>
      </c>
      <c r="B1511" s="7" t="str">
        <f>HYPERLINK("https://shopee.co.id/Buy-Pond-s-Triple-Glow-Serum-30ml-Triple-Glow-Serum-Sheet-Mask-Free-Serum-Burst-Cream-20gr-i.65323877.10344833982", "https://shopee.co.id/Buy-Pond-s-Triple-Glow-Serum-30ml-Triple-Glow-Serum-Sheet-Mask-Free-Serum-Burst-Cream-20gr-i.65323877.10344833982")</f>
        <v>https://shopee.co.id/Buy-Pond-s-Triple-Glow-Serum-30ml-Triple-Glow-Serum-Sheet-Mask-Free-Serum-Burst-Cream-20gr-i.65323877.10344833982</v>
      </c>
      <c r="C1511" s="6" t="s">
        <v>325</v>
      </c>
      <c r="D1511" s="6" t="s">
        <v>1600</v>
      </c>
      <c r="E1511" s="6" t="s">
        <v>12</v>
      </c>
      <c r="F1511" s="6" t="s">
        <v>13</v>
      </c>
      <c r="G1511" s="6" t="s">
        <v>296</v>
      </c>
      <c r="H1511" s="8" t="s">
        <v>2569</v>
      </c>
      <c r="I1511" s="9">
        <v>950000.0</v>
      </c>
      <c r="J1511" s="5" t="str">
        <f t="shared" ref="J1511:K1511" si="1511">SUBSTITUTE(H1511, ",", "")</f>
        <v>10</v>
      </c>
      <c r="K1511" s="5" t="str">
        <f t="shared" si="1511"/>
        <v>Rp950000</v>
      </c>
      <c r="L1511" s="5" t="str">
        <f t="shared" si="3"/>
        <v>950000</v>
      </c>
    </row>
    <row r="1512">
      <c r="A1512" s="6" t="s">
        <v>2598</v>
      </c>
      <c r="B1512" s="7" t="str">
        <f>HYPERLINK("https://shopee.co.id/GEUT-BY-DR-T-GEUT-EVENING-PM-Set-i.430986274.9184424701", "https://shopee.co.id/GEUT-BY-DR-T-GEUT-EVENING-PM-Set-i.430986274.9184424701")</f>
        <v>https://shopee.co.id/GEUT-BY-DR-T-GEUT-EVENING-PM-Set-i.430986274.9184424701</v>
      </c>
      <c r="C1512" s="6" t="s">
        <v>2599</v>
      </c>
      <c r="D1512" s="6" t="s">
        <v>1168</v>
      </c>
      <c r="E1512" s="6" t="s">
        <v>12</v>
      </c>
      <c r="F1512" s="6" t="s">
        <v>13</v>
      </c>
      <c r="G1512" s="6" t="s">
        <v>21</v>
      </c>
      <c r="H1512" s="8" t="s">
        <v>2569</v>
      </c>
      <c r="I1512" s="9">
        <v>1287000.0</v>
      </c>
      <c r="J1512" s="5" t="str">
        <f t="shared" ref="J1512:K1512" si="1512">SUBSTITUTE(H1512, ",", "")</f>
        <v>10</v>
      </c>
      <c r="K1512" s="5" t="str">
        <f t="shared" si="1512"/>
        <v>Rp1287000</v>
      </c>
      <c r="L1512" s="5" t="str">
        <f t="shared" si="3"/>
        <v>1287000</v>
      </c>
    </row>
    <row r="1513">
      <c r="A1513" s="6" t="s">
        <v>2600</v>
      </c>
      <c r="B1513" s="7" t="str">
        <f>HYPERLINK("https://shopee.co.id/Xi-XiU-FACE-SERUM-VITAMIN-C-i.222854973.4462101303", "https://shopee.co.id/Xi-XiU-FACE-SERUM-VITAMIN-C-i.222854973.4462101303")</f>
        <v>https://shopee.co.id/Xi-XiU-FACE-SERUM-VITAMIN-C-i.222854973.4462101303</v>
      </c>
      <c r="C1513" s="6" t="s">
        <v>2231</v>
      </c>
      <c r="D1513" s="6" t="s">
        <v>2232</v>
      </c>
      <c r="E1513" s="6" t="s">
        <v>12</v>
      </c>
      <c r="F1513" s="6" t="s">
        <v>13</v>
      </c>
      <c r="G1513" s="6" t="s">
        <v>36</v>
      </c>
      <c r="H1513" s="8" t="s">
        <v>2569</v>
      </c>
      <c r="I1513" s="9">
        <v>558000.0</v>
      </c>
      <c r="J1513" s="5" t="str">
        <f t="shared" ref="J1513:K1513" si="1513">SUBSTITUTE(H1513, ",", "")</f>
        <v>10</v>
      </c>
      <c r="K1513" s="5" t="str">
        <f t="shared" si="1513"/>
        <v>Rp558000</v>
      </c>
      <c r="L1513" s="5" t="str">
        <f t="shared" si="3"/>
        <v>558000</v>
      </c>
    </row>
    <row r="1514">
      <c r="A1514" s="6" t="s">
        <v>2601</v>
      </c>
      <c r="B1514" s="7" t="str">
        <f>HYPERLINK("https://shopee.co.id/-innisfree-Olive-Real-Serum-50ML-Serum-Wajah-Perawatan-Wajah-i.61504589.5904074509", "https://shopee.co.id/-innisfree-Olive-Real-Serum-50ML-Serum-Wajah-Perawatan-Wajah-i.61504589.5904074509")</f>
        <v>https://shopee.co.id/-innisfree-Olive-Real-Serum-50ML-Serum-Wajah-Perawatan-Wajah-i.61504589.5904074509</v>
      </c>
      <c r="C1514" s="6" t="s">
        <v>294</v>
      </c>
      <c r="D1514" s="6" t="s">
        <v>295</v>
      </c>
      <c r="E1514" s="6" t="s">
        <v>12</v>
      </c>
      <c r="F1514" s="6" t="s">
        <v>13</v>
      </c>
      <c r="G1514" s="6" t="s">
        <v>296</v>
      </c>
      <c r="H1514" s="8" t="s">
        <v>2569</v>
      </c>
      <c r="I1514" s="9">
        <v>573300.0</v>
      </c>
      <c r="J1514" s="5" t="str">
        <f t="shared" ref="J1514:K1514" si="1514">SUBSTITUTE(H1514, ",", "")</f>
        <v>10</v>
      </c>
      <c r="K1514" s="5" t="str">
        <f t="shared" si="1514"/>
        <v>Rp573300</v>
      </c>
      <c r="L1514" s="5" t="str">
        <f t="shared" si="3"/>
        <v>573300</v>
      </c>
    </row>
    <row r="1515">
      <c r="A1515" s="6" t="s">
        <v>2602</v>
      </c>
      <c r="B1515" s="7" t="str">
        <f>HYPERLINK("https://shopee.co.id/Nameera-Hydrating-Glow-Essence-Water-110-ml-i.125968756.1905000243", "https://shopee.co.id/Nameera-Hydrating-Glow-Essence-Water-110-ml-i.125968756.1905000243")</f>
        <v>https://shopee.co.id/Nameera-Hydrating-Glow-Essence-Water-110-ml-i.125968756.1905000243</v>
      </c>
      <c r="C1515" s="6" t="s">
        <v>2603</v>
      </c>
      <c r="D1515" s="6" t="s">
        <v>2604</v>
      </c>
      <c r="E1515" s="6" t="s">
        <v>12</v>
      </c>
      <c r="F1515" s="6" t="s">
        <v>13</v>
      </c>
      <c r="G1515" s="6" t="s">
        <v>296</v>
      </c>
      <c r="H1515" s="8" t="s">
        <v>2569</v>
      </c>
      <c r="I1515" s="9">
        <v>1775000.0</v>
      </c>
      <c r="J1515" s="5" t="str">
        <f t="shared" ref="J1515:K1515" si="1515">SUBSTITUTE(H1515, ",", "")</f>
        <v>10</v>
      </c>
      <c r="K1515" s="5" t="str">
        <f t="shared" si="1515"/>
        <v>Rp1775000</v>
      </c>
      <c r="L1515" s="5" t="str">
        <f t="shared" si="3"/>
        <v>1775000</v>
      </c>
    </row>
    <row r="1516">
      <c r="A1516" s="6" t="s">
        <v>2605</v>
      </c>
      <c r="B1516" s="7" t="str">
        <f>HYPERLINK("https://shopee.co.id/Calysta-Serum-Vitamin-C-i.3188555.8145885", "https://shopee.co.id/Calysta-Serum-Vitamin-C-i.3188555.8145885")</f>
        <v>https://shopee.co.id/Calysta-Serum-Vitamin-C-i.3188555.8145885</v>
      </c>
      <c r="C1516" s="6" t="s">
        <v>1954</v>
      </c>
      <c r="D1516" s="6" t="s">
        <v>1692</v>
      </c>
      <c r="E1516" s="6" t="s">
        <v>12</v>
      </c>
      <c r="F1516" s="6" t="s">
        <v>13</v>
      </c>
      <c r="G1516" s="6" t="s">
        <v>241</v>
      </c>
      <c r="H1516" s="8" t="s">
        <v>2569</v>
      </c>
      <c r="I1516" s="9">
        <v>964260.0</v>
      </c>
      <c r="J1516" s="5" t="str">
        <f t="shared" ref="J1516:K1516" si="1516">SUBSTITUTE(H1516, ",", "")</f>
        <v>10</v>
      </c>
      <c r="K1516" s="5" t="str">
        <f t="shared" si="1516"/>
        <v>Rp964260</v>
      </c>
      <c r="L1516" s="5" t="str">
        <f t="shared" si="3"/>
        <v>964260</v>
      </c>
    </row>
    <row r="1517">
      <c r="A1517" s="6" t="s">
        <v>2606</v>
      </c>
      <c r="B1517" s="7" t="str">
        <f>HYPERLINK("https://shopee.co.id/Tuesbelle-SOMETHINC-Hyaluronic9-advance-B5-Serum-Hyaluronic-B5-20ml-40ml-i.36872574.2685862319", "https://shopee.co.id/Tuesbelle-SOMETHINC-Hyaluronic9-advance-B5-Serum-Hyaluronic-B5-20ml-40ml-i.36872574.2685862319")</f>
        <v>https://shopee.co.id/Tuesbelle-SOMETHINC-Hyaluronic9-advance-B5-Serum-Hyaluronic-B5-20ml-40ml-i.36872574.2685862319</v>
      </c>
      <c r="C1517" s="6" t="s">
        <v>45</v>
      </c>
      <c r="D1517" s="6" t="s">
        <v>969</v>
      </c>
      <c r="E1517" s="6" t="s">
        <v>12</v>
      </c>
      <c r="F1517" s="6" t="s">
        <v>13</v>
      </c>
      <c r="G1517" s="6" t="s">
        <v>115</v>
      </c>
      <c r="H1517" s="8" t="s">
        <v>2569</v>
      </c>
      <c r="I1517" s="9">
        <v>2090400.0</v>
      </c>
      <c r="J1517" s="5" t="str">
        <f t="shared" ref="J1517:K1517" si="1517">SUBSTITUTE(H1517, ",", "")</f>
        <v>10</v>
      </c>
      <c r="K1517" s="5" t="str">
        <f t="shared" si="1517"/>
        <v>Rp2090400</v>
      </c>
      <c r="L1517" s="5" t="str">
        <f t="shared" si="3"/>
        <v>2090400</v>
      </c>
    </row>
    <row r="1518">
      <c r="A1518" s="6" t="s">
        <v>2607</v>
      </c>
      <c r="B1518" s="7" t="str">
        <f>HYPERLINK("https://shopee.co.id/SOMETHINC-Criously-24K-Gold-Essence-i.270965687.4338474815", "https://shopee.co.id/SOMETHINC-Criously-24K-Gold-Essence-i.270965687.4338474815")</f>
        <v>https://shopee.co.id/SOMETHINC-Criously-24K-Gold-Essence-i.270965687.4338474815</v>
      </c>
      <c r="C1518" s="6" t="s">
        <v>45</v>
      </c>
      <c r="D1518" s="6" t="s">
        <v>379</v>
      </c>
      <c r="E1518" s="6" t="s">
        <v>12</v>
      </c>
      <c r="F1518" s="6" t="s">
        <v>13</v>
      </c>
      <c r="G1518" s="6" t="s">
        <v>380</v>
      </c>
      <c r="H1518" s="8" t="s">
        <v>2569</v>
      </c>
      <c r="I1518" s="9">
        <v>1690000.0</v>
      </c>
      <c r="J1518" s="5" t="str">
        <f t="shared" ref="J1518:K1518" si="1518">SUBSTITUTE(H1518, ",", "")</f>
        <v>10</v>
      </c>
      <c r="K1518" s="5" t="str">
        <f t="shared" si="1518"/>
        <v>Rp1690000</v>
      </c>
      <c r="L1518" s="5" t="str">
        <f t="shared" si="3"/>
        <v>1690000</v>
      </c>
    </row>
    <row r="1519">
      <c r="A1519" s="6" t="s">
        <v>2608</v>
      </c>
      <c r="B1519" s="7" t="str">
        <f>HYPERLINK("https://shopee.co.id/BENTON-Snail-Bee-Ultimate-Serum-35ml-i.270965687.6044298147", "https://shopee.co.id/BENTON-Snail-Bee-Ultimate-Serum-35ml-i.270965687.6044298147")</f>
        <v>https://shopee.co.id/BENTON-Snail-Bee-Ultimate-Serum-35ml-i.270965687.6044298147</v>
      </c>
      <c r="C1519" s="6" t="s">
        <v>456</v>
      </c>
      <c r="D1519" s="6" t="s">
        <v>379</v>
      </c>
      <c r="E1519" s="6" t="s">
        <v>12</v>
      </c>
      <c r="F1519" s="6" t="s">
        <v>13</v>
      </c>
      <c r="G1519" s="6" t="s">
        <v>380</v>
      </c>
      <c r="H1519" s="8" t="s">
        <v>2569</v>
      </c>
      <c r="I1519" s="9">
        <v>6232000.0</v>
      </c>
      <c r="J1519" s="5" t="str">
        <f t="shared" ref="J1519:K1519" si="1519">SUBSTITUTE(H1519, ",", "")</f>
        <v>10</v>
      </c>
      <c r="K1519" s="5" t="str">
        <f t="shared" si="1519"/>
        <v>Rp6232000</v>
      </c>
      <c r="L1519" s="5" t="str">
        <f t="shared" si="3"/>
        <v>6232000</v>
      </c>
    </row>
    <row r="1520">
      <c r="A1520" s="6" t="s">
        <v>2609</v>
      </c>
      <c r="B1520" s="7" t="str">
        <f>HYPERLINK("https://shopee.co.id/BHUMI-Skin-Barrier-Clearing-Package-i.37421755.3100574981", "https://shopee.co.id/BHUMI-Skin-Barrier-Clearing-Package-i.37421755.3100574981")</f>
        <v>https://shopee.co.id/BHUMI-Skin-Barrier-Clearing-Package-i.37421755.3100574981</v>
      </c>
      <c r="C1520" s="6" t="s">
        <v>753</v>
      </c>
      <c r="D1520" s="6" t="s">
        <v>754</v>
      </c>
      <c r="E1520" s="6" t="s">
        <v>12</v>
      </c>
      <c r="F1520" s="6" t="s">
        <v>13</v>
      </c>
      <c r="G1520" s="6" t="s">
        <v>469</v>
      </c>
      <c r="H1520" s="8" t="s">
        <v>2569</v>
      </c>
      <c r="I1520" s="9">
        <v>1790000.0</v>
      </c>
      <c r="J1520" s="5" t="str">
        <f t="shared" ref="J1520:K1520" si="1520">SUBSTITUTE(H1520, ",", "")</f>
        <v>10</v>
      </c>
      <c r="K1520" s="5" t="str">
        <f t="shared" si="1520"/>
        <v>Rp1790000</v>
      </c>
      <c r="L1520" s="5" t="str">
        <f t="shared" si="3"/>
        <v>1790000</v>
      </c>
    </row>
    <row r="1521">
      <c r="A1521" s="6" t="s">
        <v>2610</v>
      </c>
      <c r="B1521" s="7" t="str">
        <f>HYPERLINK("https://shopee.co.id/The-Aubree-Niacinamide-Skin-Booster-30ml-i.136011044.2922909543", "https://shopee.co.id/The-Aubree-Niacinamide-Skin-Booster-30ml-i.136011044.2922909543")</f>
        <v>https://shopee.co.id/The-Aubree-Niacinamide-Skin-Booster-30ml-i.136011044.2922909543</v>
      </c>
      <c r="C1521" s="6" t="s">
        <v>772</v>
      </c>
      <c r="D1521" s="6" t="s">
        <v>632</v>
      </c>
      <c r="E1521" s="6" t="s">
        <v>12</v>
      </c>
      <c r="F1521" s="6" t="s">
        <v>13</v>
      </c>
      <c r="G1521" s="6" t="s">
        <v>21</v>
      </c>
      <c r="H1521" s="8" t="s">
        <v>2569</v>
      </c>
      <c r="I1521" s="9">
        <v>567000.0</v>
      </c>
      <c r="J1521" s="5" t="str">
        <f t="shared" ref="J1521:K1521" si="1521">SUBSTITUTE(H1521, ",", "")</f>
        <v>10</v>
      </c>
      <c r="K1521" s="5" t="str">
        <f t="shared" si="1521"/>
        <v>Rp567000</v>
      </c>
      <c r="L1521" s="5" t="str">
        <f t="shared" si="3"/>
        <v>567000</v>
      </c>
    </row>
    <row r="1522">
      <c r="A1522" s="6" t="s">
        <v>2611</v>
      </c>
      <c r="B1522" s="7" t="str">
        <f>HYPERLINK("https://shopee.co.id/Yoqueen-Beuaty-Light-Booster-Serum-10ml-i.48380572.7217900769", "https://shopee.co.id/Yoqueen-Beuaty-Light-Booster-Serum-10ml-i.48380572.7217900769")</f>
        <v>https://shopee.co.id/Yoqueen-Beuaty-Light-Booster-Serum-10ml-i.48380572.7217900769</v>
      </c>
      <c r="C1522" s="6" t="s">
        <v>2118</v>
      </c>
      <c r="D1522" s="6" t="s">
        <v>2119</v>
      </c>
      <c r="E1522" s="6" t="s">
        <v>12</v>
      </c>
      <c r="F1522" s="6" t="s">
        <v>13</v>
      </c>
      <c r="G1522" s="6" t="s">
        <v>2120</v>
      </c>
      <c r="H1522" s="8" t="s">
        <v>2569</v>
      </c>
      <c r="I1522" s="9">
        <v>687324.0</v>
      </c>
      <c r="J1522" s="5" t="str">
        <f t="shared" ref="J1522:K1522" si="1522">SUBSTITUTE(H1522, ",", "")</f>
        <v>10</v>
      </c>
      <c r="K1522" s="5" t="str">
        <f t="shared" si="1522"/>
        <v>Rp687324</v>
      </c>
      <c r="L1522" s="5" t="str">
        <f t="shared" si="3"/>
        <v>687324</v>
      </c>
    </row>
    <row r="1523">
      <c r="A1523" s="6" t="s">
        <v>1784</v>
      </c>
      <c r="B1523" s="7" t="str">
        <f>HYPERLINK("https://shopee.co.id/Somethinc-Bakuchiol-Skinpair-Oil-Serum-20ml-i.10689.8315210720", "https://shopee.co.id/Somethinc-Bakuchiol-Skinpair-Oil-Serum-20ml-i.10689.8315210720")</f>
        <v>https://shopee.co.id/Somethinc-Bakuchiol-Skinpair-Oil-Serum-20ml-i.10689.8315210720</v>
      </c>
      <c r="C1523" s="6" t="s">
        <v>45</v>
      </c>
      <c r="D1523" s="6" t="s">
        <v>745</v>
      </c>
      <c r="E1523" s="6" t="s">
        <v>12</v>
      </c>
      <c r="F1523" s="6" t="s">
        <v>13</v>
      </c>
      <c r="G1523" s="6" t="s">
        <v>61</v>
      </c>
      <c r="H1523" s="8" t="s">
        <v>2569</v>
      </c>
      <c r="I1523" s="9">
        <v>195000.0</v>
      </c>
      <c r="J1523" s="5" t="str">
        <f t="shared" ref="J1523:K1523" si="1523">SUBSTITUTE(H1523, ",", "")</f>
        <v>10</v>
      </c>
      <c r="K1523" s="5" t="str">
        <f t="shared" si="1523"/>
        <v>Rp195000</v>
      </c>
      <c r="L1523" s="5" t="str">
        <f t="shared" si="3"/>
        <v>195000</v>
      </c>
    </row>
    <row r="1524">
      <c r="A1524" s="6" t="s">
        <v>2612</v>
      </c>
      <c r="B1524" s="7" t="str">
        <f>HYPERLINK("https://shopee.co.id/Holika-Holika-Aloe-Soothing-Essence-Skin-Care-Special-Set-i.18856010.1807244531", "https://shopee.co.id/Holika-Holika-Aloe-Soothing-Essence-Skin-Care-Special-Set-i.18856010.1807244531")</f>
        <v>https://shopee.co.id/Holika-Holika-Aloe-Soothing-Essence-Skin-Care-Special-Set-i.18856010.1807244531</v>
      </c>
      <c r="C1524" s="6" t="s">
        <v>2265</v>
      </c>
      <c r="D1524" s="6" t="s">
        <v>2266</v>
      </c>
      <c r="E1524" s="6" t="s">
        <v>12</v>
      </c>
      <c r="F1524" s="6" t="s">
        <v>13</v>
      </c>
      <c r="G1524" s="6" t="s">
        <v>21</v>
      </c>
      <c r="H1524" s="8" t="s">
        <v>2569</v>
      </c>
      <c r="I1524" s="9">
        <v>1105350.0</v>
      </c>
      <c r="J1524" s="5" t="str">
        <f t="shared" ref="J1524:K1524" si="1524">SUBSTITUTE(H1524, ",", "")</f>
        <v>10</v>
      </c>
      <c r="K1524" s="5" t="str">
        <f t="shared" si="1524"/>
        <v>Rp1105350</v>
      </c>
      <c r="L1524" s="5" t="str">
        <f t="shared" si="3"/>
        <v>1105350</v>
      </c>
    </row>
    <row r="1525">
      <c r="A1525" s="6" t="s">
        <v>2613</v>
      </c>
      <c r="B1525" s="7" t="str">
        <f>HYPERLINK("https://shopee.co.id/Safi-Age-Defy-Youth-Elixir-29G-i.30736001.7436316596", "https://shopee.co.id/Safi-Age-Defy-Youth-Elixir-29G-i.30736001.7436316596")</f>
        <v>https://shopee.co.id/Safi-Age-Defy-Youth-Elixir-29G-i.30736001.7436316596</v>
      </c>
      <c r="C1525" s="6" t="s">
        <v>278</v>
      </c>
      <c r="D1525" s="6" t="s">
        <v>335</v>
      </c>
      <c r="E1525" s="6" t="s">
        <v>12</v>
      </c>
      <c r="F1525" s="6" t="s">
        <v>13</v>
      </c>
      <c r="G1525" s="6" t="s">
        <v>36</v>
      </c>
      <c r="H1525" s="8" t="s">
        <v>2569</v>
      </c>
      <c r="I1525" s="9">
        <v>3229600.0</v>
      </c>
      <c r="J1525" s="5" t="str">
        <f t="shared" ref="J1525:K1525" si="1525">SUBSTITUTE(H1525, ",", "")</f>
        <v>10</v>
      </c>
      <c r="K1525" s="5" t="str">
        <f t="shared" si="1525"/>
        <v>Rp3229600</v>
      </c>
      <c r="L1525" s="5" t="str">
        <f t="shared" si="3"/>
        <v>3229600</v>
      </c>
    </row>
    <row r="1526">
      <c r="A1526" s="6" t="s">
        <v>2614</v>
      </c>
      <c r="B1526" s="7" t="str">
        <f>HYPERLINK("https://shopee.co.id/MSBB-True-To-Skin-Bakuchiol-Anti-Aging-Serum-i.288588702.8728446078", "https://shopee.co.id/MSBB-True-To-Skin-Bakuchiol-Anti-Aging-Serum-i.288588702.8728446078")</f>
        <v>https://shopee.co.id/MSBB-True-To-Skin-Bakuchiol-Anti-Aging-Serum-i.288588702.8728446078</v>
      </c>
      <c r="C1526" s="6" t="s">
        <v>666</v>
      </c>
      <c r="D1526" s="6" t="s">
        <v>79</v>
      </c>
      <c r="E1526" s="6" t="s">
        <v>12</v>
      </c>
      <c r="F1526" s="6" t="s">
        <v>13</v>
      </c>
      <c r="G1526" s="6" t="s">
        <v>80</v>
      </c>
      <c r="H1526" s="8" t="s">
        <v>2569</v>
      </c>
      <c r="I1526" s="9">
        <v>1000000.0</v>
      </c>
      <c r="J1526" s="5" t="str">
        <f t="shared" ref="J1526:K1526" si="1526">SUBSTITUTE(H1526, ",", "")</f>
        <v>10</v>
      </c>
      <c r="K1526" s="5" t="str">
        <f t="shared" si="1526"/>
        <v>Rp1000000</v>
      </c>
      <c r="L1526" s="5" t="str">
        <f t="shared" si="3"/>
        <v>1000000</v>
      </c>
    </row>
    <row r="1527">
      <c r="A1527" s="6" t="s">
        <v>2615</v>
      </c>
      <c r="B1527" s="7" t="str">
        <f>HYPERLINK("https://shopee.co.id/KLEVERU-Sea-Buckthorn-Essence-Toner-and-Vitamin-C-10-Ferulic-Serum-i.59078646.8414127802", "https://shopee.co.id/KLEVERU-Sea-Buckthorn-Essence-Toner-and-Vitamin-C-10-Ferulic-Serum-i.59078646.8414127802")</f>
        <v>https://shopee.co.id/KLEVERU-Sea-Buckthorn-Essence-Toner-and-Vitamin-C-10-Ferulic-Serum-i.59078646.8414127802</v>
      </c>
      <c r="C1527" s="6" t="s">
        <v>2408</v>
      </c>
      <c r="D1527" s="6" t="s">
        <v>2616</v>
      </c>
      <c r="E1527" s="6" t="s">
        <v>12</v>
      </c>
      <c r="F1527" s="6" t="s">
        <v>13</v>
      </c>
      <c r="G1527" s="6" t="s">
        <v>21</v>
      </c>
      <c r="H1527" s="8" t="s">
        <v>2569</v>
      </c>
      <c r="I1527" s="9">
        <v>2591798.0</v>
      </c>
      <c r="J1527" s="5" t="str">
        <f t="shared" ref="J1527:K1527" si="1527">SUBSTITUTE(H1527, ",", "")</f>
        <v>10</v>
      </c>
      <c r="K1527" s="5" t="str">
        <f t="shared" si="1527"/>
        <v>Rp2591798</v>
      </c>
      <c r="L1527" s="5" t="str">
        <f t="shared" si="3"/>
        <v>2591798</v>
      </c>
    </row>
    <row r="1528">
      <c r="A1528" s="6" t="s">
        <v>2617</v>
      </c>
      <c r="B1528" s="7" t="str">
        <f>HYPERLINK("https://shopee.co.id/Ponds-Age-Miracle-Youthful-Glow-Double-Action-Serum-30ml-i.30736001.3388355579", "https://shopee.co.id/Ponds-Age-Miracle-Youthful-Glow-Double-Action-Serum-30ml-i.30736001.3388355579")</f>
        <v>https://shopee.co.id/Ponds-Age-Miracle-Youthful-Glow-Double-Action-Serum-30ml-i.30736001.3388355579</v>
      </c>
      <c r="C1528" s="6" t="s">
        <v>325</v>
      </c>
      <c r="D1528" s="6" t="s">
        <v>335</v>
      </c>
      <c r="E1528" s="6" t="s">
        <v>12</v>
      </c>
      <c r="F1528" s="6" t="s">
        <v>13</v>
      </c>
      <c r="G1528" s="6" t="s">
        <v>36</v>
      </c>
      <c r="H1528" s="8" t="s">
        <v>2569</v>
      </c>
      <c r="I1528" s="9">
        <v>1.632E7</v>
      </c>
      <c r="J1528" s="5" t="str">
        <f t="shared" ref="J1528:K1528" si="1528">SUBSTITUTE(H1528, ",", "")</f>
        <v>10</v>
      </c>
      <c r="K1528" s="5" t="str">
        <f t="shared" si="1528"/>
        <v>Rp16320000</v>
      </c>
      <c r="L1528" s="5" t="str">
        <f t="shared" si="3"/>
        <v>16320000</v>
      </c>
    </row>
    <row r="1529">
      <c r="A1529" s="6" t="s">
        <v>2618</v>
      </c>
      <c r="B1529" s="7" t="str">
        <f>HYPERLINK("https://shopee.co.id/Azarine-Eyeluminate-Firming-Serum-15ml-C-White-i.110573301.7785896419", "https://shopee.co.id/Azarine-Eyeluminate-Firming-Serum-15ml-C-White-i.110573301.7785896419")</f>
        <v>https://shopee.co.id/Azarine-Eyeluminate-Firming-Serum-15ml-C-White-i.110573301.7785896419</v>
      </c>
      <c r="C1529" s="6" t="s">
        <v>233</v>
      </c>
      <c r="D1529" s="6" t="s">
        <v>227</v>
      </c>
      <c r="E1529" s="6" t="s">
        <v>12</v>
      </c>
      <c r="F1529" s="6" t="s">
        <v>13</v>
      </c>
      <c r="G1529" s="6" t="s">
        <v>61</v>
      </c>
      <c r="H1529" s="8" t="s">
        <v>2569</v>
      </c>
      <c r="I1529" s="9">
        <v>2.563E7</v>
      </c>
      <c r="J1529" s="5" t="str">
        <f t="shared" ref="J1529:K1529" si="1529">SUBSTITUTE(H1529, ",", "")</f>
        <v>10</v>
      </c>
      <c r="K1529" s="5" t="str">
        <f t="shared" si="1529"/>
        <v>Rp25630000</v>
      </c>
      <c r="L1529" s="5" t="str">
        <f t="shared" si="3"/>
        <v>25630000</v>
      </c>
    </row>
    <row r="1530">
      <c r="A1530" s="6" t="s">
        <v>2619</v>
      </c>
      <c r="B1530" s="7" t="str">
        <f>HYPERLINK("https://shopee.co.id/Vienka-Skin-care-Skincare-Saffron-Safron-Shafron-Brightening-Serum-20-ml-Perawatan-Kecantikan-Wajah-BPOM-HALAL-COD-i.332307361.9431648696", "https://shopee.co.id/Vienka-Skin-care-Skincare-Saffron-Safron-Shafron-Brightening-Serum-20-ml-Perawatan-Kecantikan-Wajah-BPOM-HALAL-COD-i.332307361.9431648696")</f>
        <v>https://shopee.co.id/Vienka-Skin-care-Skincare-Saffron-Safron-Shafron-Brightening-Serum-20-ml-Perawatan-Kecantikan-Wajah-BPOM-HALAL-COD-i.332307361.9431648696</v>
      </c>
      <c r="C1530" s="6" t="s">
        <v>2620</v>
      </c>
      <c r="D1530" s="6" t="s">
        <v>2621</v>
      </c>
      <c r="E1530" s="6" t="s">
        <v>12</v>
      </c>
      <c r="F1530" s="6" t="s">
        <v>13</v>
      </c>
      <c r="G1530" s="6" t="s">
        <v>296</v>
      </c>
      <c r="H1530" s="8" t="s">
        <v>2569</v>
      </c>
      <c r="I1530" s="9">
        <v>7490000.0</v>
      </c>
      <c r="J1530" s="5" t="str">
        <f t="shared" ref="J1530:K1530" si="1530">SUBSTITUTE(H1530, ",", "")</f>
        <v>10</v>
      </c>
      <c r="K1530" s="5" t="str">
        <f t="shared" si="1530"/>
        <v>Rp7490000</v>
      </c>
      <c r="L1530" s="5" t="str">
        <f t="shared" si="3"/>
        <v>7490000</v>
      </c>
    </row>
    <row r="1531">
      <c r="A1531" s="6" t="s">
        <v>2622</v>
      </c>
      <c r="B1531" s="7" t="str">
        <f>HYPERLINK("https://shopee.co.id/Somethinc-10-Niacinamide-Moisture-Sabi-Beet-Max-Brightening-Serum-40ml-i.825870.3785601855", "https://shopee.co.id/Somethinc-10-Niacinamide-Moisture-Sabi-Beet-Max-Brightening-Serum-40ml-i.825870.3785601855")</f>
        <v>https://shopee.co.id/Somethinc-10-Niacinamide-Moisture-Sabi-Beet-Max-Brightening-Serum-40ml-i.825870.3785601855</v>
      </c>
      <c r="C1531" s="6" t="s">
        <v>45</v>
      </c>
      <c r="D1531" s="6" t="s">
        <v>1184</v>
      </c>
      <c r="E1531" s="6" t="s">
        <v>12</v>
      </c>
      <c r="F1531" s="6" t="s">
        <v>13</v>
      </c>
      <c r="G1531" s="6" t="s">
        <v>21</v>
      </c>
      <c r="H1531" s="8" t="s">
        <v>2569</v>
      </c>
      <c r="I1531" s="9">
        <v>1395000.0</v>
      </c>
      <c r="J1531" s="5" t="str">
        <f t="shared" ref="J1531:K1531" si="1531">SUBSTITUTE(H1531, ",", "")</f>
        <v>10</v>
      </c>
      <c r="K1531" s="5" t="str">
        <f t="shared" si="1531"/>
        <v>Rp1395000</v>
      </c>
      <c r="L1531" s="5" t="str">
        <f t="shared" si="3"/>
        <v>1395000</v>
      </c>
    </row>
    <row r="1532">
      <c r="A1532" s="6" t="s">
        <v>2623</v>
      </c>
      <c r="B1532" s="7" t="str">
        <f>HYPERLINK("https://shopee.co.id/Illuminare-Pore-Serum-30ml-anti-jerawat-Acne-perawatan-wajah-Skincare-Kulit-Berminyak-i.121791179.2172931596", "https://shopee.co.id/Illuminare-Pore-Serum-30ml-anti-jerawat-Acne-perawatan-wajah-Skincare-Kulit-Berminyak-i.121791179.2172931596")</f>
        <v>https://shopee.co.id/Illuminare-Pore-Serum-30ml-anti-jerawat-Acne-perawatan-wajah-Skincare-Kulit-Berminyak-i.121791179.2172931596</v>
      </c>
      <c r="C1532" s="6" t="s">
        <v>1750</v>
      </c>
      <c r="D1532" s="6" t="s">
        <v>1733</v>
      </c>
      <c r="E1532" s="6" t="s">
        <v>12</v>
      </c>
      <c r="F1532" s="6" t="s">
        <v>13</v>
      </c>
      <c r="G1532" s="6" t="s">
        <v>36</v>
      </c>
      <c r="H1532" s="8" t="s">
        <v>2569</v>
      </c>
      <c r="I1532" s="9">
        <v>688500.0</v>
      </c>
      <c r="J1532" s="5" t="str">
        <f t="shared" ref="J1532:K1532" si="1532">SUBSTITUTE(H1532, ",", "")</f>
        <v>10</v>
      </c>
      <c r="K1532" s="5" t="str">
        <f t="shared" si="1532"/>
        <v>Rp688500</v>
      </c>
      <c r="L1532" s="5" t="str">
        <f t="shared" si="3"/>
        <v>688500</v>
      </c>
    </row>
    <row r="1533">
      <c r="A1533" s="6" t="s">
        <v>2624</v>
      </c>
      <c r="B1533" s="7" t="str">
        <f>HYPERLINK("https://shopee.co.id/-innisfree-Jeju-Pomegranate-Revitalizing-Emulsion-160ML-i.61504589.7616068874", "https://shopee.co.id/-innisfree-Jeju-Pomegranate-Revitalizing-Emulsion-160ML-i.61504589.7616068874")</f>
        <v>https://shopee.co.id/-innisfree-Jeju-Pomegranate-Revitalizing-Emulsion-160ML-i.61504589.7616068874</v>
      </c>
      <c r="C1533" s="6" t="s">
        <v>294</v>
      </c>
      <c r="D1533" s="6" t="s">
        <v>295</v>
      </c>
      <c r="E1533" s="6" t="s">
        <v>12</v>
      </c>
      <c r="F1533" s="6" t="s">
        <v>13</v>
      </c>
      <c r="G1533" s="6" t="s">
        <v>296</v>
      </c>
      <c r="H1533" s="8" t="s">
        <v>2569</v>
      </c>
      <c r="I1533" s="9">
        <v>726250.0</v>
      </c>
      <c r="J1533" s="5" t="str">
        <f t="shared" ref="J1533:K1533" si="1533">SUBSTITUTE(H1533, ",", "")</f>
        <v>10</v>
      </c>
      <c r="K1533" s="5" t="str">
        <f t="shared" si="1533"/>
        <v>Rp726250</v>
      </c>
      <c r="L1533" s="5" t="str">
        <f t="shared" si="3"/>
        <v>726250</v>
      </c>
    </row>
    <row r="1534">
      <c r="A1534" s="6" t="s">
        <v>2625</v>
      </c>
      <c r="B1534" s="7" t="str">
        <f>HYPERLINK("https://shopee.co.id/Wardah-Treatment-Essence-50ml-i.30736001.9568008321", "https://shopee.co.id/Wardah-Treatment-Essence-50ml-i.30736001.9568008321")</f>
        <v>https://shopee.co.id/Wardah-Treatment-Essence-50ml-i.30736001.9568008321</v>
      </c>
      <c r="C1534" s="6" t="s">
        <v>169</v>
      </c>
      <c r="D1534" s="6" t="s">
        <v>335</v>
      </c>
      <c r="E1534" s="6" t="s">
        <v>12</v>
      </c>
      <c r="F1534" s="6" t="s">
        <v>13</v>
      </c>
      <c r="G1534" s="6" t="s">
        <v>36</v>
      </c>
      <c r="H1534" s="8" t="s">
        <v>2569</v>
      </c>
      <c r="I1534" s="9">
        <v>670000.0</v>
      </c>
      <c r="J1534" s="5" t="str">
        <f t="shared" ref="J1534:K1534" si="1534">SUBSTITUTE(H1534, ",", "")</f>
        <v>10</v>
      </c>
      <c r="K1534" s="5" t="str">
        <f t="shared" si="1534"/>
        <v>Rp670000</v>
      </c>
      <c r="L1534" s="5" t="str">
        <f t="shared" si="3"/>
        <v>670000</v>
      </c>
    </row>
    <row r="1535">
      <c r="A1535" s="6" t="s">
        <v>2626</v>
      </c>
      <c r="B1535" s="7" t="str">
        <f>HYPERLINK("https://shopee.co.id/Dear-Me-Beauty-2-Salicylic-Acid-BHA-Lemon-Extract-Face-Serum-i.270965687.10106239765", "https://shopee.co.id/Dear-Me-Beauty-2-Salicylic-Acid-BHA-Lemon-Extract-Face-Serum-i.270965687.10106239765")</f>
        <v>https://shopee.co.id/Dear-Me-Beauty-2-Salicylic-Acid-BHA-Lemon-Extract-Face-Serum-i.270965687.10106239765</v>
      </c>
      <c r="C1535" s="6" t="s">
        <v>70</v>
      </c>
      <c r="D1535" s="6" t="s">
        <v>379</v>
      </c>
      <c r="E1535" s="6" t="s">
        <v>12</v>
      </c>
      <c r="F1535" s="6" t="s">
        <v>13</v>
      </c>
      <c r="G1535" s="6" t="s">
        <v>380</v>
      </c>
      <c r="H1535" s="8" t="s">
        <v>2569</v>
      </c>
      <c r="I1535" s="9">
        <v>2962400.0</v>
      </c>
      <c r="J1535" s="5" t="str">
        <f t="shared" ref="J1535:K1535" si="1535">SUBSTITUTE(H1535, ",", "")</f>
        <v>10</v>
      </c>
      <c r="K1535" s="5" t="str">
        <f t="shared" si="1535"/>
        <v>Rp2962400</v>
      </c>
      <c r="L1535" s="5" t="str">
        <f t="shared" si="3"/>
        <v>2962400</v>
      </c>
    </row>
    <row r="1536">
      <c r="A1536" s="6" t="s">
        <v>2627</v>
      </c>
      <c r="B1536" s="7" t="str">
        <f>HYPERLINK("https://shopee.co.id/Buy-1-Get-1-Bio-Essence-Bio-Water-Foamy-Cleanser-100-gr-i.63822287.12606216120", "https://shopee.co.id/Buy-1-Get-1-Bio-Essence-Bio-Water-Foamy-Cleanser-100-gr-i.63822287.12606216120")</f>
        <v>https://shopee.co.id/Buy-1-Get-1-Bio-Essence-Bio-Water-Foamy-Cleanser-100-gr-i.63822287.12606216120</v>
      </c>
      <c r="C1536" s="6" t="s">
        <v>1254</v>
      </c>
      <c r="D1536" s="6" t="s">
        <v>835</v>
      </c>
      <c r="E1536" s="6" t="s">
        <v>12</v>
      </c>
      <c r="F1536" s="6" t="s">
        <v>13</v>
      </c>
      <c r="G1536" s="6" t="s">
        <v>61</v>
      </c>
      <c r="H1536" s="8" t="s">
        <v>2628</v>
      </c>
      <c r="I1536" s="9">
        <v>2081000.0</v>
      </c>
      <c r="J1536" s="5" t="str">
        <f t="shared" ref="J1536:K1536" si="1536">SUBSTITUTE(H1536, ",", "")</f>
        <v>9</v>
      </c>
      <c r="K1536" s="5" t="str">
        <f t="shared" si="1536"/>
        <v>Rp2081000</v>
      </c>
      <c r="L1536" s="5" t="str">
        <f t="shared" si="3"/>
        <v>2081000</v>
      </c>
    </row>
    <row r="1537">
      <c r="A1537" s="6" t="s">
        <v>2629</v>
      </c>
      <c r="B1537" s="7" t="str">
        <f>HYPERLINK("https://shopee.co.id/Yoqueen-Beauty-Serum-for-Acne-10ml-i.48380572.7015595344", "https://shopee.co.id/Yoqueen-Beauty-Serum-for-Acne-10ml-i.48380572.7015595344")</f>
        <v>https://shopee.co.id/Yoqueen-Beauty-Serum-for-Acne-10ml-i.48380572.7015595344</v>
      </c>
      <c r="C1537" s="6" t="s">
        <v>2118</v>
      </c>
      <c r="D1537" s="6" t="s">
        <v>2119</v>
      </c>
      <c r="E1537" s="6" t="s">
        <v>12</v>
      </c>
      <c r="F1537" s="6" t="s">
        <v>13</v>
      </c>
      <c r="G1537" s="6" t="s">
        <v>2120</v>
      </c>
      <c r="H1537" s="8" t="s">
        <v>2628</v>
      </c>
      <c r="I1537" s="9">
        <v>3160000.0</v>
      </c>
      <c r="J1537" s="5" t="str">
        <f t="shared" ref="J1537:K1537" si="1537">SUBSTITUTE(H1537, ",", "")</f>
        <v>9</v>
      </c>
      <c r="K1537" s="5" t="str">
        <f t="shared" si="1537"/>
        <v>Rp3160000</v>
      </c>
      <c r="L1537" s="5" t="str">
        <f t="shared" si="3"/>
        <v>3160000</v>
      </c>
    </row>
    <row r="1538">
      <c r="A1538" s="6" t="s">
        <v>2630</v>
      </c>
      <c r="B1538" s="7" t="str">
        <f>HYPERLINK("https://shopee.co.id/Dove-Deodorant-Dry-Serum-Regenerate-Care-Collagen-Vitamin-B3-50-ml-Anti-Bakteri-i.14318452.4961173417", "https://shopee.co.id/Dove-Deodorant-Dry-Serum-Regenerate-Care-Collagen-Vitamin-B3-50-ml-Anti-Bakteri-i.14318452.4961173417")</f>
        <v>https://shopee.co.id/Dove-Deodorant-Dry-Serum-Regenerate-Care-Collagen-Vitamin-B3-50-ml-Anti-Bakteri-i.14318452.4961173417</v>
      </c>
      <c r="C1538" s="6" t="s">
        <v>591</v>
      </c>
      <c r="D1538" s="6" t="s">
        <v>326</v>
      </c>
      <c r="E1538" s="6" t="s">
        <v>12</v>
      </c>
      <c r="F1538" s="6" t="s">
        <v>13</v>
      </c>
      <c r="G1538" s="6" t="s">
        <v>296</v>
      </c>
      <c r="H1538" s="8" t="s">
        <v>2628</v>
      </c>
      <c r="I1538" s="9">
        <v>402300.0</v>
      </c>
      <c r="J1538" s="5" t="str">
        <f t="shared" ref="J1538:K1538" si="1538">SUBSTITUTE(H1538, ",", "")</f>
        <v>9</v>
      </c>
      <c r="K1538" s="5" t="str">
        <f t="shared" si="1538"/>
        <v>Rp402300</v>
      </c>
      <c r="L1538" s="5" t="str">
        <f t="shared" si="3"/>
        <v>402300</v>
      </c>
    </row>
    <row r="1539">
      <c r="A1539" s="6" t="s">
        <v>2631</v>
      </c>
      <c r="B1539" s="7" t="str">
        <f>HYPERLINK("https://shopee.co.id/SKEYNDOR-Antiox-Glowing-Serum-i.241089883.6026333170", "https://shopee.co.id/SKEYNDOR-Antiox-Glowing-Serum-i.241089883.6026333170")</f>
        <v>https://shopee.co.id/SKEYNDOR-Antiox-Glowing-Serum-i.241089883.6026333170</v>
      </c>
      <c r="C1539" s="6" t="s">
        <v>2215</v>
      </c>
      <c r="D1539" s="6" t="s">
        <v>2216</v>
      </c>
      <c r="E1539" s="6" t="s">
        <v>12</v>
      </c>
      <c r="F1539" s="6" t="s">
        <v>13</v>
      </c>
      <c r="G1539" s="6" t="s">
        <v>21</v>
      </c>
      <c r="H1539" s="8" t="s">
        <v>2628</v>
      </c>
      <c r="I1539" s="9">
        <v>1431000.0</v>
      </c>
      <c r="J1539" s="5" t="str">
        <f t="shared" ref="J1539:K1539" si="1539">SUBSTITUTE(H1539, ",", "")</f>
        <v>9</v>
      </c>
      <c r="K1539" s="5" t="str">
        <f t="shared" si="1539"/>
        <v>Rp1431000</v>
      </c>
      <c r="L1539" s="5" t="str">
        <f t="shared" si="3"/>
        <v>1431000</v>
      </c>
    </row>
    <row r="1540">
      <c r="A1540" s="6" t="s">
        <v>2632</v>
      </c>
      <c r="B1540" s="7" t="str">
        <f>HYPERLINK("https://shopee.co.id/Glowlabs-The-Bright-mate-Gentle-Glow-Essence-Gentle-Bright-Serum-Peptide-Moist--i.336869851.11113689121", "https://shopee.co.id/Glowlabs-The-Bright-mate-Gentle-Glow-Essence-Gentle-Bright-Serum-Peptide-Moist--i.336869851.11113689121")</f>
        <v>https://shopee.co.id/Glowlabs-The-Bright-mate-Gentle-Glow-Essence-Gentle-Bright-Serum-Peptide-Moist--i.336869851.11113689121</v>
      </c>
      <c r="C1540" s="6" t="s">
        <v>407</v>
      </c>
      <c r="D1540" s="6" t="s">
        <v>408</v>
      </c>
      <c r="E1540" s="6" t="s">
        <v>12</v>
      </c>
      <c r="F1540" s="6" t="s">
        <v>13</v>
      </c>
      <c r="G1540" s="6" t="s">
        <v>409</v>
      </c>
      <c r="H1540" s="8" t="s">
        <v>2628</v>
      </c>
      <c r="I1540" s="9">
        <v>1729125.0</v>
      </c>
      <c r="J1540" s="5" t="str">
        <f t="shared" ref="J1540:K1540" si="1540">SUBSTITUTE(H1540, ",", "")</f>
        <v>9</v>
      </c>
      <c r="K1540" s="5" t="str">
        <f t="shared" si="1540"/>
        <v>Rp1729125</v>
      </c>
      <c r="L1540" s="5" t="str">
        <f t="shared" si="3"/>
        <v>1729125</v>
      </c>
    </row>
    <row r="1541">
      <c r="A1541" s="6" t="s">
        <v>2633</v>
      </c>
      <c r="B1541" s="7" t="str">
        <f>HYPERLINK("https://shopee.co.id/Beautybarme-Some-By-Mi-Snail-Truecica-Miracle-Repair-Serum-i.28781862.2327906617", "https://shopee.co.id/Beautybarme-Some-By-Mi-Snail-Truecica-Miracle-Repair-Serum-i.28781862.2327906617")</f>
        <v>https://shopee.co.id/Beautybarme-Some-By-Mi-Snail-Truecica-Miracle-Repair-Serum-i.28781862.2327906617</v>
      </c>
      <c r="C1541" s="6" t="s">
        <v>213</v>
      </c>
      <c r="D1541" s="6" t="s">
        <v>1189</v>
      </c>
      <c r="E1541" s="6" t="s">
        <v>12</v>
      </c>
      <c r="F1541" s="6" t="s">
        <v>13</v>
      </c>
      <c r="G1541" s="6" t="s">
        <v>1190</v>
      </c>
      <c r="H1541" s="8" t="s">
        <v>2628</v>
      </c>
      <c r="I1541" s="9">
        <v>1288400.0</v>
      </c>
      <c r="J1541" s="5" t="str">
        <f t="shared" ref="J1541:K1541" si="1541">SUBSTITUTE(H1541, ",", "")</f>
        <v>9</v>
      </c>
      <c r="K1541" s="5" t="str">
        <f t="shared" si="1541"/>
        <v>Rp1288400</v>
      </c>
      <c r="L1541" s="5" t="str">
        <f t="shared" si="3"/>
        <v>1288400</v>
      </c>
    </row>
    <row r="1542">
      <c r="A1542" s="6" t="s">
        <v>2634</v>
      </c>
      <c r="B1542" s="7" t="str">
        <f>HYPERLINK("https://shopee.co.id/Yves-Rocher-Elixir-Jeunesse-Reparation-Anti-Pollution-Serum-Essence-30-ml-i.70687187.1199451251", "https://shopee.co.id/Yves-Rocher-Elixir-Jeunesse-Reparation-Anti-Pollution-Serum-Essence-30-ml-i.70687187.1199451251")</f>
        <v>https://shopee.co.id/Yves-Rocher-Elixir-Jeunesse-Reparation-Anti-Pollution-Serum-Essence-30-ml-i.70687187.1199451251</v>
      </c>
      <c r="C1542" s="6" t="s">
        <v>1672</v>
      </c>
      <c r="D1542" s="6" t="s">
        <v>1673</v>
      </c>
      <c r="E1542" s="6" t="s">
        <v>12</v>
      </c>
      <c r="F1542" s="6" t="s">
        <v>13</v>
      </c>
      <c r="G1542" s="6" t="s">
        <v>61</v>
      </c>
      <c r="H1542" s="8" t="s">
        <v>2628</v>
      </c>
      <c r="I1542" s="9">
        <v>2173700.0</v>
      </c>
      <c r="J1542" s="5" t="str">
        <f t="shared" ref="J1542:K1542" si="1542">SUBSTITUTE(H1542, ",", "")</f>
        <v>9</v>
      </c>
      <c r="K1542" s="5" t="str">
        <f t="shared" si="1542"/>
        <v>Rp2173700</v>
      </c>
      <c r="L1542" s="5" t="str">
        <f t="shared" si="3"/>
        <v>2173700</v>
      </c>
    </row>
    <row r="1543">
      <c r="A1543" s="6" t="s">
        <v>2635</v>
      </c>
      <c r="B1543" s="7" t="str">
        <f>HYPERLINK("https://shopee.co.id/MSBB-Somethinc-CRIOUSLY-24k-GOLD-ESSENCE-40ml-i.288588702.5446404926", "https://shopee.co.id/MSBB-Somethinc-CRIOUSLY-24k-GOLD-ESSENCE-40ml-i.288588702.5446404926")</f>
        <v>https://shopee.co.id/MSBB-Somethinc-CRIOUSLY-24k-GOLD-ESSENCE-40ml-i.288588702.5446404926</v>
      </c>
      <c r="C1543" s="6" t="s">
        <v>45</v>
      </c>
      <c r="D1543" s="6" t="s">
        <v>79</v>
      </c>
      <c r="E1543" s="6" t="s">
        <v>12</v>
      </c>
      <c r="F1543" s="6" t="s">
        <v>13</v>
      </c>
      <c r="G1543" s="6" t="s">
        <v>80</v>
      </c>
      <c r="H1543" s="8" t="s">
        <v>2628</v>
      </c>
      <c r="I1543" s="9">
        <v>449892.0</v>
      </c>
      <c r="J1543" s="5" t="str">
        <f t="shared" ref="J1543:K1543" si="1543">SUBSTITUTE(H1543, ",", "")</f>
        <v>9</v>
      </c>
      <c r="K1543" s="5" t="str">
        <f t="shared" si="1543"/>
        <v>Rp449892</v>
      </c>
      <c r="L1543" s="5" t="str">
        <f t="shared" si="3"/>
        <v>449892</v>
      </c>
    </row>
    <row r="1544">
      <c r="A1544" s="6" t="s">
        <v>2636</v>
      </c>
      <c r="B1544" s="7" t="str">
        <f>HYPERLINK("https://shopee.co.id/Somethinc-CRIOUSLY-24k-GOLD-ESSENCE-40ml-i.110573301.8815961675", "https://shopee.co.id/Somethinc-CRIOUSLY-24k-GOLD-ESSENCE-40ml-i.110573301.8815961675")</f>
        <v>https://shopee.co.id/Somethinc-CRIOUSLY-24k-GOLD-ESSENCE-40ml-i.110573301.8815961675</v>
      </c>
      <c r="C1544" s="6" t="s">
        <v>45</v>
      </c>
      <c r="D1544" s="6" t="s">
        <v>227</v>
      </c>
      <c r="E1544" s="6" t="s">
        <v>12</v>
      </c>
      <c r="F1544" s="6" t="s">
        <v>13</v>
      </c>
      <c r="G1544" s="6" t="s">
        <v>61</v>
      </c>
      <c r="H1544" s="8" t="s">
        <v>2628</v>
      </c>
      <c r="I1544" s="9">
        <v>2160000.0</v>
      </c>
      <c r="J1544" s="5" t="str">
        <f t="shared" ref="J1544:K1544" si="1544">SUBSTITUTE(H1544, ",", "")</f>
        <v>9</v>
      </c>
      <c r="K1544" s="5" t="str">
        <f t="shared" si="1544"/>
        <v>Rp2160000</v>
      </c>
      <c r="L1544" s="5" t="str">
        <f t="shared" si="3"/>
        <v>2160000</v>
      </c>
    </row>
    <row r="1545">
      <c r="A1545" s="6" t="s">
        <v>2637</v>
      </c>
      <c r="B1545" s="7" t="str">
        <f>HYPERLINK("https://shopee.co.id/WHITELAB-Peeling-Serum-AHA-BHA-PHA-15ml-i.270965687.7881756511", "https://shopee.co.id/WHITELAB-Peeling-Serum-AHA-BHA-PHA-15ml-i.270965687.7881756511")</f>
        <v>https://shopee.co.id/WHITELAB-Peeling-Serum-AHA-BHA-PHA-15ml-i.270965687.7881756511</v>
      </c>
      <c r="C1545" s="6" t="s">
        <v>59</v>
      </c>
      <c r="D1545" s="6" t="s">
        <v>379</v>
      </c>
      <c r="E1545" s="6" t="s">
        <v>12</v>
      </c>
      <c r="F1545" s="6" t="s">
        <v>13</v>
      </c>
      <c r="G1545" s="6" t="s">
        <v>380</v>
      </c>
      <c r="H1545" s="8" t="s">
        <v>2628</v>
      </c>
      <c r="I1545" s="9">
        <v>4620000.0</v>
      </c>
      <c r="J1545" s="5" t="str">
        <f t="shared" ref="J1545:K1545" si="1545">SUBSTITUTE(H1545, ",", "")</f>
        <v>9</v>
      </c>
      <c r="K1545" s="5" t="str">
        <f t="shared" si="1545"/>
        <v>Rp4620000</v>
      </c>
      <c r="L1545" s="5" t="str">
        <f t="shared" si="3"/>
        <v>4620000</v>
      </c>
    </row>
    <row r="1546">
      <c r="A1546" s="6" t="s">
        <v>2638</v>
      </c>
      <c r="B1546" s="7" t="str">
        <f>HYPERLINK("https://shopee.co.id/Lacoco-5-Bakuchiol-Essence-i.270965687.11428033221", "https://shopee.co.id/Lacoco-5-Bakuchiol-Essence-i.270965687.11428033221")</f>
        <v>https://shopee.co.id/Lacoco-5-Bakuchiol-Essence-i.270965687.11428033221</v>
      </c>
      <c r="C1546" s="6" t="s">
        <v>501</v>
      </c>
      <c r="D1546" s="6" t="s">
        <v>379</v>
      </c>
      <c r="E1546" s="6" t="s">
        <v>12</v>
      </c>
      <c r="F1546" s="6" t="s">
        <v>13</v>
      </c>
      <c r="G1546" s="6" t="s">
        <v>380</v>
      </c>
      <c r="H1546" s="8" t="s">
        <v>2628</v>
      </c>
      <c r="I1546" s="9">
        <v>1665000.0</v>
      </c>
      <c r="J1546" s="5" t="str">
        <f t="shared" ref="J1546:K1546" si="1546">SUBSTITUTE(H1546, ",", "")</f>
        <v>9</v>
      </c>
      <c r="K1546" s="5" t="str">
        <f t="shared" si="1546"/>
        <v>Rp1665000</v>
      </c>
      <c r="L1546" s="5" t="str">
        <f t="shared" si="3"/>
        <v>1665000</v>
      </c>
    </row>
    <row r="1547">
      <c r="A1547" s="6" t="s">
        <v>2639</v>
      </c>
      <c r="B1547" s="7" t="str">
        <f>HYPERLINK("https://shopee.co.id/Babor-Skinovage-Vitalizing-Cream-Rich-50-ML-i.131188140.7356326719", "https://shopee.co.id/Babor-Skinovage-Vitalizing-Cream-Rich-50-ML-i.131188140.7356326719")</f>
        <v>https://shopee.co.id/Babor-Skinovage-Vitalizing-Cream-Rich-50-ML-i.131188140.7356326719</v>
      </c>
      <c r="C1547" s="6" t="s">
        <v>1433</v>
      </c>
      <c r="D1547" s="6" t="s">
        <v>1434</v>
      </c>
      <c r="E1547" s="6" t="s">
        <v>12</v>
      </c>
      <c r="F1547" s="6" t="s">
        <v>13</v>
      </c>
      <c r="G1547" s="6" t="s">
        <v>61</v>
      </c>
      <c r="H1547" s="8" t="s">
        <v>2628</v>
      </c>
      <c r="I1547" s="9">
        <v>482000.0</v>
      </c>
      <c r="J1547" s="5" t="str">
        <f t="shared" ref="J1547:K1547" si="1547">SUBSTITUTE(H1547, ",", "")</f>
        <v>9</v>
      </c>
      <c r="K1547" s="5" t="str">
        <f t="shared" si="1547"/>
        <v>Rp482000</v>
      </c>
      <c r="L1547" s="5" t="str">
        <f t="shared" si="3"/>
        <v>482000</v>
      </c>
    </row>
    <row r="1548">
      <c r="A1548" s="6" t="s">
        <v>2640</v>
      </c>
      <c r="B1548" s="7" t="str">
        <f>HYPERLINK("https://shopee.co.id/GLAMGLOW-BEST-SERUM-Clearing-And-Anti-Aging-Treatment-i.37242565.8004017888", "https://shopee.co.id/GLAMGLOW-BEST-SERUM-Clearing-And-Anti-Aging-Treatment-i.37242565.8004017888")</f>
        <v>https://shopee.co.id/GLAMGLOW-BEST-SERUM-Clearing-And-Anti-Aging-Treatment-i.37242565.8004017888</v>
      </c>
      <c r="C1548" s="6" t="s">
        <v>2156</v>
      </c>
      <c r="D1548" s="6" t="s">
        <v>2157</v>
      </c>
      <c r="E1548" s="6" t="s">
        <v>12</v>
      </c>
      <c r="F1548" s="6" t="s">
        <v>13</v>
      </c>
      <c r="G1548" s="6" t="s">
        <v>98</v>
      </c>
      <c r="H1548" s="8" t="s">
        <v>2628</v>
      </c>
      <c r="I1548" s="9">
        <v>3024800.0</v>
      </c>
      <c r="J1548" s="5" t="str">
        <f t="shared" ref="J1548:K1548" si="1548">SUBSTITUTE(H1548, ",", "")</f>
        <v>9</v>
      </c>
      <c r="K1548" s="5" t="str">
        <f t="shared" si="1548"/>
        <v>Rp3024800</v>
      </c>
      <c r="L1548" s="5" t="str">
        <f t="shared" si="3"/>
        <v>3024800</v>
      </c>
    </row>
    <row r="1549">
      <c r="A1549" s="6" t="s">
        <v>2641</v>
      </c>
      <c r="B1549" s="7" t="str">
        <f>HYPERLINK("https://shopee.co.id/Aubree-Niacinamide-Skin-Booster-30ml-i.825870.5522871423", "https://shopee.co.id/Aubree-Niacinamide-Skin-Booster-30ml-i.825870.5522871423")</f>
        <v>https://shopee.co.id/Aubree-Niacinamide-Skin-Booster-30ml-i.825870.5522871423</v>
      </c>
      <c r="C1549" s="6" t="s">
        <v>2642</v>
      </c>
      <c r="D1549" s="6" t="s">
        <v>1184</v>
      </c>
      <c r="E1549" s="6" t="s">
        <v>12</v>
      </c>
      <c r="F1549" s="6" t="s">
        <v>13</v>
      </c>
      <c r="G1549" s="6" t="s">
        <v>21</v>
      </c>
      <c r="H1549" s="8" t="s">
        <v>2628</v>
      </c>
      <c r="I1549" s="9">
        <v>4004000.0</v>
      </c>
      <c r="J1549" s="5" t="str">
        <f t="shared" ref="J1549:K1549" si="1549">SUBSTITUTE(H1549, ",", "")</f>
        <v>9</v>
      </c>
      <c r="K1549" s="5" t="str">
        <f t="shared" si="1549"/>
        <v>Rp4004000</v>
      </c>
      <c r="L1549" s="5" t="str">
        <f t="shared" si="3"/>
        <v>4004000</v>
      </c>
    </row>
    <row r="1550">
      <c r="A1550" s="6" t="s">
        <v>2643</v>
      </c>
      <c r="B1550" s="7" t="str">
        <f>HYPERLINK("https://shopee.co.id/Holika-Holika-Gold-Kiwi-Vita-C-Brightening-Serum-Plastic-Seal-Packaging-i.18856010.2922520436", "https://shopee.co.id/Holika-Holika-Gold-Kiwi-Vita-C-Brightening-Serum-Plastic-Seal-Packaging-i.18856010.2922520436")</f>
        <v>https://shopee.co.id/Holika-Holika-Gold-Kiwi-Vita-C-Brightening-Serum-Plastic-Seal-Packaging-i.18856010.2922520436</v>
      </c>
      <c r="C1550" s="6" t="s">
        <v>2265</v>
      </c>
      <c r="D1550" s="6" t="s">
        <v>2266</v>
      </c>
      <c r="E1550" s="6" t="s">
        <v>12</v>
      </c>
      <c r="F1550" s="6" t="s">
        <v>13</v>
      </c>
      <c r="G1550" s="6" t="s">
        <v>21</v>
      </c>
      <c r="H1550" s="8" t="s">
        <v>2628</v>
      </c>
      <c r="I1550" s="9">
        <v>2009250.0</v>
      </c>
      <c r="J1550" s="5" t="str">
        <f t="shared" ref="J1550:K1550" si="1550">SUBSTITUTE(H1550, ",", "")</f>
        <v>9</v>
      </c>
      <c r="K1550" s="5" t="str">
        <f t="shared" si="1550"/>
        <v>Rp2009250</v>
      </c>
      <c r="L1550" s="5" t="str">
        <f t="shared" si="3"/>
        <v>2009250</v>
      </c>
    </row>
    <row r="1551">
      <c r="A1551" s="6" t="s">
        <v>2644</v>
      </c>
      <c r="B1551" s="7" t="str">
        <f>HYPERLINK("https://shopee.co.id/Dear-Me-Beauty-Single-Activator-Face-Serum-12ml-32ml-i.50948181.3489760358", "https://shopee.co.id/Dear-Me-Beauty-Single-Activator-Face-Serum-12ml-32ml-i.50948181.3489760358")</f>
        <v>https://shopee.co.id/Dear-Me-Beauty-Single-Activator-Face-Serum-12ml-32ml-i.50948181.3489760358</v>
      </c>
      <c r="C1551" s="6" t="s">
        <v>70</v>
      </c>
      <c r="D1551" s="6" t="s">
        <v>1129</v>
      </c>
      <c r="E1551" s="6" t="s">
        <v>12</v>
      </c>
      <c r="F1551" s="6" t="s">
        <v>13</v>
      </c>
      <c r="G1551" s="6" t="s">
        <v>1130</v>
      </c>
      <c r="H1551" s="8" t="s">
        <v>2628</v>
      </c>
      <c r="I1551" s="9">
        <v>675000.0</v>
      </c>
      <c r="J1551" s="5" t="str">
        <f t="shared" ref="J1551:K1551" si="1551">SUBSTITUTE(H1551, ",", "")</f>
        <v>9</v>
      </c>
      <c r="K1551" s="5" t="str">
        <f t="shared" si="1551"/>
        <v>Rp675000</v>
      </c>
      <c r="L1551" s="5" t="str">
        <f t="shared" si="3"/>
        <v>675000</v>
      </c>
    </row>
    <row r="1552">
      <c r="A1552" s="6" t="s">
        <v>2645</v>
      </c>
      <c r="B1552" s="7" t="str">
        <f>HYPERLINK("https://shopee.co.id/GLOWINC-POTION-FOREVER-Pro-Youth-Serum-i.487788169.11332270255", "https://shopee.co.id/GLOWINC-POTION-FOREVER-Pro-Youth-Serum-i.487788169.11332270255")</f>
        <v>https://shopee.co.id/GLOWINC-POTION-FOREVER-Pro-Youth-Serum-i.487788169.11332270255</v>
      </c>
      <c r="C1552" s="6" t="s">
        <v>1898</v>
      </c>
      <c r="D1552" s="6" t="s">
        <v>1899</v>
      </c>
      <c r="E1552" s="6" t="s">
        <v>12</v>
      </c>
      <c r="F1552" s="6" t="s">
        <v>13</v>
      </c>
      <c r="G1552" s="6" t="s">
        <v>21</v>
      </c>
      <c r="H1552" s="8" t="s">
        <v>2628</v>
      </c>
      <c r="I1552" s="9">
        <v>1222650.0</v>
      </c>
      <c r="J1552" s="5" t="str">
        <f t="shared" ref="J1552:K1552" si="1552">SUBSTITUTE(H1552, ",", "")</f>
        <v>9</v>
      </c>
      <c r="K1552" s="5" t="str">
        <f t="shared" si="1552"/>
        <v>Rp1222650</v>
      </c>
      <c r="L1552" s="5" t="str">
        <f t="shared" si="3"/>
        <v>1222650</v>
      </c>
    </row>
    <row r="1553">
      <c r="A1553" s="6" t="s">
        <v>2646</v>
      </c>
      <c r="B1553" s="7" t="str">
        <f>HYPERLINK("https://shopee.co.id/Calysta-C-Light-Essence-i.3188555.6952497196", "https://shopee.co.id/Calysta-C-Light-Essence-i.3188555.6952497196")</f>
        <v>https://shopee.co.id/Calysta-C-Light-Essence-i.3188555.6952497196</v>
      </c>
      <c r="C1553" s="6" t="s">
        <v>1954</v>
      </c>
      <c r="D1553" s="6" t="s">
        <v>1692</v>
      </c>
      <c r="E1553" s="6" t="s">
        <v>12</v>
      </c>
      <c r="F1553" s="6" t="s">
        <v>13</v>
      </c>
      <c r="G1553" s="6" t="s">
        <v>241</v>
      </c>
      <c r="H1553" s="8" t="s">
        <v>2628</v>
      </c>
      <c r="I1553" s="9">
        <v>1710000.0</v>
      </c>
      <c r="J1553" s="5" t="str">
        <f t="shared" ref="J1553:K1553" si="1553">SUBSTITUTE(H1553, ",", "")</f>
        <v>9</v>
      </c>
      <c r="K1553" s="5" t="str">
        <f t="shared" si="1553"/>
        <v>Rp1710000</v>
      </c>
      <c r="L1553" s="5" t="str">
        <f t="shared" si="3"/>
        <v>1710000</v>
      </c>
    </row>
    <row r="1554">
      <c r="A1554" s="6" t="s">
        <v>2647</v>
      </c>
      <c r="B1554" s="7" t="str">
        <f>HYPERLINK("https://shopee.co.id/Somethinc-Bakuchiol-Skinpair-Oil-Serum-20-mL-i.65323877.7394819874", "https://shopee.co.id/Somethinc-Bakuchiol-Skinpair-Oil-Serum-20-mL-i.65323877.7394819874")</f>
        <v>https://shopee.co.id/Somethinc-Bakuchiol-Skinpair-Oil-Serum-20-mL-i.65323877.7394819874</v>
      </c>
      <c r="C1554" s="6" t="s">
        <v>45</v>
      </c>
      <c r="D1554" s="6" t="s">
        <v>1600</v>
      </c>
      <c r="E1554" s="6" t="s">
        <v>12</v>
      </c>
      <c r="F1554" s="6" t="s">
        <v>13</v>
      </c>
      <c r="G1554" s="6" t="s">
        <v>296</v>
      </c>
      <c r="H1554" s="8" t="s">
        <v>2628</v>
      </c>
      <c r="I1554" s="9">
        <v>1216800.0</v>
      </c>
      <c r="J1554" s="5" t="str">
        <f t="shared" ref="J1554:K1554" si="1554">SUBSTITUTE(H1554, ",", "")</f>
        <v>9</v>
      </c>
      <c r="K1554" s="5" t="str">
        <f t="shared" si="1554"/>
        <v>Rp1216800</v>
      </c>
      <c r="L1554" s="5" t="str">
        <f t="shared" si="3"/>
        <v>1216800</v>
      </c>
    </row>
    <row r="1555">
      <c r="A1555" s="6" t="s">
        <v>2648</v>
      </c>
      <c r="B1555" s="7" t="str">
        <f>HYPERLINK("https://shopee.co.id/Irine-Beauty-Care-Platinum-Serum-Lightening-with-Niacinamide-Allantoin-Witch-Hazel--i.154545935.2313272770", "https://shopee.co.id/Irine-Beauty-Care-Platinum-Serum-Lightening-with-Niacinamide-Allantoin-Witch-Hazel--i.154545935.2313272770")</f>
        <v>https://shopee.co.id/Irine-Beauty-Care-Platinum-Serum-Lightening-with-Niacinamide-Allantoin-Witch-Hazel--i.154545935.2313272770</v>
      </c>
      <c r="C1555" s="6" t="s">
        <v>2649</v>
      </c>
      <c r="D1555" s="6" t="s">
        <v>2650</v>
      </c>
      <c r="E1555" s="6" t="s">
        <v>12</v>
      </c>
      <c r="F1555" s="6" t="s">
        <v>13</v>
      </c>
      <c r="G1555" s="6" t="s">
        <v>130</v>
      </c>
      <c r="H1555" s="8" t="s">
        <v>2628</v>
      </c>
      <c r="I1555" s="9">
        <v>983250.0</v>
      </c>
      <c r="J1555" s="5" t="str">
        <f t="shared" ref="J1555:K1555" si="1555">SUBSTITUTE(H1555, ",", "")</f>
        <v>9</v>
      </c>
      <c r="K1555" s="5" t="str">
        <f t="shared" si="1555"/>
        <v>Rp983250</v>
      </c>
      <c r="L1555" s="5" t="str">
        <f t="shared" si="3"/>
        <v>983250</v>
      </c>
    </row>
    <row r="1556">
      <c r="A1556" s="6" t="s">
        <v>2651</v>
      </c>
      <c r="B1556" s="7" t="str">
        <f>HYPERLINK("https://shopee.co.id/Somethinc-Criously-24K-Gold-Essence-i.10689.7519446831", "https://shopee.co.id/Somethinc-Criously-24K-Gold-Essence-i.10689.7519446831")</f>
        <v>https://shopee.co.id/Somethinc-Criously-24K-Gold-Essence-i.10689.7519446831</v>
      </c>
      <c r="C1556" s="6" t="s">
        <v>45</v>
      </c>
      <c r="D1556" s="6" t="s">
        <v>745</v>
      </c>
      <c r="E1556" s="6" t="s">
        <v>12</v>
      </c>
      <c r="F1556" s="6" t="s">
        <v>13</v>
      </c>
      <c r="G1556" s="6" t="s">
        <v>61</v>
      </c>
      <c r="H1556" s="8" t="s">
        <v>2628</v>
      </c>
      <c r="I1556" s="9">
        <v>931500.0</v>
      </c>
      <c r="J1556" s="5" t="str">
        <f t="shared" ref="J1556:K1556" si="1556">SUBSTITUTE(H1556, ",", "")</f>
        <v>9</v>
      </c>
      <c r="K1556" s="5" t="str">
        <f t="shared" si="1556"/>
        <v>Rp931500</v>
      </c>
      <c r="L1556" s="5" t="str">
        <f t="shared" si="3"/>
        <v>931500</v>
      </c>
    </row>
    <row r="1557">
      <c r="A1557" s="6" t="s">
        <v>2652</v>
      </c>
      <c r="B1557" s="7" t="str">
        <f>HYPERLINK("https://shopee.co.id/Raiku-Anti-Aging-Serum-30ml-i.82041605.1467890833", "https://shopee.co.id/Raiku-Anti-Aging-Serum-30ml-i.82041605.1467890833")</f>
        <v>https://shopee.co.id/Raiku-Anti-Aging-Serum-30ml-i.82041605.1467890833</v>
      </c>
      <c r="C1557" s="6" t="s">
        <v>2281</v>
      </c>
      <c r="D1557" s="6" t="s">
        <v>2282</v>
      </c>
      <c r="E1557" s="6" t="s">
        <v>12</v>
      </c>
      <c r="F1557" s="6" t="s">
        <v>13</v>
      </c>
      <c r="G1557" s="6" t="s">
        <v>21</v>
      </c>
      <c r="H1557" s="8" t="s">
        <v>2628</v>
      </c>
      <c r="I1557" s="9">
        <v>3376440.0</v>
      </c>
      <c r="J1557" s="5" t="str">
        <f t="shared" ref="J1557:K1557" si="1557">SUBSTITUTE(H1557, ",", "")</f>
        <v>9</v>
      </c>
      <c r="K1557" s="5" t="str">
        <f t="shared" si="1557"/>
        <v>Rp3376440</v>
      </c>
      <c r="L1557" s="5" t="str">
        <f t="shared" si="3"/>
        <v>3376440</v>
      </c>
    </row>
    <row r="1558">
      <c r="A1558" s="6" t="s">
        <v>2653</v>
      </c>
      <c r="B1558" s="7" t="str">
        <f>HYPERLINK("https://shopee.co.id/Benton-Fermentation-Essence-i.125116082.2753580538", "https://shopee.co.id/Benton-Fermentation-Essence-i.125116082.2753580538")</f>
        <v>https://shopee.co.id/Benton-Fermentation-Essence-i.125116082.2753580538</v>
      </c>
      <c r="C1558" s="6" t="s">
        <v>456</v>
      </c>
      <c r="D1558" s="6" t="s">
        <v>713</v>
      </c>
      <c r="E1558" s="6" t="s">
        <v>12</v>
      </c>
      <c r="F1558" s="6" t="s">
        <v>13</v>
      </c>
      <c r="G1558" s="6" t="s">
        <v>61</v>
      </c>
      <c r="H1558" s="8" t="s">
        <v>2628</v>
      </c>
      <c r="I1558" s="9">
        <v>1020000.0</v>
      </c>
      <c r="J1558" s="5" t="str">
        <f t="shared" ref="J1558:K1558" si="1558">SUBSTITUTE(H1558, ",", "")</f>
        <v>9</v>
      </c>
      <c r="K1558" s="5" t="str">
        <f t="shared" si="1558"/>
        <v>Rp1020000</v>
      </c>
      <c r="L1558" s="5" t="str">
        <f t="shared" si="3"/>
        <v>1020000</v>
      </c>
    </row>
    <row r="1559">
      <c r="A1559" s="6" t="s">
        <v>2654</v>
      </c>
      <c r="B1559" s="7" t="str">
        <f>HYPERLINK("https://shopee.co.id/Westcare-Bounce-Glow-Serum-30ml-i.10689.5243227727", "https://shopee.co.id/Westcare-Bounce-Glow-Serum-30ml-i.10689.5243227727")</f>
        <v>https://shopee.co.id/Westcare-Bounce-Glow-Serum-30ml-i.10689.5243227727</v>
      </c>
      <c r="C1559" s="6" t="s">
        <v>1402</v>
      </c>
      <c r="D1559" s="6" t="s">
        <v>745</v>
      </c>
      <c r="E1559" s="6" t="s">
        <v>12</v>
      </c>
      <c r="F1559" s="6" t="s">
        <v>13</v>
      </c>
      <c r="G1559" s="6" t="s">
        <v>61</v>
      </c>
      <c r="H1559" s="8" t="s">
        <v>2628</v>
      </c>
      <c r="I1559" s="9">
        <v>2603000.0</v>
      </c>
      <c r="J1559" s="5" t="str">
        <f t="shared" ref="J1559:K1559" si="1559">SUBSTITUTE(H1559, ",", "")</f>
        <v>9</v>
      </c>
      <c r="K1559" s="5" t="str">
        <f t="shared" si="1559"/>
        <v>Rp2603000</v>
      </c>
      <c r="L1559" s="5" t="str">
        <f t="shared" si="3"/>
        <v>2603000</v>
      </c>
    </row>
    <row r="1560">
      <c r="A1560" s="6" t="s">
        <v>2655</v>
      </c>
      <c r="B1560" s="7" t="str">
        <f>HYPERLINK("https://shopee.co.id/HAYEJIN-Blessing-of-Sprout-Enriched-Serum-10ml-i.318720131.9702107812", "https://shopee.co.id/HAYEJIN-Blessing-of-Sprout-Enriched-Serum-10ml-i.318720131.9702107812")</f>
        <v>https://shopee.co.id/HAYEJIN-Blessing-of-Sprout-Enriched-Serum-10ml-i.318720131.9702107812</v>
      </c>
      <c r="C1560" s="6" t="s">
        <v>761</v>
      </c>
      <c r="D1560" s="6" t="s">
        <v>823</v>
      </c>
      <c r="E1560" s="6" t="s">
        <v>12</v>
      </c>
      <c r="F1560" s="6" t="s">
        <v>13</v>
      </c>
      <c r="G1560" s="6" t="s">
        <v>98</v>
      </c>
      <c r="H1560" s="8" t="s">
        <v>2628</v>
      </c>
      <c r="I1560" s="9">
        <v>1176000.0</v>
      </c>
      <c r="J1560" s="5" t="str">
        <f t="shared" ref="J1560:K1560" si="1560">SUBSTITUTE(H1560, ",", "")</f>
        <v>9</v>
      </c>
      <c r="K1560" s="5" t="str">
        <f t="shared" si="1560"/>
        <v>Rp1176000</v>
      </c>
      <c r="L1560" s="5" t="str">
        <f t="shared" si="3"/>
        <v>1176000</v>
      </c>
    </row>
    <row r="1561">
      <c r="A1561" s="6" t="s">
        <v>2656</v>
      </c>
      <c r="B1561" s="7" t="str">
        <f>HYPERLINK("https://shopee.co.id/VOTRE-PEAU-Maharis-Clinic-Vit-C-Serum-30ml-Blue-Bottle--i.68111.577071313", "https://shopee.co.id/VOTRE-PEAU-Maharis-Clinic-Vit-C-Serum-30ml-Blue-Bottle--i.68111.577071313")</f>
        <v>https://shopee.co.id/VOTRE-PEAU-Maharis-Clinic-Vit-C-Serum-30ml-Blue-Bottle--i.68111.577071313</v>
      </c>
      <c r="C1561" s="6" t="s">
        <v>471</v>
      </c>
      <c r="D1561" s="6" t="s">
        <v>441</v>
      </c>
      <c r="E1561" s="6" t="s">
        <v>12</v>
      </c>
      <c r="F1561" s="6" t="s">
        <v>13</v>
      </c>
      <c r="G1561" s="6" t="s">
        <v>130</v>
      </c>
      <c r="H1561" s="8" t="s">
        <v>2628</v>
      </c>
      <c r="I1561" s="9">
        <v>1890000.0</v>
      </c>
      <c r="J1561" s="5" t="str">
        <f t="shared" ref="J1561:K1561" si="1561">SUBSTITUTE(H1561, ",", "")</f>
        <v>9</v>
      </c>
      <c r="K1561" s="5" t="str">
        <f t="shared" si="1561"/>
        <v>Rp1890000</v>
      </c>
      <c r="L1561" s="5" t="str">
        <f t="shared" si="3"/>
        <v>1890000</v>
      </c>
    </row>
    <row r="1562">
      <c r="A1562" s="6" t="s">
        <v>2657</v>
      </c>
      <c r="B1562" s="7" t="str">
        <f>HYPERLINK("https://shopee.co.id/HISTOIRE-NATURELLE-Lactobacillus-Duo-Facial-Foam-and-Serum--i.315746431.8415086861", "https://shopee.co.id/HISTOIRE-NATURELLE-Lactobacillus-Duo-Facial-Foam-and-Serum--i.315746431.8415086861")</f>
        <v>https://shopee.co.id/HISTOIRE-NATURELLE-Lactobacillus-Duo-Facial-Foam-and-Serum--i.315746431.8415086861</v>
      </c>
      <c r="C1562" s="6" t="s">
        <v>1854</v>
      </c>
      <c r="D1562" s="6" t="s">
        <v>1855</v>
      </c>
      <c r="E1562" s="6" t="s">
        <v>12</v>
      </c>
      <c r="F1562" s="6" t="s">
        <v>13</v>
      </c>
      <c r="G1562" s="6" t="s">
        <v>130</v>
      </c>
      <c r="H1562" s="8" t="s">
        <v>2628</v>
      </c>
      <c r="I1562" s="9">
        <v>685656.0</v>
      </c>
      <c r="J1562" s="5" t="str">
        <f t="shared" ref="J1562:K1562" si="1562">SUBSTITUTE(H1562, ",", "")</f>
        <v>9</v>
      </c>
      <c r="K1562" s="5" t="str">
        <f t="shared" si="1562"/>
        <v>Rp685656</v>
      </c>
      <c r="L1562" s="5" t="str">
        <f t="shared" si="3"/>
        <v>685656</v>
      </c>
    </row>
    <row r="1563">
      <c r="A1563" s="6" t="s">
        <v>2658</v>
      </c>
      <c r="B1563" s="7" t="str">
        <f>HYPERLINK("https://shopee.co.id/Hanasui-Serum-Vit-C-20ml-i.277377659.3739770649", "https://shopee.co.id/Hanasui-Serum-Vit-C-20ml-i.277377659.3739770649")</f>
        <v>https://shopee.co.id/Hanasui-Serum-Vit-C-20ml-i.277377659.3739770649</v>
      </c>
      <c r="C1563" s="6" t="s">
        <v>784</v>
      </c>
      <c r="D1563" s="6" t="s">
        <v>2549</v>
      </c>
      <c r="E1563" s="6" t="s">
        <v>12</v>
      </c>
      <c r="F1563" s="6" t="s">
        <v>13</v>
      </c>
      <c r="G1563" s="6" t="s">
        <v>532</v>
      </c>
      <c r="H1563" s="8" t="s">
        <v>2628</v>
      </c>
      <c r="I1563" s="9">
        <v>388080.0</v>
      </c>
      <c r="J1563" s="5" t="str">
        <f t="shared" ref="J1563:K1563" si="1563">SUBSTITUTE(H1563, ",", "")</f>
        <v>9</v>
      </c>
      <c r="K1563" s="5" t="str">
        <f t="shared" si="1563"/>
        <v>Rp388080</v>
      </c>
      <c r="L1563" s="5" t="str">
        <f t="shared" si="3"/>
        <v>388080</v>
      </c>
    </row>
    <row r="1564">
      <c r="A1564" s="6" t="s">
        <v>2659</v>
      </c>
      <c r="B1564" s="7" t="str">
        <f>HYPERLINK("https://shopee.co.id/Probeauty-Lightening-Gold-Serum-Serum-Glowing-Anti-Aging-i.9171679.1497988947", "https://shopee.co.id/Probeauty-Lightening-Gold-Serum-Serum-Glowing-Anti-Aging-i.9171679.1497988947")</f>
        <v>https://shopee.co.id/Probeauty-Lightening-Gold-Serum-Serum-Glowing-Anti-Aging-i.9171679.1497988947</v>
      </c>
      <c r="C1564" s="6" t="s">
        <v>2207</v>
      </c>
      <c r="D1564" s="6" t="s">
        <v>2208</v>
      </c>
      <c r="E1564" s="6" t="s">
        <v>12</v>
      </c>
      <c r="F1564" s="6" t="s">
        <v>13</v>
      </c>
      <c r="G1564" s="6" t="s">
        <v>2209</v>
      </c>
      <c r="H1564" s="8" t="s">
        <v>2628</v>
      </c>
      <c r="I1564" s="9">
        <v>1758901.0</v>
      </c>
      <c r="J1564" s="5" t="str">
        <f t="shared" ref="J1564:K1564" si="1564">SUBSTITUTE(H1564, ",", "")</f>
        <v>9</v>
      </c>
      <c r="K1564" s="5" t="str">
        <f t="shared" si="1564"/>
        <v>Rp1758901</v>
      </c>
      <c r="L1564" s="5" t="str">
        <f t="shared" si="3"/>
        <v>1758901</v>
      </c>
    </row>
    <row r="1565">
      <c r="A1565" s="6" t="s">
        <v>2660</v>
      </c>
      <c r="B1565" s="7" t="str">
        <f>HYPERLINK("https://shopee.co.id/Babor-Skinovage-Purifying-Serum-30-ML-i.131188140.5056372005", "https://shopee.co.id/Babor-Skinovage-Purifying-Serum-30-ML-i.131188140.5056372005")</f>
        <v>https://shopee.co.id/Babor-Skinovage-Purifying-Serum-30-ML-i.131188140.5056372005</v>
      </c>
      <c r="C1565" s="6" t="s">
        <v>1433</v>
      </c>
      <c r="D1565" s="6" t="s">
        <v>1434</v>
      </c>
      <c r="E1565" s="6" t="s">
        <v>12</v>
      </c>
      <c r="F1565" s="6" t="s">
        <v>13</v>
      </c>
      <c r="G1565" s="6" t="s">
        <v>61</v>
      </c>
      <c r="H1565" s="8" t="s">
        <v>2628</v>
      </c>
      <c r="I1565" s="9">
        <v>647625.0</v>
      </c>
      <c r="J1565" s="5" t="str">
        <f t="shared" ref="J1565:K1565" si="1565">SUBSTITUTE(H1565, ",", "")</f>
        <v>9</v>
      </c>
      <c r="K1565" s="5" t="str">
        <f t="shared" si="1565"/>
        <v>Rp647625</v>
      </c>
      <c r="L1565" s="5" t="str">
        <f t="shared" si="3"/>
        <v>647625</v>
      </c>
    </row>
    <row r="1566">
      <c r="A1566" s="6" t="s">
        <v>2661</v>
      </c>
      <c r="B1566" s="7" t="str">
        <f>HYPERLINK("https://shopee.co.id/Dear-Me-Beauty-Paket-Serum-Anti-Komedo-Anti-Beruntusan-32ml-BHA-12-ml-Retinol-i.45495764.13511653788", "https://shopee.co.id/Dear-Me-Beauty-Paket-Serum-Anti-Komedo-Anti-Beruntusan-32ml-BHA-12-ml-Retinol-i.45495764.13511653788")</f>
        <v>https://shopee.co.id/Dear-Me-Beauty-Paket-Serum-Anti-Komedo-Anti-Beruntusan-32ml-BHA-12-ml-Retinol-i.45495764.13511653788</v>
      </c>
      <c r="C1566" s="6" t="s">
        <v>70</v>
      </c>
      <c r="D1566" s="6" t="s">
        <v>71</v>
      </c>
      <c r="E1566" s="6" t="s">
        <v>12</v>
      </c>
      <c r="F1566" s="6" t="s">
        <v>13</v>
      </c>
      <c r="G1566" s="6" t="s">
        <v>61</v>
      </c>
      <c r="H1566" s="8" t="s">
        <v>2628</v>
      </c>
      <c r="I1566" s="9">
        <v>1726400.0</v>
      </c>
      <c r="J1566" s="5" t="str">
        <f t="shared" ref="J1566:K1566" si="1566">SUBSTITUTE(H1566, ",", "")</f>
        <v>9</v>
      </c>
      <c r="K1566" s="5" t="str">
        <f t="shared" si="1566"/>
        <v>Rp1726400</v>
      </c>
      <c r="L1566" s="5" t="str">
        <f t="shared" si="3"/>
        <v>1726400</v>
      </c>
    </row>
    <row r="1567">
      <c r="A1567" s="6" t="s">
        <v>2662</v>
      </c>
      <c r="B1567" s="7" t="str">
        <f>HYPERLINK("https://shopee.co.id/LOVILA-Glow-Activation-Booster-Serum-i.270965687.9222958432", "https://shopee.co.id/LOVILA-Glow-Activation-Booster-Serum-i.270965687.9222958432")</f>
        <v>https://shopee.co.id/LOVILA-Glow-Activation-Booster-Serum-i.270965687.9222958432</v>
      </c>
      <c r="C1567" s="6" t="s">
        <v>619</v>
      </c>
      <c r="D1567" s="6" t="s">
        <v>379</v>
      </c>
      <c r="E1567" s="6" t="s">
        <v>12</v>
      </c>
      <c r="F1567" s="6" t="s">
        <v>13</v>
      </c>
      <c r="G1567" s="6" t="s">
        <v>380</v>
      </c>
      <c r="H1567" s="8" t="s">
        <v>2628</v>
      </c>
      <c r="I1567" s="9">
        <v>1233000.0</v>
      </c>
      <c r="J1567" s="5" t="str">
        <f t="shared" ref="J1567:K1567" si="1567">SUBSTITUTE(H1567, ",", "")</f>
        <v>9</v>
      </c>
      <c r="K1567" s="5" t="str">
        <f t="shared" si="1567"/>
        <v>Rp1233000</v>
      </c>
      <c r="L1567" s="5" t="str">
        <f t="shared" si="3"/>
        <v>1233000</v>
      </c>
    </row>
    <row r="1568">
      <c r="A1568" s="6" t="s">
        <v>2663</v>
      </c>
      <c r="B1568" s="7" t="str">
        <f>HYPERLINK("https://shopee.co.id/Dear-Me-Beauty-Single-Activator-Face-Serum-12ml-32ml-i.136011044.9850026312", "https://shopee.co.id/Dear-Me-Beauty-Single-Activator-Face-Serum-12ml-32ml-i.136011044.9850026312")</f>
        <v>https://shopee.co.id/Dear-Me-Beauty-Single-Activator-Face-Serum-12ml-32ml-i.136011044.9850026312</v>
      </c>
      <c r="C1568" s="6" t="s">
        <v>70</v>
      </c>
      <c r="D1568" s="6" t="s">
        <v>632</v>
      </c>
      <c r="E1568" s="6" t="s">
        <v>12</v>
      </c>
      <c r="F1568" s="6" t="s">
        <v>13</v>
      </c>
      <c r="G1568" s="6" t="s">
        <v>21</v>
      </c>
      <c r="H1568" s="8" t="s">
        <v>2628</v>
      </c>
      <c r="I1568" s="9">
        <v>2760000.0</v>
      </c>
      <c r="J1568" s="5" t="str">
        <f t="shared" ref="J1568:K1568" si="1568">SUBSTITUTE(H1568, ",", "")</f>
        <v>9</v>
      </c>
      <c r="K1568" s="5" t="str">
        <f t="shared" si="1568"/>
        <v>Rp2760000</v>
      </c>
      <c r="L1568" s="5" t="str">
        <f t="shared" si="3"/>
        <v>2760000</v>
      </c>
    </row>
    <row r="1569">
      <c r="A1569" s="6" t="s">
        <v>2664</v>
      </c>
      <c r="B1569" s="7" t="str">
        <f>HYPERLINK("https://shopee.co.id/SYB-Forte-Serum-Acne-i.150222332.2329528579", "https://shopee.co.id/SYB-Forte-Serum-Acne-i.150222332.2329528579")</f>
        <v>https://shopee.co.id/SYB-Forte-Serum-Acne-i.150222332.2329528579</v>
      </c>
      <c r="C1569" s="6" t="s">
        <v>1736</v>
      </c>
      <c r="D1569" s="6" t="s">
        <v>1737</v>
      </c>
      <c r="E1569" s="6" t="s">
        <v>12</v>
      </c>
      <c r="F1569" s="6" t="s">
        <v>13</v>
      </c>
      <c r="G1569" s="6" t="s">
        <v>350</v>
      </c>
      <c r="H1569" s="8" t="s">
        <v>2628</v>
      </c>
      <c r="I1569" s="9">
        <v>1039500.0</v>
      </c>
      <c r="J1569" s="5" t="str">
        <f t="shared" ref="J1569:K1569" si="1569">SUBSTITUTE(H1569, ",", "")</f>
        <v>9</v>
      </c>
      <c r="K1569" s="5" t="str">
        <f t="shared" si="1569"/>
        <v>Rp1039500</v>
      </c>
      <c r="L1569" s="5" t="str">
        <f t="shared" si="3"/>
        <v>1039500</v>
      </c>
    </row>
    <row r="1570">
      <c r="A1570" s="6" t="s">
        <v>2665</v>
      </c>
      <c r="B1570" s="7" t="str">
        <f>HYPERLINK("https://shopee.co.id/Bio-Essence-Bio-White-Starter-Pack-Free-Bio-White-Mask-i.63822287.10600514403", "https://shopee.co.id/Bio-Essence-Bio-White-Starter-Pack-Free-Bio-White-Mask-i.63822287.10600514403")</f>
        <v>https://shopee.co.id/Bio-Essence-Bio-White-Starter-Pack-Free-Bio-White-Mask-i.63822287.10600514403</v>
      </c>
      <c r="C1570" s="6" t="s">
        <v>1254</v>
      </c>
      <c r="D1570" s="6" t="s">
        <v>835</v>
      </c>
      <c r="E1570" s="6" t="s">
        <v>12</v>
      </c>
      <c r="F1570" s="6" t="s">
        <v>13</v>
      </c>
      <c r="G1570" s="6" t="s">
        <v>61</v>
      </c>
      <c r="H1570" s="8" t="s">
        <v>2628</v>
      </c>
      <c r="I1570" s="9">
        <v>1564425.0</v>
      </c>
      <c r="J1570" s="5" t="str">
        <f t="shared" ref="J1570:K1570" si="1570">SUBSTITUTE(H1570, ",", "")</f>
        <v>9</v>
      </c>
      <c r="K1570" s="5" t="str">
        <f t="shared" si="1570"/>
        <v>Rp1564425</v>
      </c>
      <c r="L1570" s="5" t="str">
        <f t="shared" si="3"/>
        <v>1564425</v>
      </c>
    </row>
    <row r="1571">
      <c r="A1571" s="6" t="s">
        <v>2666</v>
      </c>
      <c r="B1571" s="7" t="str">
        <f>HYPERLINK("https://shopee.co.id/Natasha-by-dr-Fredi-Setyawan-Almond-Brightening-Day-Serum-i.40121814.693787398", "https://shopee.co.id/Natasha-by-dr-Fredi-Setyawan-Almond-Brightening-Day-Serum-i.40121814.693787398")</f>
        <v>https://shopee.co.id/Natasha-by-dr-Fredi-Setyawan-Almond-Brightening-Day-Serum-i.40121814.693787398</v>
      </c>
      <c r="C1571" s="6" t="s">
        <v>1752</v>
      </c>
      <c r="D1571" s="6" t="s">
        <v>794</v>
      </c>
      <c r="E1571" s="6" t="s">
        <v>12</v>
      </c>
      <c r="F1571" s="6" t="s">
        <v>13</v>
      </c>
      <c r="G1571" s="6" t="s">
        <v>380</v>
      </c>
      <c r="H1571" s="8" t="s">
        <v>2628</v>
      </c>
      <c r="I1571" s="9">
        <v>6631700.0</v>
      </c>
      <c r="J1571" s="5" t="str">
        <f t="shared" ref="J1571:K1571" si="1571">SUBSTITUTE(H1571, ",", "")</f>
        <v>9</v>
      </c>
      <c r="K1571" s="5" t="str">
        <f t="shared" si="1571"/>
        <v>Rp6631700</v>
      </c>
      <c r="L1571" s="5" t="str">
        <f t="shared" si="3"/>
        <v>6631700</v>
      </c>
    </row>
    <row r="1572">
      <c r="A1572" s="6" t="s">
        <v>2667</v>
      </c>
      <c r="B1572" s="7" t="str">
        <f>HYPERLINK("https://shopee.co.id/I-Face-Vitamin-C-Serum-10-mL-Serum-Kulit-Serum-Wajah-Serum-Kulit-Wajah-Pencerah-Wajah-i.204185841.5979636920", "https://shopee.co.id/I-Face-Vitamin-C-Serum-10-mL-Serum-Kulit-Serum-Wajah-Serum-Kulit-Wajah-Pencerah-Wajah-i.204185841.5979636920")</f>
        <v>https://shopee.co.id/I-Face-Vitamin-C-Serum-10-mL-Serum-Kulit-Serum-Wajah-Serum-Kulit-Wajah-Pencerah-Wajah-i.204185841.5979636920</v>
      </c>
      <c r="C1572" s="6" t="s">
        <v>1116</v>
      </c>
      <c r="D1572" s="6" t="s">
        <v>2568</v>
      </c>
      <c r="E1572" s="6" t="s">
        <v>12</v>
      </c>
      <c r="F1572" s="6" t="s">
        <v>13</v>
      </c>
      <c r="G1572" s="6" t="s">
        <v>36</v>
      </c>
      <c r="H1572" s="8" t="s">
        <v>2628</v>
      </c>
      <c r="I1572" s="9">
        <v>2.69158E7</v>
      </c>
      <c r="J1572" s="5" t="str">
        <f t="shared" ref="J1572:K1572" si="1572">SUBSTITUTE(H1572, ",", "")</f>
        <v>9</v>
      </c>
      <c r="K1572" s="5" t="str">
        <f t="shared" si="1572"/>
        <v>Rp26915800</v>
      </c>
      <c r="L1572" s="5" t="str">
        <f t="shared" si="3"/>
        <v>26915800</v>
      </c>
    </row>
    <row r="1573">
      <c r="A1573" s="6" t="s">
        <v>2668</v>
      </c>
      <c r="B1573" s="7" t="str">
        <f>HYPERLINK("https://shopee.co.id/KLEVERU-Vitamin-C-10-Ferulic-Serum-15ml-i.270965687.10502997167", "https://shopee.co.id/KLEVERU-Vitamin-C-10-Ferulic-Serum-15ml-i.270965687.10502997167")</f>
        <v>https://shopee.co.id/KLEVERU-Vitamin-C-10-Ferulic-Serum-15ml-i.270965687.10502997167</v>
      </c>
      <c r="C1573" s="6" t="s">
        <v>2408</v>
      </c>
      <c r="D1573" s="6" t="s">
        <v>379</v>
      </c>
      <c r="E1573" s="6" t="s">
        <v>12</v>
      </c>
      <c r="F1573" s="6" t="s">
        <v>13</v>
      </c>
      <c r="G1573" s="6" t="s">
        <v>380</v>
      </c>
      <c r="H1573" s="8" t="s">
        <v>2628</v>
      </c>
      <c r="I1573" s="9">
        <v>2.74575E7</v>
      </c>
      <c r="J1573" s="5" t="str">
        <f t="shared" ref="J1573:K1573" si="1573">SUBSTITUTE(H1573, ",", "")</f>
        <v>9</v>
      </c>
      <c r="K1573" s="5" t="str">
        <f t="shared" si="1573"/>
        <v>Rp27457500</v>
      </c>
      <c r="L1573" s="5" t="str">
        <f t="shared" si="3"/>
        <v>27457500</v>
      </c>
    </row>
    <row r="1574">
      <c r="A1574" s="6" t="s">
        <v>2669</v>
      </c>
      <c r="B1574" s="7" t="str">
        <f>HYPERLINK("https://shopee.co.id/Avoskin-Perfect-Hydrating-Treatment-Essence-30ml-100ml-i.136011044.6845311972", "https://shopee.co.id/Avoskin-Perfect-Hydrating-Treatment-Essence-30ml-100ml-i.136011044.6845311972")</f>
        <v>https://shopee.co.id/Avoskin-Perfect-Hydrating-Treatment-Essence-30ml-100ml-i.136011044.6845311972</v>
      </c>
      <c r="C1574" s="6" t="s">
        <v>83</v>
      </c>
      <c r="D1574" s="6" t="s">
        <v>632</v>
      </c>
      <c r="E1574" s="6" t="s">
        <v>12</v>
      </c>
      <c r="F1574" s="6" t="s">
        <v>13</v>
      </c>
      <c r="G1574" s="6" t="s">
        <v>21</v>
      </c>
      <c r="H1574" s="8" t="s">
        <v>2628</v>
      </c>
      <c r="I1574" s="9">
        <v>1485000.0</v>
      </c>
      <c r="J1574" s="5" t="str">
        <f t="shared" ref="J1574:K1574" si="1574">SUBSTITUTE(H1574, ",", "")</f>
        <v>9</v>
      </c>
      <c r="K1574" s="5" t="str">
        <f t="shared" si="1574"/>
        <v>Rp1485000</v>
      </c>
      <c r="L1574" s="5" t="str">
        <f t="shared" si="3"/>
        <v>1485000</v>
      </c>
    </row>
    <row r="1575">
      <c r="A1575" s="6" t="s">
        <v>2670</v>
      </c>
      <c r="B1575" s="7" t="str">
        <f>HYPERLINK("https://shopee.co.id/Probio-C-Vitamin-C-Spray-50ml-i.121791179.5117580466", "https://shopee.co.id/Probio-C-Vitamin-C-Spray-50ml-i.121791179.5117580466")</f>
        <v>https://shopee.co.id/Probio-C-Vitamin-C-Spray-50ml-i.121791179.5117580466</v>
      </c>
      <c r="C1575" s="6" t="s">
        <v>2671</v>
      </c>
      <c r="D1575" s="6" t="s">
        <v>1733</v>
      </c>
      <c r="E1575" s="6" t="s">
        <v>12</v>
      </c>
      <c r="F1575" s="6" t="s">
        <v>13</v>
      </c>
      <c r="G1575" s="6" t="s">
        <v>36</v>
      </c>
      <c r="H1575" s="8" t="s">
        <v>2628</v>
      </c>
      <c r="I1575" s="9">
        <v>868500.0</v>
      </c>
      <c r="J1575" s="5" t="str">
        <f t="shared" ref="J1575:K1575" si="1575">SUBSTITUTE(H1575, ",", "")</f>
        <v>9</v>
      </c>
      <c r="K1575" s="5" t="str">
        <f t="shared" si="1575"/>
        <v>Rp868500</v>
      </c>
      <c r="L1575" s="5" t="str">
        <f t="shared" si="3"/>
        <v>868500</v>
      </c>
    </row>
    <row r="1576">
      <c r="A1576" s="6" t="s">
        <v>2672</v>
      </c>
      <c r="B1576" s="7" t="str">
        <f>HYPERLINK("https://shopee.co.id/Shiseido-Benefiance-Wrinkle-Smoothing-Contour-Serum-30ml-i.345419471.3569650506", "https://shopee.co.id/Shiseido-Benefiance-Wrinkle-Smoothing-Contour-Serum-30ml-i.345419471.3569650506")</f>
        <v>https://shopee.co.id/Shiseido-Benefiance-Wrinkle-Smoothing-Contour-Serum-30ml-i.345419471.3569650506</v>
      </c>
      <c r="C1576" s="6" t="s">
        <v>868</v>
      </c>
      <c r="D1576" s="6" t="s">
        <v>869</v>
      </c>
      <c r="E1576" s="6" t="s">
        <v>12</v>
      </c>
      <c r="F1576" s="6" t="s">
        <v>13</v>
      </c>
      <c r="G1576" s="6" t="s">
        <v>130</v>
      </c>
      <c r="H1576" s="8" t="s">
        <v>2628</v>
      </c>
      <c r="I1576" s="9">
        <v>2583300.0</v>
      </c>
      <c r="J1576" s="5" t="str">
        <f t="shared" ref="J1576:K1576" si="1576">SUBSTITUTE(H1576, ",", "")</f>
        <v>9</v>
      </c>
      <c r="K1576" s="5" t="str">
        <f t="shared" si="1576"/>
        <v>Rp2583300</v>
      </c>
      <c r="L1576" s="5" t="str">
        <f t="shared" si="3"/>
        <v>2583300</v>
      </c>
    </row>
    <row r="1577">
      <c r="A1577" s="6" t="s">
        <v>2673</v>
      </c>
      <c r="B1577" s="7" t="str">
        <f>HYPERLINK("https://shopee.co.id/L-Oreal-Paris-Revitalift-Pro-Youth-Serum-Sheet-Mask-Skin-Care-Elasticity-Kulit-Terasa-Kencang--i.62579622.4016460126", "https://shopee.co.id/L-Oreal-Paris-Revitalift-Pro-Youth-Serum-Sheet-Mask-Skin-Care-Elasticity-Kulit-Terasa-Kencang--i.62579622.4016460126")</f>
        <v>https://shopee.co.id/L-Oreal-Paris-Revitalift-Pro-Youth-Serum-Sheet-Mask-Skin-Care-Elasticity-Kulit-Terasa-Kencang--i.62579622.4016460126</v>
      </c>
      <c r="C1577" s="6" t="s">
        <v>105</v>
      </c>
      <c r="D1577" s="6" t="s">
        <v>106</v>
      </c>
      <c r="E1577" s="6" t="s">
        <v>12</v>
      </c>
      <c r="F1577" s="6" t="s">
        <v>13</v>
      </c>
      <c r="G1577" s="6" t="s">
        <v>61</v>
      </c>
      <c r="H1577" s="8" t="s">
        <v>2628</v>
      </c>
      <c r="I1577" s="9">
        <v>861250.0</v>
      </c>
      <c r="J1577" s="5" t="str">
        <f t="shared" ref="J1577:K1577" si="1577">SUBSTITUTE(H1577, ",", "")</f>
        <v>9</v>
      </c>
      <c r="K1577" s="5" t="str">
        <f t="shared" si="1577"/>
        <v>Rp861250</v>
      </c>
      <c r="L1577" s="5" t="str">
        <f t="shared" si="3"/>
        <v>861250</v>
      </c>
    </row>
    <row r="1578">
      <c r="A1578" s="6" t="s">
        <v>2674</v>
      </c>
      <c r="B1578" s="7" t="str">
        <f>HYPERLINK("https://shopee.co.id/Daneen-Brightening-Serum-10ml-i.328329669.8415011983", "https://shopee.co.id/Daneen-Brightening-Serum-10ml-i.328329669.8415011983")</f>
        <v>https://shopee.co.id/Daneen-Brightening-Serum-10ml-i.328329669.8415011983</v>
      </c>
      <c r="C1578" s="6" t="s">
        <v>2675</v>
      </c>
      <c r="D1578" s="6" t="s">
        <v>2676</v>
      </c>
      <c r="E1578" s="6" t="s">
        <v>12</v>
      </c>
      <c r="F1578" s="6" t="s">
        <v>13</v>
      </c>
      <c r="G1578" s="6" t="s">
        <v>36</v>
      </c>
      <c r="H1578" s="8" t="s">
        <v>2628</v>
      </c>
      <c r="I1578" s="9">
        <v>852300.0</v>
      </c>
      <c r="J1578" s="5" t="str">
        <f t="shared" ref="J1578:K1578" si="1578">SUBSTITUTE(H1578, ",", "")</f>
        <v>9</v>
      </c>
      <c r="K1578" s="5" t="str">
        <f t="shared" si="1578"/>
        <v>Rp852300</v>
      </c>
      <c r="L1578" s="5" t="str">
        <f t="shared" si="3"/>
        <v>852300</v>
      </c>
    </row>
    <row r="1579">
      <c r="A1579" s="6" t="s">
        <v>2677</v>
      </c>
      <c r="B1579" s="7" t="str">
        <f>HYPERLINK("https://shopee.co.id/Huxley-Essence-Grab-Water-i.125116082.2753084376", "https://shopee.co.id/Huxley-Essence-Grab-Water-i.125116082.2753084376")</f>
        <v>https://shopee.co.id/Huxley-Essence-Grab-Water-i.125116082.2753084376</v>
      </c>
      <c r="C1579" s="6" t="s">
        <v>1635</v>
      </c>
      <c r="D1579" s="6" t="s">
        <v>713</v>
      </c>
      <c r="E1579" s="6" t="s">
        <v>12</v>
      </c>
      <c r="F1579" s="6" t="s">
        <v>13</v>
      </c>
      <c r="G1579" s="6" t="s">
        <v>61</v>
      </c>
      <c r="H1579" s="8" t="s">
        <v>2628</v>
      </c>
      <c r="I1579" s="9">
        <v>5733000.0</v>
      </c>
      <c r="J1579" s="5" t="str">
        <f t="shared" ref="J1579:K1579" si="1579">SUBSTITUTE(H1579, ",", "")</f>
        <v>9</v>
      </c>
      <c r="K1579" s="5" t="str">
        <f t="shared" si="1579"/>
        <v>Rp5733000</v>
      </c>
      <c r="L1579" s="5" t="str">
        <f t="shared" si="3"/>
        <v>5733000</v>
      </c>
    </row>
    <row r="1580">
      <c r="A1580" s="6" t="s">
        <v>2678</v>
      </c>
      <c r="B1580" s="7" t="str">
        <f>HYPERLINK("https://shopee.co.id/AZARINE-ANTI-ACNE-BRIGHTENING-SERUM-20-ML-i.50972887.4888243527", "https://shopee.co.id/AZARINE-ANTI-ACNE-BRIGHTENING-SERUM-20-ML-i.50972887.4888243527")</f>
        <v>https://shopee.co.id/AZARINE-ANTI-ACNE-BRIGHTENING-SERUM-20-ML-i.50972887.4888243527</v>
      </c>
      <c r="C1580" s="6" t="s">
        <v>233</v>
      </c>
      <c r="D1580" s="6" t="s">
        <v>552</v>
      </c>
      <c r="E1580" s="6" t="s">
        <v>12</v>
      </c>
      <c r="F1580" s="6" t="s">
        <v>13</v>
      </c>
      <c r="G1580" s="6" t="s">
        <v>61</v>
      </c>
      <c r="H1580" s="8" t="s">
        <v>2679</v>
      </c>
      <c r="I1580" s="9">
        <v>1091500.0</v>
      </c>
      <c r="J1580" s="5" t="str">
        <f t="shared" ref="J1580:K1580" si="1580">SUBSTITUTE(H1580, ",", "")</f>
        <v>8</v>
      </c>
      <c r="K1580" s="5" t="str">
        <f t="shared" si="1580"/>
        <v>Rp1091500</v>
      </c>
      <c r="L1580" s="5" t="str">
        <f t="shared" si="3"/>
        <v>1091500</v>
      </c>
    </row>
    <row r="1581">
      <c r="A1581" s="6" t="s">
        <v>2680</v>
      </c>
      <c r="B1581" s="7" t="str">
        <f>HYPERLINK("https://shopee.co.id/Pore-Minimizer-Serum-i.3087844.9230637960", "https://shopee.co.id/Pore-Minimizer-Serum-i.3087844.9230637960")</f>
        <v>https://shopee.co.id/Pore-Minimizer-Serum-i.3087844.9230637960</v>
      </c>
      <c r="C1581" s="6" t="s">
        <v>2465</v>
      </c>
      <c r="D1581" s="6" t="s">
        <v>1158</v>
      </c>
      <c r="E1581" s="6" t="s">
        <v>12</v>
      </c>
      <c r="F1581" s="6" t="s">
        <v>13</v>
      </c>
      <c r="G1581" s="6" t="s">
        <v>241</v>
      </c>
      <c r="H1581" s="8" t="s">
        <v>2679</v>
      </c>
      <c r="I1581" s="9">
        <v>520400.0</v>
      </c>
      <c r="J1581" s="5" t="str">
        <f t="shared" ref="J1581:K1581" si="1581">SUBSTITUTE(H1581, ",", "")</f>
        <v>8</v>
      </c>
      <c r="K1581" s="5" t="str">
        <f t="shared" si="1581"/>
        <v>Rp520400</v>
      </c>
      <c r="L1581" s="5" t="str">
        <f t="shared" si="3"/>
        <v>520400</v>
      </c>
    </row>
    <row r="1582">
      <c r="A1582" s="6" t="s">
        <v>2681</v>
      </c>
      <c r="B1582" s="7" t="str">
        <f>HYPERLINK("https://shopee.co.id/SK-II-RNA-Essence-30-ml-i.110573301.6473600418", "https://shopee.co.id/SK-II-RNA-Essence-30-ml-i.110573301.6473600418")</f>
        <v>https://shopee.co.id/SK-II-RNA-Essence-30-ml-i.110573301.6473600418</v>
      </c>
      <c r="C1582" s="6" t="s">
        <v>1372</v>
      </c>
      <c r="D1582" s="6" t="s">
        <v>227</v>
      </c>
      <c r="E1582" s="6" t="s">
        <v>12</v>
      </c>
      <c r="F1582" s="6" t="s">
        <v>13</v>
      </c>
      <c r="G1582" s="6" t="s">
        <v>61</v>
      </c>
      <c r="H1582" s="8" t="s">
        <v>2679</v>
      </c>
      <c r="I1582" s="9">
        <v>688880.0</v>
      </c>
      <c r="J1582" s="5" t="str">
        <f t="shared" ref="J1582:K1582" si="1582">SUBSTITUTE(H1582, ",", "")</f>
        <v>8</v>
      </c>
      <c r="K1582" s="5" t="str">
        <f t="shared" si="1582"/>
        <v>Rp688880</v>
      </c>
      <c r="L1582" s="5" t="str">
        <f t="shared" si="3"/>
        <v>688880</v>
      </c>
    </row>
    <row r="1583">
      <c r="A1583" s="6" t="s">
        <v>2682</v>
      </c>
      <c r="B1583" s="7" t="str">
        <f>HYPERLINK("https://shopee.co.id/Scarlett-Whitening-Glowtening-Serum-15ml-i.50948181.10714444022", "https://shopee.co.id/Scarlett-Whitening-Glowtening-Serum-15ml-i.50948181.10714444022")</f>
        <v>https://shopee.co.id/Scarlett-Whitening-Glowtening-Serum-15ml-i.50948181.10714444022</v>
      </c>
      <c r="C1583" s="6" t="s">
        <v>19</v>
      </c>
      <c r="D1583" s="6" t="s">
        <v>1129</v>
      </c>
      <c r="E1583" s="6" t="s">
        <v>12</v>
      </c>
      <c r="F1583" s="6" t="s">
        <v>13</v>
      </c>
      <c r="G1583" s="6" t="s">
        <v>1130</v>
      </c>
      <c r="H1583" s="8" t="s">
        <v>2679</v>
      </c>
      <c r="I1583" s="9">
        <v>2280000.0</v>
      </c>
      <c r="J1583" s="5" t="str">
        <f t="shared" ref="J1583:K1583" si="1583">SUBSTITUTE(H1583, ",", "")</f>
        <v>8</v>
      </c>
      <c r="K1583" s="5" t="str">
        <f t="shared" si="1583"/>
        <v>Rp2280000</v>
      </c>
      <c r="L1583" s="5" t="str">
        <f t="shared" si="3"/>
        <v>2280000</v>
      </c>
    </row>
    <row r="1584">
      <c r="A1584" s="6" t="s">
        <v>2683</v>
      </c>
      <c r="B1584" s="7" t="str">
        <f>HYPERLINK("https://shopee.co.id/Soleluna-Brightening-Serum-i.466641910.11518733912", "https://shopee.co.id/Soleluna-Brightening-Serum-i.466641910.11518733912")</f>
        <v>https://shopee.co.id/Soleluna-Brightening-Serum-i.466641910.11518733912</v>
      </c>
      <c r="C1584" s="6" t="s">
        <v>2684</v>
      </c>
      <c r="D1584" s="6" t="s">
        <v>2685</v>
      </c>
      <c r="E1584" s="6" t="s">
        <v>12</v>
      </c>
      <c r="F1584" s="6" t="s">
        <v>13</v>
      </c>
      <c r="G1584" s="6" t="s">
        <v>98</v>
      </c>
      <c r="H1584" s="8" t="s">
        <v>2679</v>
      </c>
      <c r="I1584" s="9">
        <v>287992.0</v>
      </c>
      <c r="J1584" s="5" t="str">
        <f t="shared" ref="J1584:K1584" si="1584">SUBSTITUTE(H1584, ",", "")</f>
        <v>8</v>
      </c>
      <c r="K1584" s="5" t="str">
        <f t="shared" si="1584"/>
        <v>Rp287992</v>
      </c>
      <c r="L1584" s="5" t="str">
        <f t="shared" si="3"/>
        <v>287992</v>
      </c>
    </row>
    <row r="1585">
      <c r="A1585" s="6" t="s">
        <v>2686</v>
      </c>
      <c r="B1585" s="7" t="str">
        <f>HYPERLINK("https://shopee.co.id/Jelly-Booster-Marwah-Skin-Treatment-i.357101711.6093072155", "https://shopee.co.id/Jelly-Booster-Marwah-Skin-Treatment-i.357101711.6093072155")</f>
        <v>https://shopee.co.id/Jelly-Booster-Marwah-Skin-Treatment-i.357101711.6093072155</v>
      </c>
      <c r="C1585" s="6" t="s">
        <v>2249</v>
      </c>
      <c r="D1585" s="6" t="s">
        <v>2250</v>
      </c>
      <c r="E1585" s="6" t="s">
        <v>12</v>
      </c>
      <c r="F1585" s="6" t="s">
        <v>13</v>
      </c>
      <c r="G1585" s="6" t="s">
        <v>370</v>
      </c>
      <c r="H1585" s="8" t="s">
        <v>2679</v>
      </c>
      <c r="I1585" s="9">
        <v>3255000.0</v>
      </c>
      <c r="J1585" s="5" t="str">
        <f t="shared" ref="J1585:K1585" si="1585">SUBSTITUTE(H1585, ",", "")</f>
        <v>8</v>
      </c>
      <c r="K1585" s="5" t="str">
        <f t="shared" si="1585"/>
        <v>Rp3255000</v>
      </c>
      <c r="L1585" s="5" t="str">
        <f t="shared" si="3"/>
        <v>3255000</v>
      </c>
    </row>
    <row r="1586">
      <c r="A1586" s="6" t="s">
        <v>2687</v>
      </c>
      <c r="B1586" s="7" t="str">
        <f>HYPERLINK("https://shopee.co.id/Mugens-The-M-Marula-Water-Pack-i.293209404.7446007977", "https://shopee.co.id/Mugens-The-M-Marula-Water-Pack-i.293209404.7446007977")</f>
        <v>https://shopee.co.id/Mugens-The-M-Marula-Water-Pack-i.293209404.7446007977</v>
      </c>
      <c r="C1586" s="6" t="s">
        <v>2688</v>
      </c>
      <c r="D1586" s="6" t="s">
        <v>2689</v>
      </c>
      <c r="E1586" s="6" t="s">
        <v>12</v>
      </c>
      <c r="F1586" s="6" t="s">
        <v>13</v>
      </c>
      <c r="G1586" s="6" t="s">
        <v>2690</v>
      </c>
      <c r="H1586" s="8" t="s">
        <v>2679</v>
      </c>
      <c r="I1586" s="9">
        <v>890400.0</v>
      </c>
      <c r="J1586" s="5" t="str">
        <f t="shared" ref="J1586:K1586" si="1586">SUBSTITUTE(H1586, ",", "")</f>
        <v>8</v>
      </c>
      <c r="K1586" s="5" t="str">
        <f t="shared" si="1586"/>
        <v>Rp890400</v>
      </c>
      <c r="L1586" s="5" t="str">
        <f t="shared" si="3"/>
        <v>890400</v>
      </c>
    </row>
    <row r="1587">
      <c r="A1587" s="6" t="s">
        <v>2691</v>
      </c>
      <c r="B1587" s="7" t="str">
        <f>HYPERLINK("https://shopee.co.id/Votre-Peau-Vitamin-C-Serum-30ml-i.825870.1738550196", "https://shopee.co.id/Votre-Peau-Vitamin-C-Serum-30ml-i.825870.1738550196")</f>
        <v>https://shopee.co.id/Votre-Peau-Vitamin-C-Serum-30ml-i.825870.1738550196</v>
      </c>
      <c r="C1587" s="6" t="s">
        <v>471</v>
      </c>
      <c r="D1587" s="6" t="s">
        <v>1184</v>
      </c>
      <c r="E1587" s="6" t="s">
        <v>12</v>
      </c>
      <c r="F1587" s="6" t="s">
        <v>13</v>
      </c>
      <c r="G1587" s="6" t="s">
        <v>21</v>
      </c>
      <c r="H1587" s="8" t="s">
        <v>2679</v>
      </c>
      <c r="I1587" s="9">
        <v>6900000.0</v>
      </c>
      <c r="J1587" s="5" t="str">
        <f t="shared" ref="J1587:K1587" si="1587">SUBSTITUTE(H1587, ",", "")</f>
        <v>8</v>
      </c>
      <c r="K1587" s="5" t="str">
        <f t="shared" si="1587"/>
        <v>Rp6900000</v>
      </c>
      <c r="L1587" s="5" t="str">
        <f t="shared" si="3"/>
        <v>6900000</v>
      </c>
    </row>
    <row r="1588">
      <c r="A1588" s="6" t="s">
        <v>2692</v>
      </c>
      <c r="B1588" s="7" t="str">
        <f>HYPERLINK("https://shopee.co.id/Crushlicious-Overnight-Glow-Serum-Niacinamide-Glow-Up-Facial-Serum-i.4184162.9060179550", "https://shopee.co.id/Crushlicious-Overnight-Glow-Serum-Niacinamide-Glow-Up-Facial-Serum-i.4184162.9060179550")</f>
        <v>https://shopee.co.id/Crushlicious-Overnight-Glow-Serum-Niacinamide-Glow-Up-Facial-Serum-i.4184162.9060179550</v>
      </c>
      <c r="C1588" s="6" t="s">
        <v>1619</v>
      </c>
      <c r="D1588" s="6" t="s">
        <v>1620</v>
      </c>
      <c r="E1588" s="6" t="s">
        <v>12</v>
      </c>
      <c r="F1588" s="6" t="s">
        <v>13</v>
      </c>
      <c r="G1588" s="6" t="s">
        <v>1621</v>
      </c>
      <c r="H1588" s="8" t="s">
        <v>2679</v>
      </c>
      <c r="I1588" s="9">
        <v>1912000.0</v>
      </c>
      <c r="J1588" s="5" t="str">
        <f t="shared" ref="J1588:K1588" si="1588">SUBSTITUTE(H1588, ",", "")</f>
        <v>8</v>
      </c>
      <c r="K1588" s="5" t="str">
        <f t="shared" si="1588"/>
        <v>Rp1912000</v>
      </c>
      <c r="L1588" s="5" t="str">
        <f t="shared" si="3"/>
        <v>1912000</v>
      </c>
    </row>
    <row r="1589">
      <c r="A1589" s="6" t="s">
        <v>2693</v>
      </c>
      <c r="B1589" s="7" t="str">
        <f>HYPERLINK("https://shopee.co.id/Galactomyces-Essence-i.3087844.3006984553", "https://shopee.co.id/Galactomyces-Essence-i.3087844.3006984553")</f>
        <v>https://shopee.co.id/Galactomyces-Essence-i.3087844.3006984553</v>
      </c>
      <c r="C1589" s="6" t="s">
        <v>2465</v>
      </c>
      <c r="D1589" s="6" t="s">
        <v>1158</v>
      </c>
      <c r="E1589" s="6" t="s">
        <v>12</v>
      </c>
      <c r="F1589" s="6" t="s">
        <v>13</v>
      </c>
      <c r="G1589" s="6" t="s">
        <v>241</v>
      </c>
      <c r="H1589" s="8" t="s">
        <v>2679</v>
      </c>
      <c r="I1589" s="9">
        <v>1112000.0</v>
      </c>
      <c r="J1589" s="5" t="str">
        <f t="shared" ref="J1589:K1589" si="1589">SUBSTITUTE(H1589, ",", "")</f>
        <v>8</v>
      </c>
      <c r="K1589" s="5" t="str">
        <f t="shared" si="1589"/>
        <v>Rp1112000</v>
      </c>
      <c r="L1589" s="5" t="str">
        <f t="shared" si="3"/>
        <v>1112000</v>
      </c>
    </row>
    <row r="1590">
      <c r="A1590" s="6" t="s">
        <v>2694</v>
      </c>
      <c r="B1590" s="7" t="str">
        <f>HYPERLINK("https://shopee.co.id/Tuesbelle-BIO-BEAUTY-LAB-Phyto-Power-Essence-50ml-i.36872574.10327965919", "https://shopee.co.id/Tuesbelle-BIO-BEAUTY-LAB-Phyto-Power-Essence-50ml-i.36872574.10327965919")</f>
        <v>https://shopee.co.id/Tuesbelle-BIO-BEAUTY-LAB-Phyto-Power-Essence-50ml-i.36872574.10327965919</v>
      </c>
      <c r="C1590" s="6" t="s">
        <v>120</v>
      </c>
      <c r="D1590" s="6" t="s">
        <v>969</v>
      </c>
      <c r="E1590" s="6" t="s">
        <v>12</v>
      </c>
      <c r="F1590" s="6" t="s">
        <v>13</v>
      </c>
      <c r="G1590" s="6" t="s">
        <v>115</v>
      </c>
      <c r="H1590" s="8" t="s">
        <v>2679</v>
      </c>
      <c r="I1590" s="9">
        <v>2098140.0</v>
      </c>
      <c r="J1590" s="5" t="str">
        <f t="shared" ref="J1590:K1590" si="1590">SUBSTITUTE(H1590, ",", "")</f>
        <v>8</v>
      </c>
      <c r="K1590" s="5" t="str">
        <f t="shared" si="1590"/>
        <v>Rp2098140</v>
      </c>
      <c r="L1590" s="5" t="str">
        <f t="shared" si="3"/>
        <v>2098140</v>
      </c>
    </row>
    <row r="1591">
      <c r="A1591" s="6" t="s">
        <v>2695</v>
      </c>
      <c r="B1591" s="7" t="str">
        <f>HYPERLINK("https://shopee.co.id/THE-POTIONS-Centella-Asiatica-Water-Essence-20ml-i.379239733.8311974299", "https://shopee.co.id/THE-POTIONS-Centella-Asiatica-Water-Essence-20ml-i.379239733.8311974299")</f>
        <v>https://shopee.co.id/THE-POTIONS-Centella-Asiatica-Water-Essence-20ml-i.379239733.8311974299</v>
      </c>
      <c r="C1591" s="6" t="s">
        <v>2245</v>
      </c>
      <c r="D1591" s="6" t="s">
        <v>2246</v>
      </c>
      <c r="E1591" s="6" t="s">
        <v>12</v>
      </c>
      <c r="F1591" s="6" t="s">
        <v>13</v>
      </c>
      <c r="G1591" s="6" t="s">
        <v>130</v>
      </c>
      <c r="H1591" s="8" t="s">
        <v>2679</v>
      </c>
      <c r="I1591" s="9">
        <v>1112000.0</v>
      </c>
      <c r="J1591" s="5" t="str">
        <f t="shared" ref="J1591:K1591" si="1591">SUBSTITUTE(H1591, ",", "")</f>
        <v>8</v>
      </c>
      <c r="K1591" s="5" t="str">
        <f t="shared" si="1591"/>
        <v>Rp1112000</v>
      </c>
      <c r="L1591" s="5" t="str">
        <f t="shared" si="3"/>
        <v>1112000</v>
      </c>
    </row>
    <row r="1592">
      <c r="A1592" s="6" t="s">
        <v>2696</v>
      </c>
      <c r="B1592" s="7" t="str">
        <f>HYPERLINK("https://shopee.co.id/Humphrey-Gold-Whitening-Plus-Serum-20ml-Anti-Aging-Keriput--i.83349.1725209715", "https://shopee.co.id/Humphrey-Gold-Whitening-Plus-Serum-20ml-Anti-Aging-Keriput--i.83349.1725209715")</f>
        <v>https://shopee.co.id/Humphrey-Gold-Whitening-Plus-Serum-20ml-Anti-Aging-Keriput--i.83349.1725209715</v>
      </c>
      <c r="C1592" s="6" t="s">
        <v>1832</v>
      </c>
      <c r="D1592" s="6" t="s">
        <v>1833</v>
      </c>
      <c r="E1592" s="6" t="s">
        <v>12</v>
      </c>
      <c r="F1592" s="6" t="s">
        <v>13</v>
      </c>
      <c r="G1592" s="6" t="s">
        <v>21</v>
      </c>
      <c r="H1592" s="8" t="s">
        <v>2679</v>
      </c>
      <c r="I1592" s="9">
        <v>1138700.0</v>
      </c>
      <c r="J1592" s="5" t="str">
        <f t="shared" ref="J1592:K1592" si="1592">SUBSTITUTE(H1592, ",", "")</f>
        <v>8</v>
      </c>
      <c r="K1592" s="5" t="str">
        <f t="shared" si="1592"/>
        <v>Rp1138700</v>
      </c>
      <c r="L1592" s="5" t="str">
        <f t="shared" si="3"/>
        <v>1138700</v>
      </c>
    </row>
    <row r="1593">
      <c r="A1593" s="6" t="s">
        <v>2697</v>
      </c>
      <c r="B1593" s="7" t="str">
        <f>HYPERLINK("https://shopee.co.id/SERUM-NATURE-REACTION-CRYSTAL-BRIGHT-SERUM-ORI-NATURE-REACTION-CRYSTAL-SERUM-NATURE-REACTION-SERUM-i.375565670.11628128336", "https://shopee.co.id/SERUM-NATURE-REACTION-CRYSTAL-BRIGHT-SERUM-ORI-NATURE-REACTION-CRYSTAL-SERUM-NATURE-REACTION-SERUM-i.375565670.11628128336")</f>
        <v>https://shopee.co.id/SERUM-NATURE-REACTION-CRYSTAL-BRIGHT-SERUM-ORI-NATURE-REACTION-CRYSTAL-SERUM-NATURE-REACTION-SERUM-i.375565670.11628128336</v>
      </c>
      <c r="C1593" s="6" t="s">
        <v>530</v>
      </c>
      <c r="D1593" s="6" t="s">
        <v>531</v>
      </c>
      <c r="E1593" s="6" t="s">
        <v>12</v>
      </c>
      <c r="F1593" s="6" t="s">
        <v>13</v>
      </c>
      <c r="G1593" s="6" t="s">
        <v>532</v>
      </c>
      <c r="H1593" s="8" t="s">
        <v>2679</v>
      </c>
      <c r="I1593" s="9">
        <v>240000.0</v>
      </c>
      <c r="J1593" s="5" t="str">
        <f t="shared" ref="J1593:K1593" si="1593">SUBSTITUTE(H1593, ",", "")</f>
        <v>8</v>
      </c>
      <c r="K1593" s="5" t="str">
        <f t="shared" si="1593"/>
        <v>Rp240000</v>
      </c>
      <c r="L1593" s="5" t="str">
        <f t="shared" si="3"/>
        <v>240000</v>
      </c>
    </row>
    <row r="1594">
      <c r="A1594" s="6" t="s">
        <v>2698</v>
      </c>
      <c r="B1594" s="7" t="str">
        <f>HYPERLINK("https://shopee.co.id/Natasha-by-dr-Fredi-Setyawan-Moist-Bright-Serum-17g-i.40121814.6456017086", "https://shopee.co.id/Natasha-by-dr-Fredi-Setyawan-Moist-Bright-Serum-17g-i.40121814.6456017086")</f>
        <v>https://shopee.co.id/Natasha-by-dr-Fredi-Setyawan-Moist-Bright-Serum-17g-i.40121814.6456017086</v>
      </c>
      <c r="C1594" s="6" t="s">
        <v>1752</v>
      </c>
      <c r="D1594" s="6" t="s">
        <v>794</v>
      </c>
      <c r="E1594" s="6" t="s">
        <v>12</v>
      </c>
      <c r="F1594" s="6" t="s">
        <v>13</v>
      </c>
      <c r="G1594" s="6" t="s">
        <v>380</v>
      </c>
      <c r="H1594" s="8" t="s">
        <v>2679</v>
      </c>
      <c r="I1594" s="9">
        <v>343200.0</v>
      </c>
      <c r="J1594" s="5" t="str">
        <f t="shared" ref="J1594:K1594" si="1594">SUBSTITUTE(H1594, ",", "")</f>
        <v>8</v>
      </c>
      <c r="K1594" s="5" t="str">
        <f t="shared" si="1594"/>
        <v>Rp343200</v>
      </c>
      <c r="L1594" s="5" t="str">
        <f t="shared" si="3"/>
        <v>343200</v>
      </c>
    </row>
    <row r="1595">
      <c r="A1595" s="6" t="s">
        <v>2699</v>
      </c>
      <c r="B1595" s="7" t="str">
        <f>HYPERLINK("https://shopee.co.id/FSS-Renew-Retinol-2-5-Serum-Concentrate-30ml-i.825870.1702518389", "https://shopee.co.id/FSS-Renew-Retinol-2-5-Serum-Concentrate-30ml-i.825870.1702518389")</f>
        <v>https://shopee.co.id/FSS-Renew-Retinol-2-5-Serum-Concentrate-30ml-i.825870.1702518389</v>
      </c>
      <c r="C1595" s="6" t="s">
        <v>2700</v>
      </c>
      <c r="D1595" s="6" t="s">
        <v>1184</v>
      </c>
      <c r="E1595" s="6" t="s">
        <v>12</v>
      </c>
      <c r="F1595" s="6" t="s">
        <v>13</v>
      </c>
      <c r="G1595" s="6" t="s">
        <v>21</v>
      </c>
      <c r="H1595" s="8" t="s">
        <v>2679</v>
      </c>
      <c r="I1595" s="9">
        <v>240000.0</v>
      </c>
      <c r="J1595" s="5" t="str">
        <f t="shared" ref="J1595:K1595" si="1595">SUBSTITUTE(H1595, ",", "")</f>
        <v>8</v>
      </c>
      <c r="K1595" s="5" t="str">
        <f t="shared" si="1595"/>
        <v>Rp240000</v>
      </c>
      <c r="L1595" s="5" t="str">
        <f t="shared" si="3"/>
        <v>240000</v>
      </c>
    </row>
    <row r="1596">
      <c r="A1596" s="6" t="s">
        <v>2701</v>
      </c>
      <c r="B1596" s="7" t="str">
        <f>HYPERLINK("https://shopee.co.id/Aqua-Series-Radiance-Intensive-Essence-30ml-i.825870.2018071677", "https://shopee.co.id/Aqua-Series-Radiance-Intensive-Essence-30ml-i.825870.2018071677")</f>
        <v>https://shopee.co.id/Aqua-Series-Radiance-Intensive-Essence-30ml-i.825870.2018071677</v>
      </c>
      <c r="C1596" s="6" t="s">
        <v>2702</v>
      </c>
      <c r="D1596" s="6" t="s">
        <v>1184</v>
      </c>
      <c r="E1596" s="6" t="s">
        <v>12</v>
      </c>
      <c r="F1596" s="6" t="s">
        <v>13</v>
      </c>
      <c r="G1596" s="6" t="s">
        <v>21</v>
      </c>
      <c r="H1596" s="8" t="s">
        <v>2679</v>
      </c>
      <c r="I1596" s="9">
        <v>1362000.0</v>
      </c>
      <c r="J1596" s="5" t="str">
        <f t="shared" ref="J1596:K1596" si="1596">SUBSTITUTE(H1596, ",", "")</f>
        <v>8</v>
      </c>
      <c r="K1596" s="5" t="str">
        <f t="shared" si="1596"/>
        <v>Rp1362000</v>
      </c>
      <c r="L1596" s="5" t="str">
        <f t="shared" si="3"/>
        <v>1362000</v>
      </c>
    </row>
    <row r="1597">
      <c r="A1597" s="6" t="s">
        <v>2703</v>
      </c>
      <c r="B1597" s="7" t="str">
        <f>HYPERLINK("https://shopee.co.id/Astalift-Infocus-Cellatve-Serum-5-ml-Tube-Mini-Size--i.104888237.6555208075", "https://shopee.co.id/Astalift-Infocus-Cellatve-Serum-5-ml-Tube-Mini-Size--i.104888237.6555208075")</f>
        <v>https://shopee.co.id/Astalift-Infocus-Cellatve-Serum-5-ml-Tube-Mini-Size--i.104888237.6555208075</v>
      </c>
      <c r="C1597" s="6" t="s">
        <v>1529</v>
      </c>
      <c r="D1597" s="6" t="s">
        <v>1530</v>
      </c>
      <c r="E1597" s="6" t="s">
        <v>12</v>
      </c>
      <c r="F1597" s="6" t="s">
        <v>13</v>
      </c>
      <c r="G1597" s="6" t="s">
        <v>61</v>
      </c>
      <c r="H1597" s="8" t="s">
        <v>2679</v>
      </c>
      <c r="I1597" s="9">
        <v>1062500.0</v>
      </c>
      <c r="J1597" s="5" t="str">
        <f t="shared" ref="J1597:K1597" si="1597">SUBSTITUTE(H1597, ",", "")</f>
        <v>8</v>
      </c>
      <c r="K1597" s="5" t="str">
        <f t="shared" si="1597"/>
        <v>Rp1062500</v>
      </c>
      <c r="L1597" s="5" t="str">
        <f t="shared" si="3"/>
        <v>1062500</v>
      </c>
    </row>
    <row r="1598">
      <c r="A1598" s="6" t="s">
        <v>2704</v>
      </c>
      <c r="B1598" s="7" t="str">
        <f>HYPERLINK("https://shopee.co.id/Lacoco-Hydrating-Divine-Essence-50ml-i.68111.7342114056", "https://shopee.co.id/Lacoco-Hydrating-Divine-Essence-50ml-i.68111.7342114056")</f>
        <v>https://shopee.co.id/Lacoco-Hydrating-Divine-Essence-50ml-i.68111.7342114056</v>
      </c>
      <c r="C1598" s="6" t="s">
        <v>501</v>
      </c>
      <c r="D1598" s="6" t="s">
        <v>441</v>
      </c>
      <c r="E1598" s="6" t="s">
        <v>12</v>
      </c>
      <c r="F1598" s="6" t="s">
        <v>13</v>
      </c>
      <c r="G1598" s="6" t="s">
        <v>130</v>
      </c>
      <c r="H1598" s="8" t="s">
        <v>2679</v>
      </c>
      <c r="I1598" s="9">
        <v>1215100.0</v>
      </c>
      <c r="J1598" s="5" t="str">
        <f t="shared" ref="J1598:K1598" si="1598">SUBSTITUTE(H1598, ",", "")</f>
        <v>8</v>
      </c>
      <c r="K1598" s="5" t="str">
        <f t="shared" si="1598"/>
        <v>Rp1215100</v>
      </c>
      <c r="L1598" s="5" t="str">
        <f t="shared" si="3"/>
        <v>1215100</v>
      </c>
    </row>
    <row r="1599">
      <c r="A1599" s="6" t="s">
        <v>2407</v>
      </c>
      <c r="B1599" s="7" t="str">
        <f>HYPERLINK("https://shopee.co.id/KLEVERU-Glass-Skin-Overnight-Serum-20ml-i.68111.3727348532", "https://shopee.co.id/KLEVERU-Glass-Skin-Overnight-Serum-20ml-i.68111.3727348532")</f>
        <v>https://shopee.co.id/KLEVERU-Glass-Skin-Overnight-Serum-20ml-i.68111.3727348532</v>
      </c>
      <c r="C1599" s="6" t="s">
        <v>2408</v>
      </c>
      <c r="D1599" s="6" t="s">
        <v>441</v>
      </c>
      <c r="E1599" s="6" t="s">
        <v>12</v>
      </c>
      <c r="F1599" s="6" t="s">
        <v>13</v>
      </c>
      <c r="G1599" s="6" t="s">
        <v>130</v>
      </c>
      <c r="H1599" s="8" t="s">
        <v>2679</v>
      </c>
      <c r="I1599" s="9">
        <v>919800.0</v>
      </c>
      <c r="J1599" s="5" t="str">
        <f t="shared" ref="J1599:K1599" si="1599">SUBSTITUTE(H1599, ",", "")</f>
        <v>8</v>
      </c>
      <c r="K1599" s="5" t="str">
        <f t="shared" si="1599"/>
        <v>Rp919800</v>
      </c>
      <c r="L1599" s="5" t="str">
        <f t="shared" si="3"/>
        <v>919800</v>
      </c>
    </row>
    <row r="1600">
      <c r="A1600" s="6" t="s">
        <v>2705</v>
      </c>
      <c r="B1600" s="7" t="str">
        <f>HYPERLINK("https://shopee.co.id/Loreal-Paris-Revitalift-Crystal-Micro-Essence-65ml-i.10689.8317293833", "https://shopee.co.id/Loreal-Paris-Revitalift-Crystal-Micro-Essence-65ml-i.10689.8317293833")</f>
        <v>https://shopee.co.id/Loreal-Paris-Revitalift-Crystal-Micro-Essence-65ml-i.10689.8317293833</v>
      </c>
      <c r="C1600" s="6" t="s">
        <v>105</v>
      </c>
      <c r="D1600" s="6" t="s">
        <v>745</v>
      </c>
      <c r="E1600" s="6" t="s">
        <v>12</v>
      </c>
      <c r="F1600" s="6" t="s">
        <v>13</v>
      </c>
      <c r="G1600" s="6" t="s">
        <v>61</v>
      </c>
      <c r="H1600" s="8" t="s">
        <v>2679</v>
      </c>
      <c r="I1600" s="9">
        <v>487200.0</v>
      </c>
      <c r="J1600" s="5" t="str">
        <f t="shared" ref="J1600:K1600" si="1600">SUBSTITUTE(H1600, ",", "")</f>
        <v>8</v>
      </c>
      <c r="K1600" s="5" t="str">
        <f t="shared" si="1600"/>
        <v>Rp487200</v>
      </c>
      <c r="L1600" s="5" t="str">
        <f t="shared" si="3"/>
        <v>487200</v>
      </c>
    </row>
    <row r="1601">
      <c r="A1601" s="6" t="s">
        <v>2706</v>
      </c>
      <c r="B1601" s="7" t="str">
        <f>HYPERLINK("https://shopee.co.id/Benton-Deep-Green-Tea-Serum-30-ml-i.125116082.6978725768", "https://shopee.co.id/Benton-Deep-Green-Tea-Serum-30-ml-i.125116082.6978725768")</f>
        <v>https://shopee.co.id/Benton-Deep-Green-Tea-Serum-30-ml-i.125116082.6978725768</v>
      </c>
      <c r="C1601" s="6" t="s">
        <v>456</v>
      </c>
      <c r="D1601" s="6" t="s">
        <v>713</v>
      </c>
      <c r="E1601" s="6" t="s">
        <v>12</v>
      </c>
      <c r="F1601" s="6" t="s">
        <v>13</v>
      </c>
      <c r="G1601" s="6" t="s">
        <v>61</v>
      </c>
      <c r="H1601" s="8" t="s">
        <v>2679</v>
      </c>
      <c r="I1601" s="9">
        <v>2396600.0</v>
      </c>
      <c r="J1601" s="5" t="str">
        <f t="shared" ref="J1601:K1601" si="1601">SUBSTITUTE(H1601, ",", "")</f>
        <v>8</v>
      </c>
      <c r="K1601" s="5" t="str">
        <f t="shared" si="1601"/>
        <v>Rp2396600</v>
      </c>
      <c r="L1601" s="5" t="str">
        <f t="shared" si="3"/>
        <v>2396600</v>
      </c>
    </row>
    <row r="1602">
      <c r="A1602" s="6" t="s">
        <v>2707</v>
      </c>
      <c r="B1602" s="7" t="str">
        <f>HYPERLINK("https://shopee.co.id/For-Skin-s-Sake-FSS-Hyaluronic-Acid-Serum-i.99513899.1620722116", "https://shopee.co.id/For-Skin-s-Sake-FSS-Hyaluronic-Acid-Serum-i.99513899.1620722116")</f>
        <v>https://shopee.co.id/For-Skin-s-Sake-FSS-Hyaluronic-Acid-Serum-i.99513899.1620722116</v>
      </c>
      <c r="C1602" s="6" t="s">
        <v>1772</v>
      </c>
      <c r="D1602" s="6" t="s">
        <v>1773</v>
      </c>
      <c r="E1602" s="6" t="s">
        <v>12</v>
      </c>
      <c r="F1602" s="6" t="s">
        <v>13</v>
      </c>
      <c r="G1602" s="6" t="s">
        <v>130</v>
      </c>
      <c r="H1602" s="8" t="s">
        <v>2679</v>
      </c>
      <c r="I1602" s="9">
        <v>828000.0</v>
      </c>
      <c r="J1602" s="5" t="str">
        <f t="shared" ref="J1602:K1602" si="1602">SUBSTITUTE(H1602, ",", "")</f>
        <v>8</v>
      </c>
      <c r="K1602" s="5" t="str">
        <f t="shared" si="1602"/>
        <v>Rp828000</v>
      </c>
      <c r="L1602" s="5" t="str">
        <f t="shared" si="3"/>
        <v>828000</v>
      </c>
    </row>
    <row r="1603">
      <c r="A1603" s="6" t="s">
        <v>2708</v>
      </c>
      <c r="B1603" s="7" t="str">
        <f>HYPERLINK("https://shopee.co.id/VOTRE-PEAU-Vitamin-C-Serum-i.68111.825346327", "https://shopee.co.id/VOTRE-PEAU-Vitamin-C-Serum-i.68111.825346327")</f>
        <v>https://shopee.co.id/VOTRE-PEAU-Vitamin-C-Serum-i.68111.825346327</v>
      </c>
      <c r="C1603" s="6" t="s">
        <v>471</v>
      </c>
      <c r="D1603" s="6" t="s">
        <v>441</v>
      </c>
      <c r="E1603" s="6" t="s">
        <v>12</v>
      </c>
      <c r="F1603" s="6" t="s">
        <v>13</v>
      </c>
      <c r="G1603" s="6" t="s">
        <v>130</v>
      </c>
      <c r="H1603" s="8" t="s">
        <v>2679</v>
      </c>
      <c r="I1603" s="9">
        <v>369600.0</v>
      </c>
      <c r="J1603" s="5" t="str">
        <f t="shared" ref="J1603:K1603" si="1603">SUBSTITUTE(H1603, ",", "")</f>
        <v>8</v>
      </c>
      <c r="K1603" s="5" t="str">
        <f t="shared" si="1603"/>
        <v>Rp369600</v>
      </c>
      <c r="L1603" s="5" t="str">
        <f t="shared" si="3"/>
        <v>369600</v>
      </c>
    </row>
    <row r="1604">
      <c r="A1604" s="6" t="s">
        <v>2709</v>
      </c>
      <c r="B1604" s="7" t="str">
        <f>HYPERLINK("https://shopee.co.id/THE-AUBREE-Brightening-Serum-Concentrate-30ml-i.270965687.9911070673", "https://shopee.co.id/THE-AUBREE-Brightening-Serum-Concentrate-30ml-i.270965687.9911070673")</f>
        <v>https://shopee.co.id/THE-AUBREE-Brightening-Serum-Concentrate-30ml-i.270965687.9911070673</v>
      </c>
      <c r="C1604" s="6" t="s">
        <v>772</v>
      </c>
      <c r="D1604" s="6" t="s">
        <v>379</v>
      </c>
      <c r="E1604" s="6" t="s">
        <v>12</v>
      </c>
      <c r="F1604" s="6" t="s">
        <v>13</v>
      </c>
      <c r="G1604" s="6" t="s">
        <v>380</v>
      </c>
      <c r="H1604" s="8" t="s">
        <v>2679</v>
      </c>
      <c r="I1604" s="9">
        <v>1176000.0</v>
      </c>
      <c r="J1604" s="5" t="str">
        <f t="shared" ref="J1604:K1604" si="1604">SUBSTITUTE(H1604, ",", "")</f>
        <v>8</v>
      </c>
      <c r="K1604" s="5" t="str">
        <f t="shared" si="1604"/>
        <v>Rp1176000</v>
      </c>
      <c r="L1604" s="5" t="str">
        <f t="shared" si="3"/>
        <v>1176000</v>
      </c>
    </row>
    <row r="1605">
      <c r="A1605" s="6" t="s">
        <v>2710</v>
      </c>
      <c r="B1605" s="7" t="str">
        <f>HYPERLINK("https://shopee.co.id/Optimal-Serum-Acne-Marwah-Skincare-i.357101711.9645018136", "https://shopee.co.id/Optimal-Serum-Acne-Marwah-Skincare-i.357101711.9645018136")</f>
        <v>https://shopee.co.id/Optimal-Serum-Acne-Marwah-Skincare-i.357101711.9645018136</v>
      </c>
      <c r="C1605" s="6" t="s">
        <v>2249</v>
      </c>
      <c r="D1605" s="6" t="s">
        <v>2250</v>
      </c>
      <c r="E1605" s="6" t="s">
        <v>12</v>
      </c>
      <c r="F1605" s="6" t="s">
        <v>13</v>
      </c>
      <c r="G1605" s="6" t="s">
        <v>370</v>
      </c>
      <c r="H1605" s="8" t="s">
        <v>2679</v>
      </c>
      <c r="I1605" s="9">
        <v>1854800.0</v>
      </c>
      <c r="J1605" s="5" t="str">
        <f t="shared" ref="J1605:K1605" si="1605">SUBSTITUTE(H1605, ",", "")</f>
        <v>8</v>
      </c>
      <c r="K1605" s="5" t="str">
        <f t="shared" si="1605"/>
        <v>Rp1854800</v>
      </c>
      <c r="L1605" s="5" t="str">
        <f t="shared" si="3"/>
        <v>1854800</v>
      </c>
    </row>
    <row r="1606">
      <c r="A1606" s="6" t="s">
        <v>2711</v>
      </c>
      <c r="B1606" s="7" t="str">
        <f>HYPERLINK("https://shopee.co.id/Mila-D-opiz-White-Shade-Vision-serum-30ml-Miladopiz-i.322619273.7657970246", "https://shopee.co.id/Mila-D-opiz-White-Shade-Vision-serum-30ml-Miladopiz-i.322619273.7657970246")</f>
        <v>https://shopee.co.id/Mila-D-opiz-White-Shade-Vision-serum-30ml-Miladopiz-i.322619273.7657970246</v>
      </c>
      <c r="C1606" s="6" t="s">
        <v>2182</v>
      </c>
      <c r="D1606" s="6" t="s">
        <v>2183</v>
      </c>
      <c r="E1606" s="6" t="s">
        <v>12</v>
      </c>
      <c r="F1606" s="6" t="s">
        <v>13</v>
      </c>
      <c r="G1606" s="6" t="s">
        <v>469</v>
      </c>
      <c r="H1606" s="8" t="s">
        <v>2679</v>
      </c>
      <c r="I1606" s="9">
        <v>2701000.0</v>
      </c>
      <c r="J1606" s="5" t="str">
        <f t="shared" ref="J1606:K1606" si="1606">SUBSTITUTE(H1606, ",", "")</f>
        <v>8</v>
      </c>
      <c r="K1606" s="5" t="str">
        <f t="shared" si="1606"/>
        <v>Rp2701000</v>
      </c>
      <c r="L1606" s="5" t="str">
        <f t="shared" si="3"/>
        <v>2701000</v>
      </c>
    </row>
    <row r="1607">
      <c r="A1607" s="6" t="s">
        <v>2712</v>
      </c>
      <c r="B1607" s="7" t="str">
        <f>HYPERLINK("https://shopee.co.id/Dnars-Flawless-Serum-With-Vitamin-C-Official-Shop--i.93727097.2310398852", "https://shopee.co.id/Dnars-Flawless-Serum-With-Vitamin-C-Official-Shop--i.93727097.2310398852")</f>
        <v>https://shopee.co.id/Dnars-Flawless-Serum-With-Vitamin-C-Official-Shop--i.93727097.2310398852</v>
      </c>
      <c r="C1607" s="6" t="s">
        <v>2713</v>
      </c>
      <c r="D1607" s="6" t="s">
        <v>2714</v>
      </c>
      <c r="E1607" s="6" t="s">
        <v>12</v>
      </c>
      <c r="F1607" s="6" t="s">
        <v>13</v>
      </c>
      <c r="G1607" s="6" t="s">
        <v>1048</v>
      </c>
      <c r="H1607" s="8" t="s">
        <v>2679</v>
      </c>
      <c r="I1607" s="9">
        <v>1254000.0</v>
      </c>
      <c r="J1607" s="5" t="str">
        <f t="shared" ref="J1607:K1607" si="1607">SUBSTITUTE(H1607, ",", "")</f>
        <v>8</v>
      </c>
      <c r="K1607" s="5" t="str">
        <f t="shared" si="1607"/>
        <v>Rp1254000</v>
      </c>
      <c r="L1607" s="5" t="str">
        <f t="shared" si="3"/>
        <v>1254000</v>
      </c>
    </row>
    <row r="1608">
      <c r="A1608" s="6" t="s">
        <v>2715</v>
      </c>
      <c r="B1608" s="7" t="str">
        <f>HYPERLINK("https://shopee.co.id/Fat-Panda-10-Niacinamide-Collagen-Ampoule-20ml-Brightening-Serum-i.206623679.8884923223", "https://shopee.co.id/Fat-Panda-10-Niacinamide-Collagen-Ampoule-20ml-Brightening-Serum-i.206623679.8884923223")</f>
        <v>https://shopee.co.id/Fat-Panda-10-Niacinamide-Collagen-Ampoule-20ml-Brightening-Serum-i.206623679.8884923223</v>
      </c>
      <c r="C1608" s="6" t="s">
        <v>2716</v>
      </c>
      <c r="D1608" s="6" t="s">
        <v>2717</v>
      </c>
      <c r="E1608" s="6" t="s">
        <v>12</v>
      </c>
      <c r="F1608" s="6" t="s">
        <v>13</v>
      </c>
      <c r="G1608" s="6" t="s">
        <v>130</v>
      </c>
      <c r="H1608" s="8" t="s">
        <v>2679</v>
      </c>
      <c r="I1608" s="9">
        <v>640800.0</v>
      </c>
      <c r="J1608" s="5" t="str">
        <f t="shared" ref="J1608:K1608" si="1608">SUBSTITUTE(H1608, ",", "")</f>
        <v>8</v>
      </c>
      <c r="K1608" s="5" t="str">
        <f t="shared" si="1608"/>
        <v>Rp640800</v>
      </c>
      <c r="L1608" s="5" t="str">
        <f t="shared" si="3"/>
        <v>640800</v>
      </c>
    </row>
    <row r="1609">
      <c r="A1609" s="6" t="s">
        <v>2718</v>
      </c>
      <c r="B1609" s="7" t="str">
        <f>HYPERLINK("https://shopee.co.id/POB-LIFTING-SERUM-OUR-DARK-SPOT-SOLUTION-Mengencangkan-dan-Menghaluskan-Kulit-Wajah-Glowing-Look-BPOM-20-ML-i.495355925.7595750260", "https://shopee.co.id/POB-LIFTING-SERUM-OUR-DARK-SPOT-SOLUTION-Mengencangkan-dan-Menghaluskan-Kulit-Wajah-Glowing-Look-BPOM-20-ML-i.495355925.7595750260")</f>
        <v>https://shopee.co.id/POB-LIFTING-SERUM-OUR-DARK-SPOT-SOLUTION-Mengencangkan-dan-Menghaluskan-Kulit-Wajah-Glowing-Look-BPOM-20-ML-i.495355925.7595750260</v>
      </c>
      <c r="C1609" s="6" t="s">
        <v>2719</v>
      </c>
      <c r="D1609" s="6" t="s">
        <v>2720</v>
      </c>
      <c r="E1609" s="6" t="s">
        <v>12</v>
      </c>
      <c r="F1609" s="6" t="s">
        <v>13</v>
      </c>
      <c r="G1609" s="6" t="s">
        <v>532</v>
      </c>
      <c r="H1609" s="8" t="s">
        <v>2679</v>
      </c>
      <c r="I1609" s="9">
        <v>784800.0</v>
      </c>
      <c r="J1609" s="5" t="str">
        <f t="shared" ref="J1609:K1609" si="1609">SUBSTITUTE(H1609, ",", "")</f>
        <v>8</v>
      </c>
      <c r="K1609" s="5" t="str">
        <f t="shared" si="1609"/>
        <v>Rp784800</v>
      </c>
      <c r="L1609" s="5" t="str">
        <f t="shared" si="3"/>
        <v>784800</v>
      </c>
    </row>
    <row r="1610">
      <c r="A1610" s="6" t="s">
        <v>2721</v>
      </c>
      <c r="B1610" s="7" t="str">
        <f>HYPERLINK("https://shopee.co.id/The-Body-Shop-Oils-Of-Life-Intensely-Revitalising-Facial-Oil-Serum-30ml-i.28053737.1381685946", "https://shopee.co.id/The-Body-Shop-Oils-Of-Life-Intensely-Revitalising-Facial-Oil-Serum-30ml-i.28053737.1381685946")</f>
        <v>https://shopee.co.id/The-Body-Shop-Oils-Of-Life-Intensely-Revitalising-Facial-Oil-Serum-30ml-i.28053737.1381685946</v>
      </c>
      <c r="C1610" s="6" t="s">
        <v>221</v>
      </c>
      <c r="D1610" s="6" t="s">
        <v>222</v>
      </c>
      <c r="E1610" s="6" t="s">
        <v>12</v>
      </c>
      <c r="F1610" s="6" t="s">
        <v>13</v>
      </c>
      <c r="G1610" s="6" t="s">
        <v>80</v>
      </c>
      <c r="H1610" s="8" t="s">
        <v>2679</v>
      </c>
      <c r="I1610" s="9">
        <v>1080250.0</v>
      </c>
      <c r="J1610" s="5" t="str">
        <f t="shared" ref="J1610:K1610" si="1610">SUBSTITUTE(H1610, ",", "")</f>
        <v>8</v>
      </c>
      <c r="K1610" s="5" t="str">
        <f t="shared" si="1610"/>
        <v>Rp1080250</v>
      </c>
      <c r="L1610" s="5" t="str">
        <f t="shared" si="3"/>
        <v>1080250</v>
      </c>
    </row>
    <row r="1611">
      <c r="A1611" s="6" t="s">
        <v>2722</v>
      </c>
      <c r="B1611" s="7" t="str">
        <f>HYPERLINK("https://shopee.co.id/Mellydia-Lengkap-B-Cream-Pemutih-Wajah-Penghilang-Flek-Serum-Sabun-Wajah-Serta-Beauty-Water-BPOM-i.66671865.1800776945", "https://shopee.co.id/Mellydia-Lengkap-B-Cream-Pemutih-Wajah-Penghilang-Flek-Serum-Sabun-Wajah-Serta-Beauty-Water-BPOM-i.66671865.1800776945")</f>
        <v>https://shopee.co.id/Mellydia-Lengkap-B-Cream-Pemutih-Wajah-Penghilang-Flek-Serum-Sabun-Wajah-Serta-Beauty-Water-BPOM-i.66671865.1800776945</v>
      </c>
      <c r="C1611" s="6" t="s">
        <v>2723</v>
      </c>
      <c r="D1611" s="6" t="s">
        <v>2724</v>
      </c>
      <c r="E1611" s="6" t="s">
        <v>12</v>
      </c>
      <c r="F1611" s="6" t="s">
        <v>13</v>
      </c>
      <c r="G1611" s="6" t="s">
        <v>115</v>
      </c>
      <c r="H1611" s="8" t="s">
        <v>2679</v>
      </c>
      <c r="I1611" s="9">
        <v>1160000.0</v>
      </c>
      <c r="J1611" s="5" t="str">
        <f t="shared" ref="J1611:K1611" si="1611">SUBSTITUTE(H1611, ",", "")</f>
        <v>8</v>
      </c>
      <c r="K1611" s="5" t="str">
        <f t="shared" si="1611"/>
        <v>Rp1160000</v>
      </c>
      <c r="L1611" s="5" t="str">
        <f t="shared" si="3"/>
        <v>1160000</v>
      </c>
    </row>
    <row r="1612">
      <c r="A1612" s="6" t="s">
        <v>2725</v>
      </c>
      <c r="B1612" s="7" t="str">
        <f>HYPERLINK("https://shopee.co.id/Bhumi-HPR-Retinol-Serum-30ml-i.68111.6567439893", "https://shopee.co.id/Bhumi-HPR-Retinol-Serum-30ml-i.68111.6567439893")</f>
        <v>https://shopee.co.id/Bhumi-HPR-Retinol-Serum-30ml-i.68111.6567439893</v>
      </c>
      <c r="C1612" s="6" t="s">
        <v>753</v>
      </c>
      <c r="D1612" s="6" t="s">
        <v>441</v>
      </c>
      <c r="E1612" s="6" t="s">
        <v>12</v>
      </c>
      <c r="F1612" s="6" t="s">
        <v>13</v>
      </c>
      <c r="G1612" s="6" t="s">
        <v>130</v>
      </c>
      <c r="H1612" s="8" t="s">
        <v>2679</v>
      </c>
      <c r="I1612" s="9">
        <v>906048.0</v>
      </c>
      <c r="J1612" s="5" t="str">
        <f t="shared" ref="J1612:K1612" si="1612">SUBSTITUTE(H1612, ",", "")</f>
        <v>8</v>
      </c>
      <c r="K1612" s="5" t="str">
        <f t="shared" si="1612"/>
        <v>Rp906048</v>
      </c>
      <c r="L1612" s="5" t="str">
        <f t="shared" si="3"/>
        <v>906048</v>
      </c>
    </row>
    <row r="1613">
      <c r="A1613" s="6" t="s">
        <v>2726</v>
      </c>
      <c r="B1613" s="7" t="str">
        <f>HYPERLINK("https://shopee.co.id/Renard-Blanc-Multilayer-Essence-i.40121814.9011673663", "https://shopee.co.id/Renard-Blanc-Multilayer-Essence-i.40121814.9011673663")</f>
        <v>https://shopee.co.id/Renard-Blanc-Multilayer-Essence-i.40121814.9011673663</v>
      </c>
      <c r="C1613" s="6" t="s">
        <v>2727</v>
      </c>
      <c r="D1613" s="6" t="s">
        <v>794</v>
      </c>
      <c r="E1613" s="6" t="s">
        <v>12</v>
      </c>
      <c r="F1613" s="6" t="s">
        <v>13</v>
      </c>
      <c r="G1613" s="6" t="s">
        <v>380</v>
      </c>
      <c r="H1613" s="8" t="s">
        <v>2679</v>
      </c>
      <c r="I1613" s="9">
        <v>896900.0</v>
      </c>
      <c r="J1613" s="5" t="str">
        <f t="shared" ref="J1613:K1613" si="1613">SUBSTITUTE(H1613, ",", "")</f>
        <v>8</v>
      </c>
      <c r="K1613" s="5" t="str">
        <f t="shared" si="1613"/>
        <v>Rp896900</v>
      </c>
      <c r="L1613" s="5" t="str">
        <f t="shared" si="3"/>
        <v>896900</v>
      </c>
    </row>
    <row r="1614">
      <c r="A1614" s="6" t="s">
        <v>2728</v>
      </c>
      <c r="B1614" s="7" t="str">
        <f>HYPERLINK("https://shopee.co.id/Erha21-Age-Corrector-Serum-20-Ml-Serum-Anti-Aging-Penyamar-Kerutan-Menjaga-Elastisitas-Kulit-i.50972887.9203515545", "https://shopee.co.id/Erha21-Age-Corrector-Serum-20-Ml-Serum-Anti-Aging-Penyamar-Kerutan-Menjaga-Elastisitas-Kulit-i.50972887.9203515545")</f>
        <v>https://shopee.co.id/Erha21-Age-Corrector-Serum-20-Ml-Serum-Anti-Aging-Penyamar-Kerutan-Menjaga-Elastisitas-Kulit-i.50972887.9203515545</v>
      </c>
      <c r="C1614" s="6" t="s">
        <v>1908</v>
      </c>
      <c r="D1614" s="6" t="s">
        <v>552</v>
      </c>
      <c r="E1614" s="6" t="s">
        <v>12</v>
      </c>
      <c r="F1614" s="6" t="s">
        <v>13</v>
      </c>
      <c r="G1614" s="6" t="s">
        <v>61</v>
      </c>
      <c r="H1614" s="8" t="s">
        <v>2679</v>
      </c>
      <c r="I1614" s="9">
        <v>224000.0</v>
      </c>
      <c r="J1614" s="5" t="str">
        <f t="shared" ref="J1614:K1614" si="1614">SUBSTITUTE(H1614, ",", "")</f>
        <v>8</v>
      </c>
      <c r="K1614" s="5" t="str">
        <f t="shared" si="1614"/>
        <v>Rp224000</v>
      </c>
      <c r="L1614" s="5" t="str">
        <f t="shared" si="3"/>
        <v>224000</v>
      </c>
    </row>
    <row r="1615">
      <c r="A1615" s="6" t="s">
        <v>2729</v>
      </c>
      <c r="B1615" s="7" t="str">
        <f>HYPERLINK("https://shopee.co.id/NPURE-Face-Serum-Centella-Asiatica-15ml-i.270965687.6967942337", "https://shopee.co.id/NPURE-Face-Serum-Centella-Asiatica-15ml-i.270965687.6967942337")</f>
        <v>https://shopee.co.id/NPURE-Face-Serum-Centella-Asiatica-15ml-i.270965687.6967942337</v>
      </c>
      <c r="C1615" s="6" t="s">
        <v>266</v>
      </c>
      <c r="D1615" s="6" t="s">
        <v>379</v>
      </c>
      <c r="E1615" s="6" t="s">
        <v>12</v>
      </c>
      <c r="F1615" s="6" t="s">
        <v>13</v>
      </c>
      <c r="G1615" s="6" t="s">
        <v>380</v>
      </c>
      <c r="H1615" s="8" t="s">
        <v>2679</v>
      </c>
      <c r="I1615" s="9">
        <v>158400.0</v>
      </c>
      <c r="J1615" s="5" t="str">
        <f t="shared" ref="J1615:K1615" si="1615">SUBSTITUTE(H1615, ",", "")</f>
        <v>8</v>
      </c>
      <c r="K1615" s="5" t="str">
        <f t="shared" si="1615"/>
        <v>Rp158400</v>
      </c>
      <c r="L1615" s="5" t="str">
        <f t="shared" si="3"/>
        <v>158400</v>
      </c>
    </row>
    <row r="1616">
      <c r="A1616" s="6" t="s">
        <v>2730</v>
      </c>
      <c r="B1616" s="7" t="str">
        <f>HYPERLINK("https://shopee.co.id/Dr-Jart-Vital-Hydra-Solution-Capsule-Ampoule-i.126014132.4520408423", "https://shopee.co.id/Dr-Jart-Vital-Hydra-Solution-Capsule-Ampoule-i.126014132.4520408423")</f>
        <v>https://shopee.co.id/Dr-Jart-Vital-Hydra-Solution-Capsule-Ampoule-i.126014132.4520408423</v>
      </c>
      <c r="C1616" s="6" t="s">
        <v>1814</v>
      </c>
      <c r="D1616" s="6" t="s">
        <v>640</v>
      </c>
      <c r="E1616" s="6" t="s">
        <v>12</v>
      </c>
      <c r="F1616" s="6" t="s">
        <v>13</v>
      </c>
      <c r="G1616" s="6" t="s">
        <v>61</v>
      </c>
      <c r="H1616" s="8" t="s">
        <v>2679</v>
      </c>
      <c r="I1616" s="9">
        <v>269304.0</v>
      </c>
      <c r="J1616" s="5" t="str">
        <f t="shared" ref="J1616:K1616" si="1616">SUBSTITUTE(H1616, ",", "")</f>
        <v>8</v>
      </c>
      <c r="K1616" s="5" t="str">
        <f t="shared" si="1616"/>
        <v>Rp269304</v>
      </c>
      <c r="L1616" s="5" t="str">
        <f t="shared" si="3"/>
        <v>269304</v>
      </c>
    </row>
    <row r="1617">
      <c r="A1617" s="6" t="s">
        <v>2731</v>
      </c>
      <c r="B1617" s="7" t="str">
        <f>HYPERLINK("https://shopee.co.id/Olay-Regenerist-Serum-Retinol-30-Ml-i.36998337.4846060886", "https://shopee.co.id/Olay-Regenerist-Serum-Retinol-30-Ml-i.36998337.4846060886")</f>
        <v>https://shopee.co.id/Olay-Regenerist-Serum-Retinol-30-Ml-i.36998337.4846060886</v>
      </c>
      <c r="C1617" s="6" t="s">
        <v>317</v>
      </c>
      <c r="D1617" s="6" t="s">
        <v>2449</v>
      </c>
      <c r="E1617" s="6" t="s">
        <v>12</v>
      </c>
      <c r="F1617" s="6" t="s">
        <v>13</v>
      </c>
      <c r="G1617" s="6" t="s">
        <v>98</v>
      </c>
      <c r="H1617" s="8" t="s">
        <v>2679</v>
      </c>
      <c r="I1617" s="9">
        <v>1346000.0</v>
      </c>
      <c r="J1617" s="5" t="str">
        <f t="shared" ref="J1617:K1617" si="1617">SUBSTITUTE(H1617, ",", "")</f>
        <v>8</v>
      </c>
      <c r="K1617" s="5" t="str">
        <f t="shared" si="1617"/>
        <v>Rp1346000</v>
      </c>
      <c r="L1617" s="5" t="str">
        <f t="shared" si="3"/>
        <v>1346000</v>
      </c>
    </row>
    <row r="1618">
      <c r="A1618" s="6" t="s">
        <v>2732</v>
      </c>
      <c r="B1618" s="7" t="str">
        <f>HYPERLINK("https://shopee.co.id/Whitelab-Brightening-Face-Serum-20ml-i.825870.4946390798", "https://shopee.co.id/Whitelab-Brightening-Face-Serum-20ml-i.825870.4946390798")</f>
        <v>https://shopee.co.id/Whitelab-Brightening-Face-Serum-20ml-i.825870.4946390798</v>
      </c>
      <c r="C1618" s="6" t="s">
        <v>59</v>
      </c>
      <c r="D1618" s="6" t="s">
        <v>1184</v>
      </c>
      <c r="E1618" s="6" t="s">
        <v>12</v>
      </c>
      <c r="F1618" s="6" t="s">
        <v>13</v>
      </c>
      <c r="G1618" s="6" t="s">
        <v>21</v>
      </c>
      <c r="H1618" s="8" t="s">
        <v>2679</v>
      </c>
      <c r="I1618" s="9">
        <v>911240.0</v>
      </c>
      <c r="J1618" s="5" t="str">
        <f t="shared" ref="J1618:K1618" si="1618">SUBSTITUTE(H1618, ",", "")</f>
        <v>8</v>
      </c>
      <c r="K1618" s="5" t="str">
        <f t="shared" si="1618"/>
        <v>Rp911240</v>
      </c>
      <c r="L1618" s="5" t="str">
        <f t="shared" si="3"/>
        <v>911240</v>
      </c>
    </row>
    <row r="1619">
      <c r="A1619" s="6" t="s">
        <v>2733</v>
      </c>
      <c r="B1619" s="7" t="str">
        <f>HYPERLINK("https://shopee.co.id/Real-White-Clinical-Serum-i.349337394.8267811761", "https://shopee.co.id/Real-White-Clinical-Serum-i.349337394.8267811761")</f>
        <v>https://shopee.co.id/Real-White-Clinical-Serum-i.349337394.8267811761</v>
      </c>
      <c r="C1619" s="6" t="s">
        <v>547</v>
      </c>
      <c r="D1619" s="6" t="s">
        <v>548</v>
      </c>
      <c r="E1619" s="6" t="s">
        <v>12</v>
      </c>
      <c r="F1619" s="6" t="s">
        <v>13</v>
      </c>
      <c r="G1619" s="6" t="s">
        <v>380</v>
      </c>
      <c r="H1619" s="8" t="s">
        <v>2679</v>
      </c>
      <c r="I1619" s="9">
        <v>1317500.0</v>
      </c>
      <c r="J1619" s="5" t="str">
        <f t="shared" ref="J1619:K1619" si="1619">SUBSTITUTE(H1619, ",", "")</f>
        <v>8</v>
      </c>
      <c r="K1619" s="5" t="str">
        <f t="shared" si="1619"/>
        <v>Rp1317500</v>
      </c>
      <c r="L1619" s="5" t="str">
        <f t="shared" si="3"/>
        <v>1317500</v>
      </c>
    </row>
    <row r="1620">
      <c r="A1620" s="6" t="s">
        <v>2734</v>
      </c>
      <c r="B1620" s="7" t="str">
        <f>HYPERLINK("https://shopee.co.id/Buy-1-Get-1-Bio-Essence-Bio-Treatment-Essence-In-Oil-60-ml-i.63822287.12001520468", "https://shopee.co.id/Buy-1-Get-1-Bio-Essence-Bio-Treatment-Essence-In-Oil-60-ml-i.63822287.12001520468")</f>
        <v>https://shopee.co.id/Buy-1-Get-1-Bio-Essence-Bio-Treatment-Essence-In-Oil-60-ml-i.63822287.12001520468</v>
      </c>
      <c r="C1620" s="6" t="s">
        <v>1254</v>
      </c>
      <c r="D1620" s="6" t="s">
        <v>835</v>
      </c>
      <c r="E1620" s="6" t="s">
        <v>12</v>
      </c>
      <c r="F1620" s="6" t="s">
        <v>13</v>
      </c>
      <c r="G1620" s="6" t="s">
        <v>61</v>
      </c>
      <c r="H1620" s="8" t="s">
        <v>2679</v>
      </c>
      <c r="I1620" s="9">
        <v>872000.0</v>
      </c>
      <c r="J1620" s="5" t="str">
        <f t="shared" ref="J1620:K1620" si="1620">SUBSTITUTE(H1620, ",", "")</f>
        <v>8</v>
      </c>
      <c r="K1620" s="5" t="str">
        <f t="shared" si="1620"/>
        <v>Rp872000</v>
      </c>
      <c r="L1620" s="5" t="str">
        <f t="shared" si="3"/>
        <v>872000</v>
      </c>
    </row>
    <row r="1621">
      <c r="A1621" s="6" t="s">
        <v>2735</v>
      </c>
      <c r="B1621" s="7" t="str">
        <f>HYPERLINK("https://shopee.co.id/Naruko-Tea-Tree-Shine-Control-Blemish-Clear-Serum-30ML-i.70505220.1452659174", "https://shopee.co.id/Naruko-Tea-Tree-Shine-Control-Blemish-Clear-Serum-30ML-i.70505220.1452659174")</f>
        <v>https://shopee.co.id/Naruko-Tea-Tree-Shine-Control-Blemish-Clear-Serum-30ML-i.70505220.1452659174</v>
      </c>
      <c r="C1621" s="6" t="s">
        <v>2736</v>
      </c>
      <c r="D1621" s="6" t="s">
        <v>2737</v>
      </c>
      <c r="E1621" s="6" t="s">
        <v>12</v>
      </c>
      <c r="F1621" s="6" t="s">
        <v>13</v>
      </c>
      <c r="G1621" s="6" t="s">
        <v>21</v>
      </c>
      <c r="H1621" s="8" t="s">
        <v>2679</v>
      </c>
      <c r="I1621" s="9">
        <v>1029600.0</v>
      </c>
      <c r="J1621" s="5" t="str">
        <f t="shared" ref="J1621:K1621" si="1621">SUBSTITUTE(H1621, ",", "")</f>
        <v>8</v>
      </c>
      <c r="K1621" s="5" t="str">
        <f t="shared" si="1621"/>
        <v>Rp1029600</v>
      </c>
      <c r="L1621" s="5" t="str">
        <f t="shared" si="3"/>
        <v>1029600</v>
      </c>
    </row>
    <row r="1622">
      <c r="A1622" s="6" t="s">
        <v>2738</v>
      </c>
      <c r="B1622" s="7" t="str">
        <f>HYPERLINK("https://shopee.co.id/-The-Face-Shop-Yehwadam-Hwansaenggo-Rejuvenating-Radiance-Serum-45ml-i.34671748.11904884685", "https://shopee.co.id/-The-Face-Shop-Yehwadam-Hwansaenggo-Rejuvenating-Radiance-Serum-45ml-i.34671748.11904884685")</f>
        <v>https://shopee.co.id/-The-Face-Shop-Yehwadam-Hwansaenggo-Rejuvenating-Radiance-Serum-45ml-i.34671748.11904884685</v>
      </c>
      <c r="C1622" s="6" t="s">
        <v>1217</v>
      </c>
      <c r="D1622" s="6" t="s">
        <v>1218</v>
      </c>
      <c r="E1622" s="6" t="s">
        <v>12</v>
      </c>
      <c r="F1622" s="6" t="s">
        <v>13</v>
      </c>
      <c r="G1622" s="6" t="s">
        <v>61</v>
      </c>
      <c r="H1622" s="8" t="s">
        <v>2679</v>
      </c>
      <c r="I1622" s="9">
        <v>8400000.0</v>
      </c>
      <c r="J1622" s="5" t="str">
        <f t="shared" ref="J1622:K1622" si="1622">SUBSTITUTE(H1622, ",", "")</f>
        <v>8</v>
      </c>
      <c r="K1622" s="5" t="str">
        <f t="shared" si="1622"/>
        <v>Rp8400000</v>
      </c>
      <c r="L1622" s="5" t="str">
        <f t="shared" si="3"/>
        <v>8400000</v>
      </c>
    </row>
    <row r="1623">
      <c r="A1623" s="6" t="s">
        <v>2739</v>
      </c>
      <c r="B1623" s="7" t="str">
        <f>HYPERLINK("https://shopee.co.id/Estetika-dr-Affandi-Eksotika-Serum-Vitamin-C-10-ml-i.393350068.7180057175", "https://shopee.co.id/Estetika-dr-Affandi-Eksotika-Serum-Vitamin-C-10-ml-i.393350068.7180057175")</f>
        <v>https://shopee.co.id/Estetika-dr-Affandi-Eksotika-Serum-Vitamin-C-10-ml-i.393350068.7180057175</v>
      </c>
      <c r="C1623" s="6" t="s">
        <v>2740</v>
      </c>
      <c r="D1623" s="6" t="s">
        <v>2741</v>
      </c>
      <c r="E1623" s="6" t="s">
        <v>12</v>
      </c>
      <c r="F1623" s="6" t="s">
        <v>13</v>
      </c>
      <c r="G1623" s="6" t="s">
        <v>98</v>
      </c>
      <c r="H1623" s="8" t="s">
        <v>2679</v>
      </c>
      <c r="I1623" s="9">
        <v>9400000.0</v>
      </c>
      <c r="J1623" s="5" t="str">
        <f t="shared" ref="J1623:K1623" si="1623">SUBSTITUTE(H1623, ",", "")</f>
        <v>8</v>
      </c>
      <c r="K1623" s="5" t="str">
        <f t="shared" si="1623"/>
        <v>Rp9400000</v>
      </c>
      <c r="L1623" s="5" t="str">
        <f t="shared" si="3"/>
        <v>9400000</v>
      </c>
    </row>
    <row r="1624">
      <c r="A1624" s="6" t="s">
        <v>2742</v>
      </c>
      <c r="B1624" s="7" t="str">
        <f>HYPERLINK("https://shopee.co.id/Azarine-Refreshing-Essence-Mist-X-Rachel-Goddard-85-ml-i.110573301.8042622756", "https://shopee.co.id/Azarine-Refreshing-Essence-Mist-X-Rachel-Goddard-85-ml-i.110573301.8042622756")</f>
        <v>https://shopee.co.id/Azarine-Refreshing-Essence-Mist-X-Rachel-Goddard-85-ml-i.110573301.8042622756</v>
      </c>
      <c r="C1624" s="6" t="s">
        <v>233</v>
      </c>
      <c r="D1624" s="6" t="s">
        <v>227</v>
      </c>
      <c r="E1624" s="6" t="s">
        <v>12</v>
      </c>
      <c r="F1624" s="6" t="s">
        <v>13</v>
      </c>
      <c r="G1624" s="6" t="s">
        <v>61</v>
      </c>
      <c r="H1624" s="8" t="s">
        <v>2679</v>
      </c>
      <c r="I1624" s="9">
        <v>1588000.0</v>
      </c>
      <c r="J1624" s="5" t="str">
        <f t="shared" ref="J1624:K1624" si="1624">SUBSTITUTE(H1624, ",", "")</f>
        <v>8</v>
      </c>
      <c r="K1624" s="5" t="str">
        <f t="shared" si="1624"/>
        <v>Rp1588000</v>
      </c>
      <c r="L1624" s="5" t="str">
        <f t="shared" si="3"/>
        <v>1588000</v>
      </c>
    </row>
    <row r="1625">
      <c r="A1625" s="6" t="s">
        <v>2743</v>
      </c>
      <c r="B1625" s="7" t="str">
        <f>HYPERLINK("https://shopee.co.id/Somethinc-5-Niacinamide-Barrier-Serum-20ml-i.825870.8471092024", "https://shopee.co.id/Somethinc-5-Niacinamide-Barrier-Serum-20ml-i.825870.8471092024")</f>
        <v>https://shopee.co.id/Somethinc-5-Niacinamide-Barrier-Serum-20ml-i.825870.8471092024</v>
      </c>
      <c r="C1625" s="6" t="s">
        <v>45</v>
      </c>
      <c r="D1625" s="6" t="s">
        <v>1184</v>
      </c>
      <c r="E1625" s="6" t="s">
        <v>12</v>
      </c>
      <c r="F1625" s="6" t="s">
        <v>13</v>
      </c>
      <c r="G1625" s="6" t="s">
        <v>21</v>
      </c>
      <c r="H1625" s="8" t="s">
        <v>2679</v>
      </c>
      <c r="I1625" s="9">
        <v>1072500.0</v>
      </c>
      <c r="J1625" s="5" t="str">
        <f t="shared" ref="J1625:K1625" si="1625">SUBSTITUTE(H1625, ",", "")</f>
        <v>8</v>
      </c>
      <c r="K1625" s="5" t="str">
        <f t="shared" si="1625"/>
        <v>Rp1072500</v>
      </c>
      <c r="L1625" s="5" t="str">
        <f t="shared" si="3"/>
        <v>1072500</v>
      </c>
    </row>
    <row r="1626">
      <c r="A1626" s="6" t="s">
        <v>2744</v>
      </c>
      <c r="B1626" s="7" t="str">
        <f>HYPERLINK("https://shopee.co.id/Daffania-Skincare-Serum-Oily-Acne-Skin-20-Ml-i.378849141.8812860875", "https://shopee.co.id/Daffania-Skincare-Serum-Oily-Acne-Skin-20-Ml-i.378849141.8812860875")</f>
        <v>https://shopee.co.id/Daffania-Skincare-Serum-Oily-Acne-Skin-20-Ml-i.378849141.8812860875</v>
      </c>
      <c r="C1626" s="6" t="s">
        <v>2745</v>
      </c>
      <c r="D1626" s="6" t="s">
        <v>2746</v>
      </c>
      <c r="E1626" s="6" t="s">
        <v>12</v>
      </c>
      <c r="F1626" s="6" t="s">
        <v>13</v>
      </c>
      <c r="G1626" s="6" t="s">
        <v>80</v>
      </c>
      <c r="H1626" s="8" t="s">
        <v>2679</v>
      </c>
      <c r="I1626" s="9">
        <v>952320.0</v>
      </c>
      <c r="J1626" s="5" t="str">
        <f t="shared" ref="J1626:K1626" si="1626">SUBSTITUTE(H1626, ",", "")</f>
        <v>8</v>
      </c>
      <c r="K1626" s="5" t="str">
        <f t="shared" si="1626"/>
        <v>Rp952320</v>
      </c>
      <c r="L1626" s="5" t="str">
        <f t="shared" si="3"/>
        <v>952320</v>
      </c>
    </row>
    <row r="1627">
      <c r="A1627" s="6" t="s">
        <v>2747</v>
      </c>
      <c r="B1627" s="7" t="str">
        <f>HYPERLINK("https://shopee.co.id/Skin-Game-Acne-Combat-Serum-30ml-i.825870.7086765340", "https://shopee.co.id/Skin-Game-Acne-Combat-Serum-30ml-i.825870.7086765340")</f>
        <v>https://shopee.co.id/Skin-Game-Acne-Combat-Serum-30ml-i.825870.7086765340</v>
      </c>
      <c r="C1627" s="6" t="s">
        <v>523</v>
      </c>
      <c r="D1627" s="6" t="s">
        <v>1184</v>
      </c>
      <c r="E1627" s="6" t="s">
        <v>12</v>
      </c>
      <c r="F1627" s="6" t="s">
        <v>13</v>
      </c>
      <c r="G1627" s="6" t="s">
        <v>21</v>
      </c>
      <c r="H1627" s="8" t="s">
        <v>2679</v>
      </c>
      <c r="I1627" s="9">
        <v>1760000.0</v>
      </c>
      <c r="J1627" s="5" t="str">
        <f t="shared" ref="J1627:K1627" si="1627">SUBSTITUTE(H1627, ",", "")</f>
        <v>8</v>
      </c>
      <c r="K1627" s="5" t="str">
        <f t="shared" si="1627"/>
        <v>Rp1760000</v>
      </c>
      <c r="L1627" s="5" t="str">
        <f t="shared" si="3"/>
        <v>1760000</v>
      </c>
    </row>
    <row r="1628">
      <c r="A1628" s="6" t="s">
        <v>2748</v>
      </c>
      <c r="B1628" s="7" t="str">
        <f>HYPERLINK("https://shopee.co.id/Saffbeautys-Whitenning-Basic-Facemist-Glowing-Saffron-Serum-Brightening-Saffron-i.61316931.9164738022", "https://shopee.co.id/Saffbeautys-Whitenning-Basic-Facemist-Glowing-Saffron-Serum-Brightening-Saffron-i.61316931.9164738022")</f>
        <v>https://shopee.co.id/Saffbeautys-Whitenning-Basic-Facemist-Glowing-Saffron-Serum-Brightening-Saffron-i.61316931.9164738022</v>
      </c>
      <c r="C1628" s="6" t="s">
        <v>2127</v>
      </c>
      <c r="D1628" s="6" t="s">
        <v>2128</v>
      </c>
      <c r="E1628" s="6" t="s">
        <v>12</v>
      </c>
      <c r="F1628" s="6" t="s">
        <v>13</v>
      </c>
      <c r="G1628" s="6" t="s">
        <v>409</v>
      </c>
      <c r="H1628" s="8" t="s">
        <v>2679</v>
      </c>
      <c r="I1628" s="9">
        <v>1229862.0</v>
      </c>
      <c r="J1628" s="5" t="str">
        <f t="shared" ref="J1628:K1628" si="1628">SUBSTITUTE(H1628, ",", "")</f>
        <v>8</v>
      </c>
      <c r="K1628" s="5" t="str">
        <f t="shared" si="1628"/>
        <v>Rp1229862</v>
      </c>
      <c r="L1628" s="5" t="str">
        <f t="shared" si="3"/>
        <v>1229862</v>
      </c>
    </row>
    <row r="1629">
      <c r="A1629" s="6" t="s">
        <v>2749</v>
      </c>
      <c r="B1629" s="7" t="str">
        <f>HYPERLINK("https://shopee.co.id/Hanasui-Serum-Acne-20ml-i.277377659.4239680020", "https://shopee.co.id/Hanasui-Serum-Acne-20ml-i.277377659.4239680020")</f>
        <v>https://shopee.co.id/Hanasui-Serum-Acne-20ml-i.277377659.4239680020</v>
      </c>
      <c r="C1629" s="6" t="s">
        <v>784</v>
      </c>
      <c r="D1629" s="6" t="s">
        <v>2549</v>
      </c>
      <c r="E1629" s="6" t="s">
        <v>12</v>
      </c>
      <c r="F1629" s="6" t="s">
        <v>13</v>
      </c>
      <c r="G1629" s="6" t="s">
        <v>532</v>
      </c>
      <c r="H1629" s="8" t="s">
        <v>2679</v>
      </c>
      <c r="I1629" s="9">
        <v>752400.0</v>
      </c>
      <c r="J1629" s="5" t="str">
        <f t="shared" ref="J1629:K1629" si="1629">SUBSTITUTE(H1629, ",", "")</f>
        <v>8</v>
      </c>
      <c r="K1629" s="5" t="str">
        <f t="shared" si="1629"/>
        <v>Rp752400</v>
      </c>
      <c r="L1629" s="5" t="str">
        <f t="shared" si="3"/>
        <v>752400</v>
      </c>
    </row>
    <row r="1630">
      <c r="A1630" s="6" t="s">
        <v>2750</v>
      </c>
      <c r="B1630" s="7" t="str">
        <f>HYPERLINK("https://shopee.co.id/Beautybarme-The-Ordinary-Niacinamide-10-Zinc-1-30Ml-Original-i.28781862.3620109574", "https://shopee.co.id/Beautybarme-The-Ordinary-Niacinamide-10-Zinc-1-30Ml-Original-i.28781862.3620109574")</f>
        <v>https://shopee.co.id/Beautybarme-The-Ordinary-Niacinamide-10-Zinc-1-30Ml-Original-i.28781862.3620109574</v>
      </c>
      <c r="C1630" s="6" t="s">
        <v>1245</v>
      </c>
      <c r="D1630" s="6" t="s">
        <v>1189</v>
      </c>
      <c r="E1630" s="6" t="s">
        <v>12</v>
      </c>
      <c r="F1630" s="6" t="s">
        <v>13</v>
      </c>
      <c r="G1630" s="6" t="s">
        <v>1190</v>
      </c>
      <c r="H1630" s="8" t="s">
        <v>2679</v>
      </c>
      <c r="I1630" s="9">
        <v>972000.0</v>
      </c>
      <c r="J1630" s="5" t="str">
        <f t="shared" ref="J1630:K1630" si="1630">SUBSTITUTE(H1630, ",", "")</f>
        <v>8</v>
      </c>
      <c r="K1630" s="5" t="str">
        <f t="shared" si="1630"/>
        <v>Rp972000</v>
      </c>
      <c r="L1630" s="5" t="str">
        <f t="shared" si="3"/>
        <v>972000</v>
      </c>
    </row>
    <row r="1631">
      <c r="A1631" s="6" t="s">
        <v>2751</v>
      </c>
      <c r="B1631" s="7" t="str">
        <f>HYPERLINK("https://shopee.co.id/Duvaderm-Hyaluronic-Calming-Serum-15ml-i.825870.5160575823", "https://shopee.co.id/Duvaderm-Hyaluronic-Calming-Serum-15ml-i.825870.5160575823")</f>
        <v>https://shopee.co.id/Duvaderm-Hyaluronic-Calming-Serum-15ml-i.825870.5160575823</v>
      </c>
      <c r="C1631" s="6" t="s">
        <v>2752</v>
      </c>
      <c r="D1631" s="6" t="s">
        <v>1184</v>
      </c>
      <c r="E1631" s="6" t="s">
        <v>12</v>
      </c>
      <c r="F1631" s="6" t="s">
        <v>13</v>
      </c>
      <c r="G1631" s="6" t="s">
        <v>21</v>
      </c>
      <c r="H1631" s="8" t="s">
        <v>2679</v>
      </c>
      <c r="I1631" s="9">
        <v>637000.0</v>
      </c>
      <c r="J1631" s="5" t="str">
        <f t="shared" ref="J1631:K1631" si="1631">SUBSTITUTE(H1631, ",", "")</f>
        <v>8</v>
      </c>
      <c r="K1631" s="5" t="str">
        <f t="shared" si="1631"/>
        <v>Rp637000</v>
      </c>
      <c r="L1631" s="5" t="str">
        <f t="shared" si="3"/>
        <v>637000</v>
      </c>
    </row>
    <row r="1632">
      <c r="A1632" s="6" t="s">
        <v>2753</v>
      </c>
      <c r="B1632" s="7" t="str">
        <f>HYPERLINK("https://shopee.co.id/MSBB-Votre-Peau-Vitamin-C-Serum-Pour-Maharis-Clinic-30ml-i.288588702.8320401012", "https://shopee.co.id/MSBB-Votre-Peau-Vitamin-C-Serum-Pour-Maharis-Clinic-30ml-i.288588702.8320401012")</f>
        <v>https://shopee.co.id/MSBB-Votre-Peau-Vitamin-C-Serum-Pour-Maharis-Clinic-30ml-i.288588702.8320401012</v>
      </c>
      <c r="C1632" s="6" t="s">
        <v>471</v>
      </c>
      <c r="D1632" s="6" t="s">
        <v>79</v>
      </c>
      <c r="E1632" s="6" t="s">
        <v>12</v>
      </c>
      <c r="F1632" s="6" t="s">
        <v>13</v>
      </c>
      <c r="G1632" s="6" t="s">
        <v>80</v>
      </c>
      <c r="H1632" s="8" t="s">
        <v>2679</v>
      </c>
      <c r="I1632" s="9">
        <v>744200.0</v>
      </c>
      <c r="J1632" s="5" t="str">
        <f t="shared" ref="J1632:K1632" si="1632">SUBSTITUTE(H1632, ",", "")</f>
        <v>8</v>
      </c>
      <c r="K1632" s="5" t="str">
        <f t="shared" si="1632"/>
        <v>Rp744200</v>
      </c>
      <c r="L1632" s="5" t="str">
        <f t="shared" si="3"/>
        <v>744200</v>
      </c>
    </row>
    <row r="1633">
      <c r="A1633" s="6" t="s">
        <v>2754</v>
      </c>
      <c r="B1633" s="7" t="str">
        <f>HYPERLINK("https://shopee.co.id/Avoskin-YSB-Azeclair-10-Kombucha-3-Niacinamide-2-5-Vaccine-Serum-i.110573301.9691142432", "https://shopee.co.id/Avoskin-YSB-Azeclair-10-Kombucha-3-Niacinamide-2-5-Vaccine-Serum-i.110573301.9691142432")</f>
        <v>https://shopee.co.id/Avoskin-YSB-Azeclair-10-Kombucha-3-Niacinamide-2-5-Vaccine-Serum-i.110573301.9691142432</v>
      </c>
      <c r="C1633" s="6" t="s">
        <v>83</v>
      </c>
      <c r="D1633" s="6" t="s">
        <v>227</v>
      </c>
      <c r="E1633" s="6" t="s">
        <v>12</v>
      </c>
      <c r="F1633" s="6" t="s">
        <v>13</v>
      </c>
      <c r="G1633" s="6" t="s">
        <v>61</v>
      </c>
      <c r="H1633" s="8" t="s">
        <v>2679</v>
      </c>
      <c r="I1633" s="9">
        <v>393600.0</v>
      </c>
      <c r="J1633" s="5" t="str">
        <f t="shared" ref="J1633:K1633" si="1633">SUBSTITUTE(H1633, ",", "")</f>
        <v>8</v>
      </c>
      <c r="K1633" s="5" t="str">
        <f t="shared" si="1633"/>
        <v>Rp393600</v>
      </c>
      <c r="L1633" s="5" t="str">
        <f t="shared" si="3"/>
        <v>393600</v>
      </c>
    </row>
    <row r="1634">
      <c r="A1634" s="6" t="s">
        <v>2755</v>
      </c>
      <c r="B1634" s="7" t="str">
        <f>HYPERLINK("https://shopee.co.id/VT-COSMETICS-CICA-X-CARE-Spot-Patch-i.240557409.8847871591", "https://shopee.co.id/VT-COSMETICS-CICA-X-CARE-Spot-Patch-i.240557409.8847871591")</f>
        <v>https://shopee.co.id/VT-COSMETICS-CICA-X-CARE-Spot-Patch-i.240557409.8847871591</v>
      </c>
      <c r="C1634" s="6" t="s">
        <v>2756</v>
      </c>
      <c r="D1634" s="6" t="s">
        <v>2757</v>
      </c>
      <c r="E1634" s="6" t="s">
        <v>12</v>
      </c>
      <c r="F1634" s="6" t="s">
        <v>13</v>
      </c>
      <c r="G1634" s="6" t="s">
        <v>98</v>
      </c>
      <c r="H1634" s="8" t="s">
        <v>2679</v>
      </c>
      <c r="I1634" s="9">
        <v>1399200.0</v>
      </c>
      <c r="J1634" s="5" t="str">
        <f t="shared" ref="J1634:K1634" si="1634">SUBSTITUTE(H1634, ",", "")</f>
        <v>8</v>
      </c>
      <c r="K1634" s="5" t="str">
        <f t="shared" si="1634"/>
        <v>Rp1399200</v>
      </c>
      <c r="L1634" s="5" t="str">
        <f t="shared" si="3"/>
        <v>1399200</v>
      </c>
    </row>
    <row r="1635">
      <c r="A1635" s="6" t="s">
        <v>2758</v>
      </c>
      <c r="B1635" s="7" t="str">
        <f>HYPERLINK("https://shopee.co.id/-Official-Distributor-By-Wishtrend-Polyphenols-in-Propolis-15-Ampoule-30ml-i.438396149.10802657445", "https://shopee.co.id/-Official-Distributor-By-Wishtrend-Polyphenols-in-Propolis-15-Ampoule-30ml-i.438396149.10802657445")</f>
        <v>https://shopee.co.id/-Official-Distributor-By-Wishtrend-Polyphenols-in-Propolis-15-Ampoule-30ml-i.438396149.10802657445</v>
      </c>
      <c r="C1635" s="6" t="s">
        <v>2759</v>
      </c>
      <c r="D1635" s="6" t="s">
        <v>2760</v>
      </c>
      <c r="E1635" s="6" t="s">
        <v>12</v>
      </c>
      <c r="F1635" s="6" t="s">
        <v>13</v>
      </c>
      <c r="G1635" s="6" t="s">
        <v>21</v>
      </c>
      <c r="H1635" s="8" t="s">
        <v>2679</v>
      </c>
      <c r="I1635" s="9">
        <v>268800.0</v>
      </c>
      <c r="J1635" s="5" t="str">
        <f t="shared" ref="J1635:K1635" si="1635">SUBSTITUTE(H1635, ",", "")</f>
        <v>8</v>
      </c>
      <c r="K1635" s="5" t="str">
        <f t="shared" si="1635"/>
        <v>Rp268800</v>
      </c>
      <c r="L1635" s="5" t="str">
        <f t="shared" si="3"/>
        <v>268800</v>
      </c>
    </row>
    <row r="1636">
      <c r="A1636" s="6" t="s">
        <v>2761</v>
      </c>
      <c r="B1636" s="7" t="str">
        <f>HYPERLINK("https://shopee.co.id/KEZIA-Skincare-Whitening-Serum-15ml-i.193506655.7404563615", "https://shopee.co.id/KEZIA-Skincare-Whitening-Serum-15ml-i.193506655.7404563615")</f>
        <v>https://shopee.co.id/KEZIA-Skincare-Whitening-Serum-15ml-i.193506655.7404563615</v>
      </c>
      <c r="C1636" s="6" t="s">
        <v>2762</v>
      </c>
      <c r="D1636" s="6" t="s">
        <v>2763</v>
      </c>
      <c r="E1636" s="6" t="s">
        <v>12</v>
      </c>
      <c r="F1636" s="6" t="s">
        <v>13</v>
      </c>
      <c r="G1636" s="6" t="s">
        <v>532</v>
      </c>
      <c r="H1636" s="8" t="s">
        <v>2679</v>
      </c>
      <c r="I1636" s="9">
        <v>2337000.0</v>
      </c>
      <c r="J1636" s="5" t="str">
        <f t="shared" ref="J1636:K1636" si="1636">SUBSTITUTE(H1636, ",", "")</f>
        <v>8</v>
      </c>
      <c r="K1636" s="5" t="str">
        <f t="shared" si="1636"/>
        <v>Rp2337000</v>
      </c>
      <c r="L1636" s="5" t="str">
        <f t="shared" si="3"/>
        <v>2337000</v>
      </c>
    </row>
    <row r="1637">
      <c r="A1637" s="6" t="s">
        <v>2764</v>
      </c>
      <c r="B1637" s="7" t="str">
        <f>HYPERLINK("https://shopee.co.id/Frudia-Citrus-Brightening-Serum-FREE-Frudia-Pouch-Garis-Vertikal-i.98124209.1610625876", "https://shopee.co.id/Frudia-Citrus-Brightening-Serum-FREE-Frudia-Pouch-Garis-Vertikal-i.98124209.1610625876")</f>
        <v>https://shopee.co.id/Frudia-Citrus-Brightening-Serum-FREE-Frudia-Pouch-Garis-Vertikal-i.98124209.1610625876</v>
      </c>
      <c r="C1637" s="6" t="s">
        <v>790</v>
      </c>
      <c r="D1637" s="6" t="s">
        <v>791</v>
      </c>
      <c r="E1637" s="6" t="s">
        <v>12</v>
      </c>
      <c r="F1637" s="6" t="s">
        <v>13</v>
      </c>
      <c r="G1637" s="6" t="s">
        <v>85</v>
      </c>
      <c r="H1637" s="8" t="s">
        <v>2679</v>
      </c>
      <c r="I1637" s="9">
        <v>472000.0</v>
      </c>
      <c r="J1637" s="5" t="str">
        <f t="shared" ref="J1637:K1637" si="1637">SUBSTITUTE(H1637, ",", "")</f>
        <v>8</v>
      </c>
      <c r="K1637" s="5" t="str">
        <f t="shared" si="1637"/>
        <v>Rp472000</v>
      </c>
      <c r="L1637" s="5" t="str">
        <f t="shared" si="3"/>
        <v>472000</v>
      </c>
    </row>
    <row r="1638">
      <c r="A1638" s="6" t="s">
        <v>2765</v>
      </c>
      <c r="B1638" s="7" t="str">
        <f>HYPERLINK("https://shopee.co.id/SECA-Bye-Oil-and-Sebum-Bundle-BHA-Niacinamide--i.373749700.10424050478", "https://shopee.co.id/SECA-Bye-Oil-and-Sebum-Bundle-BHA-Niacinamide--i.373749700.10424050478")</f>
        <v>https://shopee.co.id/SECA-Bye-Oil-and-Sebum-Bundle-BHA-Niacinamide--i.373749700.10424050478</v>
      </c>
      <c r="C1638" s="6" t="s">
        <v>985</v>
      </c>
      <c r="D1638" s="6" t="s">
        <v>986</v>
      </c>
      <c r="E1638" s="6" t="s">
        <v>12</v>
      </c>
      <c r="F1638" s="6" t="s">
        <v>13</v>
      </c>
      <c r="G1638" s="6" t="s">
        <v>36</v>
      </c>
      <c r="H1638" s="8" t="s">
        <v>2679</v>
      </c>
      <c r="I1638" s="9">
        <v>571772.0</v>
      </c>
      <c r="J1638" s="5" t="str">
        <f t="shared" ref="J1638:K1638" si="1638">SUBSTITUTE(H1638, ",", "")</f>
        <v>8</v>
      </c>
      <c r="K1638" s="5" t="str">
        <f t="shared" si="1638"/>
        <v>Rp571772</v>
      </c>
      <c r="L1638" s="5" t="str">
        <f t="shared" si="3"/>
        <v>571772</v>
      </c>
    </row>
    <row r="1639">
      <c r="A1639" s="6" t="s">
        <v>2766</v>
      </c>
      <c r="B1639" s="7" t="str">
        <f>HYPERLINK("https://shopee.co.id/Hiqween-Face-Essence-Preparing-Serum-i.481417149.11418033228", "https://shopee.co.id/Hiqween-Face-Essence-Preparing-Serum-i.481417149.11418033228")</f>
        <v>https://shopee.co.id/Hiqween-Face-Essence-Preparing-Serum-i.481417149.11418033228</v>
      </c>
      <c r="C1639" s="6" t="s">
        <v>2270</v>
      </c>
      <c r="D1639" s="6" t="s">
        <v>2271</v>
      </c>
      <c r="E1639" s="6" t="s">
        <v>12</v>
      </c>
      <c r="F1639" s="6" t="s">
        <v>13</v>
      </c>
      <c r="G1639" s="6" t="s">
        <v>350</v>
      </c>
      <c r="H1639" s="8" t="s">
        <v>2679</v>
      </c>
      <c r="I1639" s="9">
        <v>1416100.0</v>
      </c>
      <c r="J1639" s="5" t="str">
        <f t="shared" ref="J1639:K1639" si="1639">SUBSTITUTE(H1639, ",", "")</f>
        <v>8</v>
      </c>
      <c r="K1639" s="5" t="str">
        <f t="shared" si="1639"/>
        <v>Rp1416100</v>
      </c>
      <c r="L1639" s="5" t="str">
        <f t="shared" si="3"/>
        <v>1416100</v>
      </c>
    </row>
    <row r="1640">
      <c r="A1640" s="6" t="s">
        <v>2767</v>
      </c>
      <c r="B1640" s="7" t="str">
        <f>HYPERLINK("https://shopee.co.id/Nourish-Beauty-Care-Wrinkle-Remover-Serum-30-mL-Serum-Wajah-i.204185841.5841475229", "https://shopee.co.id/Nourish-Beauty-Care-Wrinkle-Remover-Serum-30-mL-Serum-Wajah-i.204185841.5841475229")</f>
        <v>https://shopee.co.id/Nourish-Beauty-Care-Wrinkle-Remover-Serum-30-mL-Serum-Wajah-i.204185841.5841475229</v>
      </c>
      <c r="C1640" s="6" t="s">
        <v>1309</v>
      </c>
      <c r="D1640" s="6" t="s">
        <v>2568</v>
      </c>
      <c r="E1640" s="6" t="s">
        <v>12</v>
      </c>
      <c r="F1640" s="6" t="s">
        <v>13</v>
      </c>
      <c r="G1640" s="6" t="s">
        <v>36</v>
      </c>
      <c r="H1640" s="8" t="s">
        <v>2679</v>
      </c>
      <c r="I1640" s="9">
        <v>1154750.0</v>
      </c>
      <c r="J1640" s="5" t="str">
        <f t="shared" ref="J1640:K1640" si="1640">SUBSTITUTE(H1640, ",", "")</f>
        <v>8</v>
      </c>
      <c r="K1640" s="5" t="str">
        <f t="shared" si="1640"/>
        <v>Rp1154750</v>
      </c>
      <c r="L1640" s="5" t="str">
        <f t="shared" si="3"/>
        <v>1154750</v>
      </c>
    </row>
    <row r="1641">
      <c r="A1641" s="6" t="s">
        <v>2768</v>
      </c>
      <c r="B1641" s="7" t="str">
        <f>HYPERLINK("https://shopee.co.id/Bio-Essence-Bio-Gold-Gold-Water-150-mll-Radiant-Cleanser-100-gr-i.63822287.4132962237", "https://shopee.co.id/Bio-Essence-Bio-Gold-Gold-Water-150-mll-Radiant-Cleanser-100-gr-i.63822287.4132962237")</f>
        <v>https://shopee.co.id/Bio-Essence-Bio-Gold-Gold-Water-150-mll-Radiant-Cleanser-100-gr-i.63822287.4132962237</v>
      </c>
      <c r="C1641" s="6" t="s">
        <v>834</v>
      </c>
      <c r="D1641" s="6" t="s">
        <v>835</v>
      </c>
      <c r="E1641" s="6" t="s">
        <v>12</v>
      </c>
      <c r="F1641" s="6" t="s">
        <v>13</v>
      </c>
      <c r="G1641" s="6" t="s">
        <v>61</v>
      </c>
      <c r="H1641" s="8" t="s">
        <v>2679</v>
      </c>
      <c r="I1641" s="9">
        <v>1598000.0</v>
      </c>
      <c r="J1641" s="5" t="str">
        <f t="shared" ref="J1641:K1641" si="1641">SUBSTITUTE(H1641, ",", "")</f>
        <v>8</v>
      </c>
      <c r="K1641" s="5" t="str">
        <f t="shared" si="1641"/>
        <v>Rp1598000</v>
      </c>
      <c r="L1641" s="5" t="str">
        <f t="shared" si="3"/>
        <v>1598000</v>
      </c>
    </row>
    <row r="1642">
      <c r="A1642" s="6" t="s">
        <v>1036</v>
      </c>
      <c r="B1642" s="7" t="str">
        <f>HYPERLINK("https://shopee.co.id/Avoskin-Perfect-Hydrating-Treatment-Essence-i.10689.1593240165", "https://shopee.co.id/Avoskin-Perfect-Hydrating-Treatment-Essence-i.10689.1593240165")</f>
        <v>https://shopee.co.id/Avoskin-Perfect-Hydrating-Treatment-Essence-i.10689.1593240165</v>
      </c>
      <c r="C1642" s="6" t="s">
        <v>83</v>
      </c>
      <c r="D1642" s="6" t="s">
        <v>745</v>
      </c>
      <c r="E1642" s="6" t="s">
        <v>12</v>
      </c>
      <c r="F1642" s="6" t="s">
        <v>13</v>
      </c>
      <c r="G1642" s="6" t="s">
        <v>61</v>
      </c>
      <c r="H1642" s="8" t="s">
        <v>2679</v>
      </c>
      <c r="I1642" s="9">
        <v>2800000.0</v>
      </c>
      <c r="J1642" s="5" t="str">
        <f t="shared" ref="J1642:K1642" si="1642">SUBSTITUTE(H1642, ",", "")</f>
        <v>8</v>
      </c>
      <c r="K1642" s="5" t="str">
        <f t="shared" si="1642"/>
        <v>Rp2800000</v>
      </c>
      <c r="L1642" s="5" t="str">
        <f t="shared" si="3"/>
        <v>2800000</v>
      </c>
    </row>
    <row r="1643">
      <c r="A1643" s="6" t="s">
        <v>1624</v>
      </c>
      <c r="B1643" s="7" t="str">
        <f>HYPERLINK("https://shopee.co.id/Avoskin-Perfect-Hydrating-Treatment-Essence-30ml-i.825870.1807816482", "https://shopee.co.id/Avoskin-Perfect-Hydrating-Treatment-Essence-30ml-i.825870.1807816482")</f>
        <v>https://shopee.co.id/Avoskin-Perfect-Hydrating-Treatment-Essence-30ml-i.825870.1807816482</v>
      </c>
      <c r="C1643" s="6" t="s">
        <v>83</v>
      </c>
      <c r="D1643" s="6" t="s">
        <v>1184</v>
      </c>
      <c r="E1643" s="6" t="s">
        <v>12</v>
      </c>
      <c r="F1643" s="6" t="s">
        <v>13</v>
      </c>
      <c r="G1643" s="6" t="s">
        <v>21</v>
      </c>
      <c r="H1643" s="8" t="s">
        <v>2679</v>
      </c>
      <c r="I1643" s="9">
        <v>2535000.0</v>
      </c>
      <c r="J1643" s="5" t="str">
        <f t="shared" ref="J1643:K1643" si="1643">SUBSTITUTE(H1643, ",", "")</f>
        <v>8</v>
      </c>
      <c r="K1643" s="5" t="str">
        <f t="shared" si="1643"/>
        <v>Rp2535000</v>
      </c>
      <c r="L1643" s="5" t="str">
        <f t="shared" si="3"/>
        <v>2535000</v>
      </c>
    </row>
    <row r="1644">
      <c r="A1644" s="6" t="s">
        <v>2769</v>
      </c>
      <c r="B1644" s="7" t="str">
        <f>HYPERLINK("https://shopee.co.id/Kulit-Cerah-Merona-i.63822287.8449342195", "https://shopee.co.id/Kulit-Cerah-Merona-i.63822287.8449342195")</f>
        <v>https://shopee.co.id/Kulit-Cerah-Merona-i.63822287.8449342195</v>
      </c>
      <c r="C1644" s="6" t="s">
        <v>1254</v>
      </c>
      <c r="D1644" s="6" t="s">
        <v>835</v>
      </c>
      <c r="E1644" s="6" t="s">
        <v>12</v>
      </c>
      <c r="F1644" s="6" t="s">
        <v>13</v>
      </c>
      <c r="G1644" s="6" t="s">
        <v>61</v>
      </c>
      <c r="H1644" s="8" t="s">
        <v>2679</v>
      </c>
      <c r="I1644" s="9">
        <v>1241550.0</v>
      </c>
      <c r="J1644" s="5" t="str">
        <f t="shared" ref="J1644:K1644" si="1644">SUBSTITUTE(H1644, ",", "")</f>
        <v>8</v>
      </c>
      <c r="K1644" s="5" t="str">
        <f t="shared" si="1644"/>
        <v>Rp1241550</v>
      </c>
      <c r="L1644" s="5" t="str">
        <f t="shared" si="3"/>
        <v>1241550</v>
      </c>
    </row>
    <row r="1645">
      <c r="A1645" s="6" t="s">
        <v>2770</v>
      </c>
      <c r="B1645" s="7" t="str">
        <f>HYPERLINK("https://shopee.co.id/GLOWINC-POTION-HYDRALIVE-Moisture-Lock-Skin-Drink-Essence-i.487788169.9190420639", "https://shopee.co.id/GLOWINC-POTION-HYDRALIVE-Moisture-Lock-Skin-Drink-Essence-i.487788169.9190420639")</f>
        <v>https://shopee.co.id/GLOWINC-POTION-HYDRALIVE-Moisture-Lock-Skin-Drink-Essence-i.487788169.9190420639</v>
      </c>
      <c r="C1645" s="6" t="s">
        <v>1898</v>
      </c>
      <c r="D1645" s="6" t="s">
        <v>1899</v>
      </c>
      <c r="E1645" s="6" t="s">
        <v>12</v>
      </c>
      <c r="F1645" s="6" t="s">
        <v>13</v>
      </c>
      <c r="G1645" s="6" t="s">
        <v>21</v>
      </c>
      <c r="H1645" s="8" t="s">
        <v>2679</v>
      </c>
      <c r="I1645" s="9">
        <v>528000.0</v>
      </c>
      <c r="J1645" s="5" t="str">
        <f t="shared" ref="J1645:K1645" si="1645">SUBSTITUTE(H1645, ",", "")</f>
        <v>8</v>
      </c>
      <c r="K1645" s="5" t="str">
        <f t="shared" si="1645"/>
        <v>Rp528000</v>
      </c>
      <c r="L1645" s="5" t="str">
        <f t="shared" si="3"/>
        <v>528000</v>
      </c>
    </row>
    <row r="1646">
      <c r="A1646" s="6" t="s">
        <v>2771</v>
      </c>
      <c r="B1646" s="7" t="str">
        <f>HYPERLINK("https://shopee.co.id/Sarae-Clarifying-Whip-Cleanser-Glowing-Serum-with-CICA-i.20723335.10221689005", "https://shopee.co.id/Sarae-Clarifying-Whip-Cleanser-Glowing-Serum-with-CICA-i.20723335.10221689005")</f>
        <v>https://shopee.co.id/Sarae-Clarifying-Whip-Cleanser-Glowing-Serum-with-CICA-i.20723335.10221689005</v>
      </c>
      <c r="C1646" s="6" t="s">
        <v>2042</v>
      </c>
      <c r="D1646" s="6" t="s">
        <v>2043</v>
      </c>
      <c r="E1646" s="6" t="s">
        <v>12</v>
      </c>
      <c r="F1646" s="6" t="s">
        <v>13</v>
      </c>
      <c r="G1646" s="6" t="s">
        <v>241</v>
      </c>
      <c r="H1646" s="8" t="s">
        <v>2679</v>
      </c>
      <c r="I1646" s="9">
        <v>648000.0</v>
      </c>
      <c r="J1646" s="5" t="str">
        <f t="shared" ref="J1646:K1646" si="1646">SUBSTITUTE(H1646, ",", "")</f>
        <v>8</v>
      </c>
      <c r="K1646" s="5" t="str">
        <f t="shared" si="1646"/>
        <v>Rp648000</v>
      </c>
      <c r="L1646" s="5" t="str">
        <f t="shared" si="3"/>
        <v>648000</v>
      </c>
    </row>
    <row r="1647">
      <c r="A1647" s="6" t="s">
        <v>2556</v>
      </c>
      <c r="B1647" s="7" t="str">
        <f>HYPERLINK("https://shopee.co.id/Iunik-Tea-Tree-Relief-Serum-15ml-i.270765534.4053263300", "https://shopee.co.id/Iunik-Tea-Tree-Relief-Serum-15ml-i.270765534.4053263300")</f>
        <v>https://shopee.co.id/Iunik-Tea-Tree-Relief-Serum-15ml-i.270765534.4053263300</v>
      </c>
      <c r="C1647" s="6" t="s">
        <v>1658</v>
      </c>
      <c r="D1647" s="6" t="s">
        <v>1659</v>
      </c>
      <c r="E1647" s="6" t="s">
        <v>12</v>
      </c>
      <c r="F1647" s="6" t="s">
        <v>13</v>
      </c>
      <c r="G1647" s="6" t="s">
        <v>21</v>
      </c>
      <c r="H1647" s="8" t="s">
        <v>2679</v>
      </c>
      <c r="I1647" s="9">
        <v>4315200.0</v>
      </c>
      <c r="J1647" s="5" t="str">
        <f t="shared" ref="J1647:K1647" si="1647">SUBSTITUTE(H1647, ",", "")</f>
        <v>8</v>
      </c>
      <c r="K1647" s="5" t="str">
        <f t="shared" si="1647"/>
        <v>Rp4315200</v>
      </c>
      <c r="L1647" s="5" t="str">
        <f t="shared" si="3"/>
        <v>4315200</v>
      </c>
    </row>
    <row r="1648">
      <c r="A1648" s="6" t="s">
        <v>2772</v>
      </c>
      <c r="B1648" s="7" t="str">
        <f>HYPERLINK("https://shopee.co.id/PAKET-KULIT-MOIST-AVOCADO-OIL-BRIGHTENING-ESSENCE-SERUM--i.200766350.5939098991", "https://shopee.co.id/PAKET-KULIT-MOIST-AVOCADO-OIL-BRIGHTENING-ESSENCE-SERUM--i.200766350.5939098991")</f>
        <v>https://shopee.co.id/PAKET-KULIT-MOIST-AVOCADO-OIL-BRIGHTENING-ESSENCE-SERUM--i.200766350.5939098991</v>
      </c>
      <c r="C1648" s="6" t="s">
        <v>2773</v>
      </c>
      <c r="D1648" s="6" t="s">
        <v>2774</v>
      </c>
      <c r="E1648" s="6" t="s">
        <v>12</v>
      </c>
      <c r="F1648" s="6" t="s">
        <v>13</v>
      </c>
      <c r="G1648" s="6" t="s">
        <v>61</v>
      </c>
      <c r="H1648" s="8" t="s">
        <v>2679</v>
      </c>
      <c r="I1648" s="9">
        <v>3647700.0</v>
      </c>
      <c r="J1648" s="5" t="str">
        <f t="shared" ref="J1648:K1648" si="1648">SUBSTITUTE(H1648, ",", "")</f>
        <v>8</v>
      </c>
      <c r="K1648" s="5" t="str">
        <f t="shared" si="1648"/>
        <v>Rp3647700</v>
      </c>
      <c r="L1648" s="5" t="str">
        <f t="shared" si="3"/>
        <v>3647700</v>
      </c>
    </row>
    <row r="1649">
      <c r="A1649" s="6" t="s">
        <v>2775</v>
      </c>
      <c r="B1649" s="7" t="str">
        <f>HYPERLINK("https://shopee.co.id/Kalonea-Skincare-SALE-Triple-Brightening-Serum-BPOM-Packaging-Lama-i.199590923.6422759938", "https://shopee.co.id/Kalonea-Skincare-SALE-Triple-Brightening-Serum-BPOM-Packaging-Lama-i.199590923.6422759938")</f>
        <v>https://shopee.co.id/Kalonea-Skincare-SALE-Triple-Brightening-Serum-BPOM-Packaging-Lama-i.199590923.6422759938</v>
      </c>
      <c r="C1649" s="6" t="s">
        <v>1807</v>
      </c>
      <c r="D1649" s="6" t="s">
        <v>1808</v>
      </c>
      <c r="E1649" s="6" t="s">
        <v>12</v>
      </c>
      <c r="F1649" s="6" t="s">
        <v>13</v>
      </c>
      <c r="G1649" s="6" t="s">
        <v>1048</v>
      </c>
      <c r="H1649" s="8" t="s">
        <v>2776</v>
      </c>
      <c r="I1649" s="9">
        <v>683100.0</v>
      </c>
      <c r="J1649" s="5" t="str">
        <f t="shared" ref="J1649:K1649" si="1649">SUBSTITUTE(H1649, ",", "")</f>
        <v>7</v>
      </c>
      <c r="K1649" s="5" t="str">
        <f t="shared" si="1649"/>
        <v>Rp683100</v>
      </c>
      <c r="L1649" s="5" t="str">
        <f t="shared" si="3"/>
        <v>683100</v>
      </c>
    </row>
    <row r="1650">
      <c r="A1650" s="6" t="s">
        <v>2777</v>
      </c>
      <c r="B1650" s="7" t="str">
        <f>HYPERLINK("https://shopee.co.id/Kerastase-Serum-Fortifiant-90ml-Serum-Harian-Anti-Rontok-Patah-i.252376370.9710610106", "https://shopee.co.id/Kerastase-Serum-Fortifiant-90ml-Serum-Harian-Anti-Rontok-Patah-i.252376370.9710610106")</f>
        <v>https://shopee.co.id/Kerastase-Serum-Fortifiant-90ml-Serum-Harian-Anti-Rontok-Patah-i.252376370.9710610106</v>
      </c>
      <c r="C1650" s="6" t="s">
        <v>2560</v>
      </c>
      <c r="D1650" s="6" t="s">
        <v>2561</v>
      </c>
      <c r="E1650" s="6" t="s">
        <v>12</v>
      </c>
      <c r="F1650" s="6" t="s">
        <v>13</v>
      </c>
      <c r="G1650" s="6" t="s">
        <v>1480</v>
      </c>
      <c r="H1650" s="8" t="s">
        <v>2776</v>
      </c>
      <c r="I1650" s="9">
        <v>3850000.0</v>
      </c>
      <c r="J1650" s="5" t="str">
        <f t="shared" ref="J1650:K1650" si="1650">SUBSTITUTE(H1650, ",", "")</f>
        <v>7</v>
      </c>
      <c r="K1650" s="5" t="str">
        <f t="shared" si="1650"/>
        <v>Rp3850000</v>
      </c>
      <c r="L1650" s="5" t="str">
        <f t="shared" si="3"/>
        <v>3850000</v>
      </c>
    </row>
    <row r="1651">
      <c r="A1651" s="6" t="s">
        <v>2778</v>
      </c>
      <c r="B1651" s="7" t="str">
        <f>HYPERLINK("https://shopee.co.id/Smooto-Egg-Collagen-White-Serum-1-Box-isi-6pcs-i.65619901.3275558312", "https://shopee.co.id/Smooto-Egg-Collagen-White-Serum-1-Box-isi-6pcs-i.65619901.3275558312")</f>
        <v>https://shopee.co.id/Smooto-Egg-Collagen-White-Serum-1-Box-isi-6pcs-i.65619901.3275558312</v>
      </c>
      <c r="C1651" s="6" t="s">
        <v>2779</v>
      </c>
      <c r="D1651" s="6" t="s">
        <v>2780</v>
      </c>
      <c r="E1651" s="6" t="s">
        <v>12</v>
      </c>
      <c r="F1651" s="6" t="s">
        <v>13</v>
      </c>
      <c r="G1651" s="6" t="s">
        <v>85</v>
      </c>
      <c r="H1651" s="8" t="s">
        <v>2776</v>
      </c>
      <c r="I1651" s="9">
        <v>115200.0</v>
      </c>
      <c r="J1651" s="5" t="str">
        <f t="shared" ref="J1651:K1651" si="1651">SUBSTITUTE(H1651, ",", "")</f>
        <v>7</v>
      </c>
      <c r="K1651" s="5" t="str">
        <f t="shared" si="1651"/>
        <v>Rp115200</v>
      </c>
      <c r="L1651" s="5" t="str">
        <f t="shared" si="3"/>
        <v>115200</v>
      </c>
    </row>
    <row r="1652">
      <c r="A1652" s="6" t="s">
        <v>2781</v>
      </c>
      <c r="B1652" s="7" t="str">
        <f>HYPERLINK("https://shopee.co.id/Avoskin-Your-Skin-Bae-Serum-Salicylic-Acid-2-Zinc-30ml-i.50948181.5094170127", "https://shopee.co.id/Avoskin-Your-Skin-Bae-Serum-Salicylic-Acid-2-Zinc-30ml-i.50948181.5094170127")</f>
        <v>https://shopee.co.id/Avoskin-Your-Skin-Bae-Serum-Salicylic-Acid-2-Zinc-30ml-i.50948181.5094170127</v>
      </c>
      <c r="C1652" s="6" t="s">
        <v>83</v>
      </c>
      <c r="D1652" s="6" t="s">
        <v>1129</v>
      </c>
      <c r="E1652" s="6" t="s">
        <v>12</v>
      </c>
      <c r="F1652" s="6" t="s">
        <v>13</v>
      </c>
      <c r="G1652" s="6" t="s">
        <v>1130</v>
      </c>
      <c r="H1652" s="8" t="s">
        <v>2776</v>
      </c>
      <c r="I1652" s="9">
        <v>1225000.0</v>
      </c>
      <c r="J1652" s="5" t="str">
        <f t="shared" ref="J1652:K1652" si="1652">SUBSTITUTE(H1652, ",", "")</f>
        <v>7</v>
      </c>
      <c r="K1652" s="5" t="str">
        <f t="shared" si="1652"/>
        <v>Rp1225000</v>
      </c>
      <c r="L1652" s="5" t="str">
        <f t="shared" si="3"/>
        <v>1225000</v>
      </c>
    </row>
    <row r="1653">
      <c r="A1653" s="6" t="s">
        <v>2782</v>
      </c>
      <c r="B1653" s="7" t="str">
        <f>HYPERLINK("https://shopee.co.id/La-Tulipe-Exfoliating-Serum-i.131133483.8567114636", "https://shopee.co.id/La-Tulipe-Exfoliating-Serum-i.131133483.8567114636")</f>
        <v>https://shopee.co.id/La-Tulipe-Exfoliating-Serum-i.131133483.8567114636</v>
      </c>
      <c r="C1653" s="6" t="s">
        <v>1761</v>
      </c>
      <c r="D1653" s="6" t="s">
        <v>1762</v>
      </c>
      <c r="E1653" s="6" t="s">
        <v>12</v>
      </c>
      <c r="F1653" s="6" t="s">
        <v>13</v>
      </c>
      <c r="G1653" s="6" t="s">
        <v>61</v>
      </c>
      <c r="H1653" s="8" t="s">
        <v>2776</v>
      </c>
      <c r="I1653" s="9">
        <v>763000.0</v>
      </c>
      <c r="J1653" s="5" t="str">
        <f t="shared" ref="J1653:K1653" si="1653">SUBSTITUTE(H1653, ",", "")</f>
        <v>7</v>
      </c>
      <c r="K1653" s="5" t="str">
        <f t="shared" si="1653"/>
        <v>Rp763000</v>
      </c>
      <c r="L1653" s="5" t="str">
        <f t="shared" si="3"/>
        <v>763000</v>
      </c>
    </row>
    <row r="1654">
      <c r="A1654" s="6" t="s">
        <v>2783</v>
      </c>
      <c r="B1654" s="7" t="str">
        <f>HYPERLINK("https://shopee.co.id/Bio-Essence-Bio-Vlift-Face-Lifting-Cream-45-gr-Twinpack-Special-i.63822287.6384988685", "https://shopee.co.id/Bio-Essence-Bio-Vlift-Face-Lifting-Cream-45-gr-Twinpack-Special-i.63822287.6384988685")</f>
        <v>https://shopee.co.id/Bio-Essence-Bio-Vlift-Face-Lifting-Cream-45-gr-Twinpack-Special-i.63822287.6384988685</v>
      </c>
      <c r="C1654" s="6" t="s">
        <v>1254</v>
      </c>
      <c r="D1654" s="6" t="s">
        <v>835</v>
      </c>
      <c r="E1654" s="6" t="s">
        <v>12</v>
      </c>
      <c r="F1654" s="6" t="s">
        <v>13</v>
      </c>
      <c r="G1654" s="6" t="s">
        <v>61</v>
      </c>
      <c r="H1654" s="8" t="s">
        <v>2776</v>
      </c>
      <c r="I1654" s="9">
        <v>1285000.0</v>
      </c>
      <c r="J1654" s="5" t="str">
        <f t="shared" ref="J1654:K1654" si="1654">SUBSTITUTE(H1654, ",", "")</f>
        <v>7</v>
      </c>
      <c r="K1654" s="5" t="str">
        <f t="shared" si="1654"/>
        <v>Rp1285000</v>
      </c>
      <c r="L1654" s="5" t="str">
        <f t="shared" si="3"/>
        <v>1285000</v>
      </c>
    </row>
    <row r="1655">
      <c r="A1655" s="6" t="s">
        <v>2784</v>
      </c>
      <c r="B1655" s="7" t="str">
        <f>HYPERLINK("https://shopee.co.id/MSBB-Indoganic-Beauty-Rose-Essence-C-i.288588702.11718160571", "https://shopee.co.id/MSBB-Indoganic-Beauty-Rose-Essence-C-i.288588702.11718160571")</f>
        <v>https://shopee.co.id/MSBB-Indoganic-Beauty-Rose-Essence-C-i.288588702.11718160571</v>
      </c>
      <c r="C1655" s="6" t="s">
        <v>78</v>
      </c>
      <c r="D1655" s="6" t="s">
        <v>79</v>
      </c>
      <c r="E1655" s="6" t="s">
        <v>12</v>
      </c>
      <c r="F1655" s="6" t="s">
        <v>13</v>
      </c>
      <c r="G1655" s="6" t="s">
        <v>80</v>
      </c>
      <c r="H1655" s="8" t="s">
        <v>2776</v>
      </c>
      <c r="I1655" s="9">
        <v>1883700.0</v>
      </c>
      <c r="J1655" s="5" t="str">
        <f t="shared" ref="J1655:K1655" si="1655">SUBSTITUTE(H1655, ",", "")</f>
        <v>7</v>
      </c>
      <c r="K1655" s="5" t="str">
        <f t="shared" si="1655"/>
        <v>Rp1883700</v>
      </c>
      <c r="L1655" s="5" t="str">
        <f t="shared" si="3"/>
        <v>1883700</v>
      </c>
    </row>
    <row r="1656">
      <c r="A1656" s="6" t="s">
        <v>2785</v>
      </c>
      <c r="B1656" s="7" t="str">
        <f>HYPERLINK("https://shopee.co.id/DREAMY-by-Nikita-Willy-Brightening-Serum-i.120519530.1838138786", "https://shopee.co.id/DREAMY-by-Nikita-Willy-Brightening-Serum-i.120519530.1838138786")</f>
        <v>https://shopee.co.id/DREAMY-by-Nikita-Willy-Brightening-Serum-i.120519530.1838138786</v>
      </c>
      <c r="C1656" s="6" t="s">
        <v>2063</v>
      </c>
      <c r="D1656" s="6" t="s">
        <v>2064</v>
      </c>
      <c r="E1656" s="6" t="s">
        <v>12</v>
      </c>
      <c r="F1656" s="6" t="s">
        <v>13</v>
      </c>
      <c r="G1656" s="6" t="s">
        <v>296</v>
      </c>
      <c r="H1656" s="8" t="s">
        <v>2776</v>
      </c>
      <c r="I1656" s="9">
        <v>1312500.0</v>
      </c>
      <c r="J1656" s="5" t="str">
        <f t="shared" ref="J1656:K1656" si="1656">SUBSTITUTE(H1656, ",", "")</f>
        <v>7</v>
      </c>
      <c r="K1656" s="5" t="str">
        <f t="shared" si="1656"/>
        <v>Rp1312500</v>
      </c>
      <c r="L1656" s="5" t="str">
        <f t="shared" si="3"/>
        <v>1312500</v>
      </c>
    </row>
    <row r="1657">
      <c r="A1657" s="6" t="s">
        <v>2786</v>
      </c>
      <c r="B1657" s="7" t="str">
        <f>HYPERLINK("https://shopee.co.id/Wardah-White-Secret-Intense-Brightening-Essence-17-ml-i.186214521.4004533150", "https://shopee.co.id/Wardah-White-Secret-Intense-Brightening-Essence-17-ml-i.186214521.4004533150")</f>
        <v>https://shopee.co.id/Wardah-White-Secret-Intense-Brightening-Essence-17-ml-i.186214521.4004533150</v>
      </c>
      <c r="C1657" s="6" t="s">
        <v>169</v>
      </c>
      <c r="D1657" s="6" t="s">
        <v>2293</v>
      </c>
      <c r="E1657" s="6" t="s">
        <v>12</v>
      </c>
      <c r="F1657" s="6" t="s">
        <v>13</v>
      </c>
      <c r="G1657" s="6" t="s">
        <v>61</v>
      </c>
      <c r="H1657" s="8" t="s">
        <v>2776</v>
      </c>
      <c r="I1657" s="9">
        <v>1053400.0</v>
      </c>
      <c r="J1657" s="5" t="str">
        <f t="shared" ref="J1657:K1657" si="1657">SUBSTITUTE(H1657, ",", "")</f>
        <v>7</v>
      </c>
      <c r="K1657" s="5" t="str">
        <f t="shared" si="1657"/>
        <v>Rp1053400</v>
      </c>
      <c r="L1657" s="5" t="str">
        <f t="shared" si="3"/>
        <v>1053400</v>
      </c>
    </row>
    <row r="1658">
      <c r="A1658" s="6" t="s">
        <v>2787</v>
      </c>
      <c r="B1658" s="7" t="str">
        <f>HYPERLINK("https://shopee.co.id/SALSA-Crystal-Whitening-Serum-i.17318245.4719135283", "https://shopee.co.id/SALSA-Crystal-Whitening-Serum-i.17318245.4719135283")</f>
        <v>https://shopee.co.id/SALSA-Crystal-Whitening-Serum-i.17318245.4719135283</v>
      </c>
      <c r="C1658" s="6" t="s">
        <v>2788</v>
      </c>
      <c r="D1658" s="6" t="s">
        <v>2789</v>
      </c>
      <c r="E1658" s="6" t="s">
        <v>12</v>
      </c>
      <c r="F1658" s="6" t="s">
        <v>13</v>
      </c>
      <c r="G1658" s="6" t="s">
        <v>350</v>
      </c>
      <c r="H1658" s="8" t="s">
        <v>2776</v>
      </c>
      <c r="I1658" s="9">
        <v>2466100.0</v>
      </c>
      <c r="J1658" s="5" t="str">
        <f t="shared" ref="J1658:K1658" si="1658">SUBSTITUTE(H1658, ",", "")</f>
        <v>7</v>
      </c>
      <c r="K1658" s="5" t="str">
        <f t="shared" si="1658"/>
        <v>Rp2466100</v>
      </c>
      <c r="L1658" s="5" t="str">
        <f t="shared" si="3"/>
        <v>2466100</v>
      </c>
    </row>
    <row r="1659">
      <c r="A1659" s="6" t="s">
        <v>2790</v>
      </c>
      <c r="B1659" s="7" t="str">
        <f>HYPERLINK("https://shopee.co.id/Ovale-Essential-Vitamin-Lightening-Jar-0-35-ml-30-capsules--i.38301814.574092630", "https://shopee.co.id/Ovale-Essential-Vitamin-Lightening-Jar-0-35-ml-30-capsules--i.38301814.574092630")</f>
        <v>https://shopee.co.id/Ovale-Essential-Vitamin-Lightening-Jar-0-35-ml-30-capsules--i.38301814.574092630</v>
      </c>
      <c r="C1659" s="6" t="s">
        <v>2791</v>
      </c>
      <c r="D1659" s="6" t="s">
        <v>2792</v>
      </c>
      <c r="E1659" s="6" t="s">
        <v>12</v>
      </c>
      <c r="F1659" s="6" t="s">
        <v>13</v>
      </c>
      <c r="G1659" s="6" t="s">
        <v>61</v>
      </c>
      <c r="H1659" s="8" t="s">
        <v>2776</v>
      </c>
      <c r="I1659" s="9">
        <v>440900.0</v>
      </c>
      <c r="J1659" s="5" t="str">
        <f t="shared" ref="J1659:K1659" si="1659">SUBSTITUTE(H1659, ",", "")</f>
        <v>7</v>
      </c>
      <c r="K1659" s="5" t="str">
        <f t="shared" si="1659"/>
        <v>Rp440900</v>
      </c>
      <c r="L1659" s="5" t="str">
        <f t="shared" si="3"/>
        <v>440900</v>
      </c>
    </row>
    <row r="1660">
      <c r="A1660" s="6" t="s">
        <v>2793</v>
      </c>
      <c r="B1660" s="7" t="str">
        <f>HYPERLINK("https://shopee.co.id/MSBB-Noola-Breezy-Willow-Moist-Serum-i.288588702.7776957973", "https://shopee.co.id/MSBB-Noola-Breezy-Willow-Moist-Serum-i.288588702.7776957973")</f>
        <v>https://shopee.co.id/MSBB-Noola-Breezy-Willow-Moist-Serum-i.288588702.7776957973</v>
      </c>
      <c r="C1660" s="6" t="s">
        <v>2794</v>
      </c>
      <c r="D1660" s="6" t="s">
        <v>79</v>
      </c>
      <c r="E1660" s="6" t="s">
        <v>12</v>
      </c>
      <c r="F1660" s="6" t="s">
        <v>13</v>
      </c>
      <c r="G1660" s="6" t="s">
        <v>80</v>
      </c>
      <c r="H1660" s="8" t="s">
        <v>2776</v>
      </c>
      <c r="I1660" s="9">
        <v>2941300.0</v>
      </c>
      <c r="J1660" s="5" t="str">
        <f t="shared" ref="J1660:K1660" si="1660">SUBSTITUTE(H1660, ",", "")</f>
        <v>7</v>
      </c>
      <c r="K1660" s="5" t="str">
        <f t="shared" si="1660"/>
        <v>Rp2941300</v>
      </c>
      <c r="L1660" s="5" t="str">
        <f t="shared" si="3"/>
        <v>2941300</v>
      </c>
    </row>
    <row r="1661">
      <c r="A1661" s="6" t="s">
        <v>2795</v>
      </c>
      <c r="B1661" s="7" t="str">
        <f>HYPERLINK("https://shopee.co.id/Votre-Peau-Brightening-Essence-50ml-i.825870.4945264099", "https://shopee.co.id/Votre-Peau-Brightening-Essence-50ml-i.825870.4945264099")</f>
        <v>https://shopee.co.id/Votre-Peau-Brightening-Essence-50ml-i.825870.4945264099</v>
      </c>
      <c r="C1661" s="6" t="s">
        <v>471</v>
      </c>
      <c r="D1661" s="6" t="s">
        <v>1184</v>
      </c>
      <c r="E1661" s="6" t="s">
        <v>12</v>
      </c>
      <c r="F1661" s="6" t="s">
        <v>13</v>
      </c>
      <c r="G1661" s="6" t="s">
        <v>21</v>
      </c>
      <c r="H1661" s="8" t="s">
        <v>2776</v>
      </c>
      <c r="I1661" s="9">
        <v>3626000.0</v>
      </c>
      <c r="J1661" s="5" t="str">
        <f t="shared" ref="J1661:K1661" si="1661">SUBSTITUTE(H1661, ",", "")</f>
        <v>7</v>
      </c>
      <c r="K1661" s="5" t="str">
        <f t="shared" si="1661"/>
        <v>Rp3626000</v>
      </c>
      <c r="L1661" s="5" t="str">
        <f t="shared" si="3"/>
        <v>3626000</v>
      </c>
    </row>
    <row r="1662">
      <c r="A1662" s="6" t="s">
        <v>2796</v>
      </c>
      <c r="B1662" s="7" t="str">
        <f>HYPERLINK("https://shopee.co.id/MSBB-KLEVERU-Glass-Skin-Overnight-Serum-i.288588702.8043083201", "https://shopee.co.id/MSBB-KLEVERU-Glass-Skin-Overnight-Serum-i.288588702.8043083201")</f>
        <v>https://shopee.co.id/MSBB-KLEVERU-Glass-Skin-Overnight-Serum-i.288588702.8043083201</v>
      </c>
      <c r="C1662" s="6" t="s">
        <v>2408</v>
      </c>
      <c r="D1662" s="6" t="s">
        <v>79</v>
      </c>
      <c r="E1662" s="6" t="s">
        <v>12</v>
      </c>
      <c r="F1662" s="6" t="s">
        <v>13</v>
      </c>
      <c r="G1662" s="6" t="s">
        <v>80</v>
      </c>
      <c r="H1662" s="8" t="s">
        <v>2776</v>
      </c>
      <c r="I1662" s="9">
        <v>286650.0</v>
      </c>
      <c r="J1662" s="5" t="str">
        <f t="shared" ref="J1662:K1662" si="1662">SUBSTITUTE(H1662, ",", "")</f>
        <v>7</v>
      </c>
      <c r="K1662" s="5" t="str">
        <f t="shared" si="1662"/>
        <v>Rp286650</v>
      </c>
      <c r="L1662" s="5" t="str">
        <f t="shared" si="3"/>
        <v>286650</v>
      </c>
    </row>
    <row r="1663">
      <c r="A1663" s="6" t="s">
        <v>2797</v>
      </c>
      <c r="B1663" s="7" t="str">
        <f>HYPERLINK("https://shopee.co.id/NACIFIC-Pink-AHABHA-Serum-50ml-i.238604292.4351319515", "https://shopee.co.id/NACIFIC-Pink-AHABHA-Serum-50ml-i.238604292.4351319515")</f>
        <v>https://shopee.co.id/NACIFIC-Pink-AHABHA-Serum-50ml-i.238604292.4351319515</v>
      </c>
      <c r="C1663" s="6" t="s">
        <v>344</v>
      </c>
      <c r="D1663" s="6" t="s">
        <v>918</v>
      </c>
      <c r="E1663" s="6" t="s">
        <v>12</v>
      </c>
      <c r="F1663" s="6" t="s">
        <v>13</v>
      </c>
      <c r="G1663" s="6" t="s">
        <v>80</v>
      </c>
      <c r="H1663" s="8" t="s">
        <v>2776</v>
      </c>
      <c r="I1663" s="9">
        <v>1540000.0</v>
      </c>
      <c r="J1663" s="5" t="str">
        <f t="shared" ref="J1663:K1663" si="1663">SUBSTITUTE(H1663, ",", "")</f>
        <v>7</v>
      </c>
      <c r="K1663" s="5" t="str">
        <f t="shared" si="1663"/>
        <v>Rp1540000</v>
      </c>
      <c r="L1663" s="5" t="str">
        <f t="shared" si="3"/>
        <v>1540000</v>
      </c>
    </row>
    <row r="1664">
      <c r="A1664" s="6" t="s">
        <v>2798</v>
      </c>
      <c r="B1664" s="7" t="str">
        <f>HYPERLINK("https://shopee.co.id/Natasha-by-dr-Fredi-Setyawan-L22-Lifting-Oil-Serum-i.40121814.2684072560", "https://shopee.co.id/Natasha-by-dr-Fredi-Setyawan-L22-Lifting-Oil-Serum-i.40121814.2684072560")</f>
        <v>https://shopee.co.id/Natasha-by-dr-Fredi-Setyawan-L22-Lifting-Oil-Serum-i.40121814.2684072560</v>
      </c>
      <c r="C1664" s="6" t="s">
        <v>1752</v>
      </c>
      <c r="D1664" s="6" t="s">
        <v>794</v>
      </c>
      <c r="E1664" s="6" t="s">
        <v>12</v>
      </c>
      <c r="F1664" s="6" t="s">
        <v>13</v>
      </c>
      <c r="G1664" s="6" t="s">
        <v>380</v>
      </c>
      <c r="H1664" s="8" t="s">
        <v>2776</v>
      </c>
      <c r="I1664" s="9">
        <v>505600.0</v>
      </c>
      <c r="J1664" s="5" t="str">
        <f t="shared" ref="J1664:K1664" si="1664">SUBSTITUTE(H1664, ",", "")</f>
        <v>7</v>
      </c>
      <c r="K1664" s="5" t="str">
        <f t="shared" si="1664"/>
        <v>Rp505600</v>
      </c>
      <c r="L1664" s="5" t="str">
        <f t="shared" si="3"/>
        <v>505600</v>
      </c>
    </row>
    <row r="1665">
      <c r="A1665" s="6" t="s">
        <v>2799</v>
      </c>
      <c r="B1665" s="7" t="str">
        <f>HYPERLINK("https://shopee.co.id/HAUM-BUNDLING-ALPHA-MF-LCID-i.344731863.9541954629", "https://shopee.co.id/HAUM-BUNDLING-ALPHA-MF-LCID-i.344731863.9541954629")</f>
        <v>https://shopee.co.id/HAUM-BUNDLING-ALPHA-MF-LCID-i.344731863.9541954629</v>
      </c>
      <c r="C1665" s="6" t="s">
        <v>1144</v>
      </c>
      <c r="D1665" s="6" t="s">
        <v>1145</v>
      </c>
      <c r="E1665" s="6" t="s">
        <v>12</v>
      </c>
      <c r="F1665" s="6" t="s">
        <v>13</v>
      </c>
      <c r="G1665" s="6" t="s">
        <v>98</v>
      </c>
      <c r="H1665" s="8" t="s">
        <v>2776</v>
      </c>
      <c r="I1665" s="9">
        <v>1183000.0</v>
      </c>
      <c r="J1665" s="5" t="str">
        <f t="shared" ref="J1665:K1665" si="1665">SUBSTITUTE(H1665, ",", "")</f>
        <v>7</v>
      </c>
      <c r="K1665" s="5" t="str">
        <f t="shared" si="1665"/>
        <v>Rp1183000</v>
      </c>
      <c r="L1665" s="5" t="str">
        <f t="shared" si="3"/>
        <v>1183000</v>
      </c>
    </row>
    <row r="1666">
      <c r="A1666" s="6" t="s">
        <v>2800</v>
      </c>
      <c r="B1666" s="7" t="str">
        <f>HYPERLINK("https://shopee.co.id/Benton-Cacao-Moist-And-Mild-Serum-i.125116082.4619170581", "https://shopee.co.id/Benton-Cacao-Moist-And-Mild-Serum-i.125116082.4619170581")</f>
        <v>https://shopee.co.id/Benton-Cacao-Moist-And-Mild-Serum-i.125116082.4619170581</v>
      </c>
      <c r="C1666" s="6" t="s">
        <v>2240</v>
      </c>
      <c r="D1666" s="6" t="s">
        <v>713</v>
      </c>
      <c r="E1666" s="6" t="s">
        <v>12</v>
      </c>
      <c r="F1666" s="6" t="s">
        <v>13</v>
      </c>
      <c r="G1666" s="6" t="s">
        <v>61</v>
      </c>
      <c r="H1666" s="8" t="s">
        <v>2776</v>
      </c>
      <c r="I1666" s="9">
        <v>714000.0</v>
      </c>
      <c r="J1666" s="5" t="str">
        <f t="shared" ref="J1666:K1666" si="1666">SUBSTITUTE(H1666, ",", "")</f>
        <v>7</v>
      </c>
      <c r="K1666" s="5" t="str">
        <f t="shared" si="1666"/>
        <v>Rp714000</v>
      </c>
      <c r="L1666" s="5" t="str">
        <f t="shared" si="3"/>
        <v>714000</v>
      </c>
    </row>
    <row r="1667">
      <c r="A1667" s="6" t="s">
        <v>2801</v>
      </c>
      <c r="B1667" s="7" t="str">
        <f>HYPERLINK("https://shopee.co.id/Essenherb-Tea-Tree-Ampoule-50-ml-Ampul-Wajah-untuk-kulit-berminyak-dan-Jerawat-Skincare-i.224957239.3431791088", "https://shopee.co.id/Essenherb-Tea-Tree-Ampoule-50-ml-Ampul-Wajah-untuk-kulit-berminyak-dan-Jerawat-Skincare-i.224957239.3431791088")</f>
        <v>https://shopee.co.id/Essenherb-Tea-Tree-Ampoule-50-ml-Ampul-Wajah-untuk-kulit-berminyak-dan-Jerawat-Skincare-i.224957239.3431791088</v>
      </c>
      <c r="C1667" s="6" t="s">
        <v>2802</v>
      </c>
      <c r="D1667" s="6" t="s">
        <v>492</v>
      </c>
      <c r="E1667" s="6" t="s">
        <v>12</v>
      </c>
      <c r="F1667" s="6" t="s">
        <v>13</v>
      </c>
      <c r="G1667" s="6" t="s">
        <v>21</v>
      </c>
      <c r="H1667" s="8" t="s">
        <v>2776</v>
      </c>
      <c r="I1667" s="9">
        <v>1190700.0</v>
      </c>
      <c r="J1667" s="5" t="str">
        <f t="shared" ref="J1667:K1667" si="1667">SUBSTITUTE(H1667, ",", "")</f>
        <v>7</v>
      </c>
      <c r="K1667" s="5" t="str">
        <f t="shared" si="1667"/>
        <v>Rp1190700</v>
      </c>
      <c r="L1667" s="5" t="str">
        <f t="shared" si="3"/>
        <v>1190700</v>
      </c>
    </row>
    <row r="1668">
      <c r="A1668" s="6" t="s">
        <v>2803</v>
      </c>
      <c r="B1668" s="7" t="str">
        <f>HYPERLINK("https://shopee.co.id/Paket-EVERPURE-Sweet-Almond-Everwhite-Cica-Soothing-serum-free-Eyeliner-Everwhite-i.200766350.8775024103", "https://shopee.co.id/Paket-EVERPURE-Sweet-Almond-Everwhite-Cica-Soothing-serum-free-Eyeliner-Everwhite-i.200766350.8775024103")</f>
        <v>https://shopee.co.id/Paket-EVERPURE-Sweet-Almond-Everwhite-Cica-Soothing-serum-free-Eyeliner-Everwhite-i.200766350.8775024103</v>
      </c>
      <c r="C1668" s="6" t="s">
        <v>157</v>
      </c>
      <c r="D1668" s="6" t="s">
        <v>2774</v>
      </c>
      <c r="E1668" s="6" t="s">
        <v>12</v>
      </c>
      <c r="F1668" s="6" t="s">
        <v>13</v>
      </c>
      <c r="G1668" s="6" t="s">
        <v>61</v>
      </c>
      <c r="H1668" s="8" t="s">
        <v>2776</v>
      </c>
      <c r="I1668" s="9">
        <v>984000.0</v>
      </c>
      <c r="J1668" s="5" t="str">
        <f t="shared" ref="J1668:K1668" si="1668">SUBSTITUTE(H1668, ",", "")</f>
        <v>7</v>
      </c>
      <c r="K1668" s="5" t="str">
        <f t="shared" si="1668"/>
        <v>Rp984000</v>
      </c>
      <c r="L1668" s="5" t="str">
        <f t="shared" si="3"/>
        <v>984000</v>
      </c>
    </row>
    <row r="1669">
      <c r="A1669" s="6" t="s">
        <v>2804</v>
      </c>
      <c r="B1669" s="7" t="str">
        <f>HYPERLINK("https://shopee.co.id/Best-of-Safi-s-1-i.63823668.3790525829", "https://shopee.co.id/Best-of-Safi-s-1-i.63823668.3790525829")</f>
        <v>https://shopee.co.id/Best-of-Safi-s-1-i.63823668.3790525829</v>
      </c>
      <c r="C1669" s="6" t="s">
        <v>278</v>
      </c>
      <c r="D1669" s="6" t="s">
        <v>279</v>
      </c>
      <c r="E1669" s="6" t="s">
        <v>12</v>
      </c>
      <c r="F1669" s="6" t="s">
        <v>13</v>
      </c>
      <c r="G1669" s="6" t="s">
        <v>61</v>
      </c>
      <c r="H1669" s="8" t="s">
        <v>2776</v>
      </c>
      <c r="I1669" s="9">
        <v>784245.0</v>
      </c>
      <c r="J1669" s="5" t="str">
        <f t="shared" ref="J1669:K1669" si="1669">SUBSTITUTE(H1669, ",", "")</f>
        <v>7</v>
      </c>
      <c r="K1669" s="5" t="str">
        <f t="shared" si="1669"/>
        <v>Rp784245</v>
      </c>
      <c r="L1669" s="5" t="str">
        <f t="shared" si="3"/>
        <v>784245</v>
      </c>
    </row>
    <row r="1670">
      <c r="A1670" s="6" t="s">
        <v>2805</v>
      </c>
      <c r="B1670" s="7" t="str">
        <f>HYPERLINK("https://shopee.co.id/Ponds-Bright-Beauty-Power-Serum-30-gr-i.65323877.5094470207", "https://shopee.co.id/Ponds-Bright-Beauty-Power-Serum-30-gr-i.65323877.5094470207")</f>
        <v>https://shopee.co.id/Ponds-Bright-Beauty-Power-Serum-30-gr-i.65323877.5094470207</v>
      </c>
      <c r="C1670" s="6" t="s">
        <v>325</v>
      </c>
      <c r="D1670" s="6" t="s">
        <v>1600</v>
      </c>
      <c r="E1670" s="6" t="s">
        <v>12</v>
      </c>
      <c r="F1670" s="6" t="s">
        <v>13</v>
      </c>
      <c r="G1670" s="6" t="s">
        <v>296</v>
      </c>
      <c r="H1670" s="8" t="s">
        <v>2776</v>
      </c>
      <c r="I1670" s="9">
        <v>1247000.0</v>
      </c>
      <c r="J1670" s="5" t="str">
        <f t="shared" ref="J1670:K1670" si="1670">SUBSTITUTE(H1670, ",", "")</f>
        <v>7</v>
      </c>
      <c r="K1670" s="5" t="str">
        <f t="shared" si="1670"/>
        <v>Rp1247000</v>
      </c>
      <c r="L1670" s="5" t="str">
        <f t="shared" si="3"/>
        <v>1247000</v>
      </c>
    </row>
    <row r="1671">
      <c r="A1671" s="6" t="s">
        <v>2806</v>
      </c>
      <c r="B1671" s="7" t="str">
        <f>HYPERLINK("https://shopee.co.id/MD-Glowing-Serum-Vitamin-C-i.98061713.1734098276", "https://shopee.co.id/MD-Glowing-Serum-Vitamin-C-i.98061713.1734098276")</f>
        <v>https://shopee.co.id/MD-Glowing-Serum-Vitamin-C-i.98061713.1734098276</v>
      </c>
      <c r="C1671" s="6" t="s">
        <v>1353</v>
      </c>
      <c r="D1671" s="6" t="s">
        <v>1354</v>
      </c>
      <c r="E1671" s="6" t="s">
        <v>12</v>
      </c>
      <c r="F1671" s="6" t="s">
        <v>13</v>
      </c>
      <c r="G1671" s="6" t="s">
        <v>370</v>
      </c>
      <c r="H1671" s="8" t="s">
        <v>2776</v>
      </c>
      <c r="I1671" s="9">
        <v>965000.0</v>
      </c>
      <c r="J1671" s="5" t="str">
        <f t="shared" ref="J1671:K1671" si="1671">SUBSTITUTE(H1671, ",", "")</f>
        <v>7</v>
      </c>
      <c r="K1671" s="5" t="str">
        <f t="shared" si="1671"/>
        <v>Rp965000</v>
      </c>
      <c r="L1671" s="5" t="str">
        <f t="shared" si="3"/>
        <v>965000</v>
      </c>
    </row>
    <row r="1672">
      <c r="A1672" s="6" t="s">
        <v>2807</v>
      </c>
      <c r="B1672" s="7" t="str">
        <f>HYPERLINK("https://shopee.co.id/Nusantics-Rosehip-Biome-Oil-Serum-i.156645962.2334652873", "https://shopee.co.id/Nusantics-Rosehip-Biome-Oil-Serum-i.156645962.2334652873")</f>
        <v>https://shopee.co.id/Nusantics-Rosehip-Biome-Oil-Serum-i.156645962.2334652873</v>
      </c>
      <c r="C1672" s="6" t="s">
        <v>2427</v>
      </c>
      <c r="D1672" s="6" t="s">
        <v>2428</v>
      </c>
      <c r="E1672" s="6" t="s">
        <v>12</v>
      </c>
      <c r="F1672" s="6" t="s">
        <v>13</v>
      </c>
      <c r="G1672" s="6" t="s">
        <v>98</v>
      </c>
      <c r="H1672" s="8" t="s">
        <v>2776</v>
      </c>
      <c r="I1672" s="9">
        <v>718000.0</v>
      </c>
      <c r="J1672" s="5" t="str">
        <f t="shared" ref="J1672:K1672" si="1672">SUBSTITUTE(H1672, ",", "")</f>
        <v>7</v>
      </c>
      <c r="K1672" s="5" t="str">
        <f t="shared" si="1672"/>
        <v>Rp718000</v>
      </c>
      <c r="L1672" s="5" t="str">
        <f t="shared" si="3"/>
        <v>718000</v>
      </c>
    </row>
    <row r="1673">
      <c r="A1673" s="6" t="s">
        <v>232</v>
      </c>
      <c r="B1673" s="7" t="str">
        <f>HYPERLINK("https://shopee.co.id/Azarine-C-White-Lightening-Serum-20ml-i.30736001.8952469837", "https://shopee.co.id/Azarine-C-White-Lightening-Serum-20ml-i.30736001.8952469837")</f>
        <v>https://shopee.co.id/Azarine-C-White-Lightening-Serum-20ml-i.30736001.8952469837</v>
      </c>
      <c r="C1673" s="6" t="s">
        <v>233</v>
      </c>
      <c r="D1673" s="6" t="s">
        <v>335</v>
      </c>
      <c r="E1673" s="6" t="s">
        <v>12</v>
      </c>
      <c r="F1673" s="6" t="s">
        <v>13</v>
      </c>
      <c r="G1673" s="6" t="s">
        <v>36</v>
      </c>
      <c r="H1673" s="8" t="s">
        <v>2776</v>
      </c>
      <c r="I1673" s="9">
        <v>200900.0</v>
      </c>
      <c r="J1673" s="5" t="str">
        <f t="shared" ref="J1673:K1673" si="1673">SUBSTITUTE(H1673, ",", "")</f>
        <v>7</v>
      </c>
      <c r="K1673" s="5" t="str">
        <f t="shared" si="1673"/>
        <v>Rp200900</v>
      </c>
      <c r="L1673" s="5" t="str">
        <f t="shared" si="3"/>
        <v>200900</v>
      </c>
    </row>
    <row r="1674">
      <c r="A1674" s="6" t="s">
        <v>2808</v>
      </c>
      <c r="B1674" s="7" t="str">
        <f>HYPERLINK("https://shopee.co.id/Whitelab-Granactive-Retinoid-Intensive-Care-Serum-15ml-i.136011044.8027975736", "https://shopee.co.id/Whitelab-Granactive-Retinoid-Intensive-Care-Serum-15ml-i.136011044.8027975736")</f>
        <v>https://shopee.co.id/Whitelab-Granactive-Retinoid-Intensive-Care-Serum-15ml-i.136011044.8027975736</v>
      </c>
      <c r="C1674" s="6" t="s">
        <v>59</v>
      </c>
      <c r="D1674" s="6" t="s">
        <v>632</v>
      </c>
      <c r="E1674" s="6" t="s">
        <v>12</v>
      </c>
      <c r="F1674" s="6" t="s">
        <v>13</v>
      </c>
      <c r="G1674" s="6" t="s">
        <v>21</v>
      </c>
      <c r="H1674" s="8" t="s">
        <v>2776</v>
      </c>
      <c r="I1674" s="9">
        <v>623000.0</v>
      </c>
      <c r="J1674" s="5" t="str">
        <f t="shared" ref="J1674:K1674" si="1674">SUBSTITUTE(H1674, ",", "")</f>
        <v>7</v>
      </c>
      <c r="K1674" s="5" t="str">
        <f t="shared" si="1674"/>
        <v>Rp623000</v>
      </c>
      <c r="L1674" s="5" t="str">
        <f t="shared" si="3"/>
        <v>623000</v>
      </c>
    </row>
    <row r="1675">
      <c r="A1675" s="6" t="s">
        <v>2809</v>
      </c>
      <c r="B1675" s="7" t="str">
        <f>HYPERLINK("https://shopee.co.id/NACIFIC-Fresh-Cica-Plus-Clear-Serum-50ml-i.238604292.6021803972", "https://shopee.co.id/NACIFIC-Fresh-Cica-Plus-Clear-Serum-50ml-i.238604292.6021803972")</f>
        <v>https://shopee.co.id/NACIFIC-Fresh-Cica-Plus-Clear-Serum-50ml-i.238604292.6021803972</v>
      </c>
      <c r="C1675" s="6" t="s">
        <v>344</v>
      </c>
      <c r="D1675" s="6" t="s">
        <v>918</v>
      </c>
      <c r="E1675" s="6" t="s">
        <v>12</v>
      </c>
      <c r="F1675" s="6" t="s">
        <v>13</v>
      </c>
      <c r="G1675" s="6" t="s">
        <v>80</v>
      </c>
      <c r="H1675" s="8" t="s">
        <v>2776</v>
      </c>
      <c r="I1675" s="9">
        <v>553000.0</v>
      </c>
      <c r="J1675" s="5" t="str">
        <f t="shared" ref="J1675:K1675" si="1675">SUBSTITUTE(H1675, ",", "")</f>
        <v>7</v>
      </c>
      <c r="K1675" s="5" t="str">
        <f t="shared" si="1675"/>
        <v>Rp553000</v>
      </c>
      <c r="L1675" s="5" t="str">
        <f t="shared" si="3"/>
        <v>553000</v>
      </c>
    </row>
    <row r="1676">
      <c r="A1676" s="6" t="s">
        <v>2810</v>
      </c>
      <c r="B1676" s="7" t="str">
        <f>HYPERLINK("https://shopee.co.id/MSBB-Skin-Game-Acne-Combat-Serum-30-gr-i.288588702.9542629475", "https://shopee.co.id/MSBB-Skin-Game-Acne-Combat-Serum-30-gr-i.288588702.9542629475")</f>
        <v>https://shopee.co.id/MSBB-Skin-Game-Acne-Combat-Serum-30-gr-i.288588702.9542629475</v>
      </c>
      <c r="C1676" s="6" t="s">
        <v>523</v>
      </c>
      <c r="D1676" s="6" t="s">
        <v>79</v>
      </c>
      <c r="E1676" s="6" t="s">
        <v>12</v>
      </c>
      <c r="F1676" s="6" t="s">
        <v>13</v>
      </c>
      <c r="G1676" s="6" t="s">
        <v>80</v>
      </c>
      <c r="H1676" s="8" t="s">
        <v>2776</v>
      </c>
      <c r="I1676" s="9">
        <v>1683500.0</v>
      </c>
      <c r="J1676" s="5" t="str">
        <f t="shared" ref="J1676:K1676" si="1676">SUBSTITUTE(H1676, ",", "")</f>
        <v>7</v>
      </c>
      <c r="K1676" s="5" t="str">
        <f t="shared" si="1676"/>
        <v>Rp1683500</v>
      </c>
      <c r="L1676" s="5" t="str">
        <f t="shared" si="3"/>
        <v>1683500</v>
      </c>
    </row>
    <row r="1677">
      <c r="A1677" s="6" t="s">
        <v>2811</v>
      </c>
      <c r="B1677" s="7" t="str">
        <f>HYPERLINK("https://shopee.co.id/Mila-D-opiz-White-Shade-Ampoule-Miladopiz-i.322619273.3758003166", "https://shopee.co.id/Mila-D-opiz-White-Shade-Ampoule-Miladopiz-i.322619273.3758003166")</f>
        <v>https://shopee.co.id/Mila-D-opiz-White-Shade-Ampoule-Miladopiz-i.322619273.3758003166</v>
      </c>
      <c r="C1677" s="6" t="s">
        <v>2182</v>
      </c>
      <c r="D1677" s="6" t="s">
        <v>2183</v>
      </c>
      <c r="E1677" s="6" t="s">
        <v>12</v>
      </c>
      <c r="F1677" s="6" t="s">
        <v>13</v>
      </c>
      <c r="G1677" s="6" t="s">
        <v>469</v>
      </c>
      <c r="H1677" s="8" t="s">
        <v>2776</v>
      </c>
      <c r="I1677" s="9">
        <v>1830000.0</v>
      </c>
      <c r="J1677" s="5" t="str">
        <f t="shared" ref="J1677:K1677" si="1677">SUBSTITUTE(H1677, ",", "")</f>
        <v>7</v>
      </c>
      <c r="K1677" s="5" t="str">
        <f t="shared" si="1677"/>
        <v>Rp1830000</v>
      </c>
      <c r="L1677" s="5" t="str">
        <f t="shared" si="3"/>
        <v>1830000</v>
      </c>
    </row>
    <row r="1678">
      <c r="A1678" s="6" t="s">
        <v>2812</v>
      </c>
      <c r="B1678" s="7" t="str">
        <f>HYPERLINK("https://shopee.co.id/Aubree-Centella-Herb-Serum-30ml-i.825870.3215069329", "https://shopee.co.id/Aubree-Centella-Herb-Serum-30ml-i.825870.3215069329")</f>
        <v>https://shopee.co.id/Aubree-Centella-Herb-Serum-30ml-i.825870.3215069329</v>
      </c>
      <c r="C1678" s="6" t="s">
        <v>2642</v>
      </c>
      <c r="D1678" s="6" t="s">
        <v>1184</v>
      </c>
      <c r="E1678" s="6" t="s">
        <v>12</v>
      </c>
      <c r="F1678" s="6" t="s">
        <v>13</v>
      </c>
      <c r="G1678" s="6" t="s">
        <v>21</v>
      </c>
      <c r="H1678" s="8" t="s">
        <v>2776</v>
      </c>
      <c r="I1678" s="9">
        <v>1598580.0</v>
      </c>
      <c r="J1678" s="5" t="str">
        <f t="shared" ref="J1678:K1678" si="1678">SUBSTITUTE(H1678, ",", "")</f>
        <v>7</v>
      </c>
      <c r="K1678" s="5" t="str">
        <f t="shared" si="1678"/>
        <v>Rp1598580</v>
      </c>
      <c r="L1678" s="5" t="str">
        <f t="shared" si="3"/>
        <v>1598580</v>
      </c>
    </row>
    <row r="1679">
      <c r="A1679" s="6" t="s">
        <v>2813</v>
      </c>
      <c r="B1679" s="7" t="str">
        <f>HYPERLINK("https://shopee.co.id/Somethinc-10-Niacinamide-Barrier-Serum-i.10689.2965993920", "https://shopee.co.id/Somethinc-10-Niacinamide-Barrier-Serum-i.10689.2965993920")</f>
        <v>https://shopee.co.id/Somethinc-10-Niacinamide-Barrier-Serum-i.10689.2965993920</v>
      </c>
      <c r="C1679" s="6" t="s">
        <v>45</v>
      </c>
      <c r="D1679" s="6" t="s">
        <v>745</v>
      </c>
      <c r="E1679" s="6" t="s">
        <v>12</v>
      </c>
      <c r="F1679" s="6" t="s">
        <v>13</v>
      </c>
      <c r="G1679" s="6" t="s">
        <v>61</v>
      </c>
      <c r="H1679" s="8" t="s">
        <v>2776</v>
      </c>
      <c r="I1679" s="9">
        <v>896000.0</v>
      </c>
      <c r="J1679" s="5" t="str">
        <f t="shared" ref="J1679:K1679" si="1679">SUBSTITUTE(H1679, ",", "")</f>
        <v>7</v>
      </c>
      <c r="K1679" s="5" t="str">
        <f t="shared" si="1679"/>
        <v>Rp896000</v>
      </c>
      <c r="L1679" s="5" t="str">
        <f t="shared" si="3"/>
        <v>896000</v>
      </c>
    </row>
    <row r="1680">
      <c r="A1680" s="6" t="s">
        <v>2814</v>
      </c>
      <c r="B1680" s="7" t="str">
        <f>HYPERLINK("https://shopee.co.id/Nacific-Glow-Intensive-Essence-i.125116082.4319170545", "https://shopee.co.id/Nacific-Glow-Intensive-Essence-i.125116082.4319170545")</f>
        <v>https://shopee.co.id/Nacific-Glow-Intensive-Essence-i.125116082.4319170545</v>
      </c>
      <c r="C1680" s="6" t="s">
        <v>344</v>
      </c>
      <c r="D1680" s="6" t="s">
        <v>713</v>
      </c>
      <c r="E1680" s="6" t="s">
        <v>12</v>
      </c>
      <c r="F1680" s="6" t="s">
        <v>13</v>
      </c>
      <c r="G1680" s="6" t="s">
        <v>61</v>
      </c>
      <c r="H1680" s="8" t="s">
        <v>2776</v>
      </c>
      <c r="I1680" s="9">
        <v>1036000.0</v>
      </c>
      <c r="J1680" s="5" t="str">
        <f t="shared" ref="J1680:K1680" si="1680">SUBSTITUTE(H1680, ",", "")</f>
        <v>7</v>
      </c>
      <c r="K1680" s="5" t="str">
        <f t="shared" si="1680"/>
        <v>Rp1036000</v>
      </c>
      <c r="L1680" s="5" t="str">
        <f t="shared" si="3"/>
        <v>1036000</v>
      </c>
    </row>
    <row r="1681">
      <c r="A1681" s="6" t="s">
        <v>2815</v>
      </c>
      <c r="B1681" s="7" t="str">
        <f>HYPERLINK("https://shopee.co.id/FIRST-LAB-FIRST-LAB-Probiotic-Serum-30ml-i.109981258.6351922831", "https://shopee.co.id/FIRST-LAB-FIRST-LAB-Probiotic-Serum-30ml-i.109981258.6351922831")</f>
        <v>https://shopee.co.id/FIRST-LAB-FIRST-LAB-Probiotic-Serum-30ml-i.109981258.6351922831</v>
      </c>
      <c r="C1681" s="6" t="s">
        <v>1617</v>
      </c>
      <c r="D1681" s="6" t="s">
        <v>2576</v>
      </c>
      <c r="E1681" s="6" t="s">
        <v>12</v>
      </c>
      <c r="F1681" s="6" t="s">
        <v>13</v>
      </c>
      <c r="G1681" s="6" t="s">
        <v>21</v>
      </c>
      <c r="H1681" s="8" t="s">
        <v>2776</v>
      </c>
      <c r="I1681" s="9">
        <v>3003000.0</v>
      </c>
      <c r="J1681" s="5" t="str">
        <f t="shared" ref="J1681:K1681" si="1681">SUBSTITUTE(H1681, ",", "")</f>
        <v>7</v>
      </c>
      <c r="K1681" s="5" t="str">
        <f t="shared" si="1681"/>
        <v>Rp3003000</v>
      </c>
      <c r="L1681" s="5" t="str">
        <f t="shared" si="3"/>
        <v>3003000</v>
      </c>
    </row>
    <row r="1682">
      <c r="A1682" s="6" t="s">
        <v>2816</v>
      </c>
      <c r="B1682" s="7" t="str">
        <f>HYPERLINK("https://shopee.co.id/Haum-Alpha-MF-2-Alpha-Arbutin-30ml-i.825870.9436358905", "https://shopee.co.id/Haum-Alpha-MF-2-Alpha-Arbutin-30ml-i.825870.9436358905")</f>
        <v>https://shopee.co.id/Haum-Alpha-MF-2-Alpha-Arbutin-30ml-i.825870.9436358905</v>
      </c>
      <c r="C1682" s="6" t="s">
        <v>1144</v>
      </c>
      <c r="D1682" s="6" t="s">
        <v>1184</v>
      </c>
      <c r="E1682" s="6" t="s">
        <v>12</v>
      </c>
      <c r="F1682" s="6" t="s">
        <v>13</v>
      </c>
      <c r="G1682" s="6" t="s">
        <v>21</v>
      </c>
      <c r="H1682" s="8" t="s">
        <v>2776</v>
      </c>
      <c r="I1682" s="9">
        <v>501000.0</v>
      </c>
      <c r="J1682" s="5" t="str">
        <f t="shared" ref="J1682:K1682" si="1682">SUBSTITUTE(H1682, ",", "")</f>
        <v>7</v>
      </c>
      <c r="K1682" s="5" t="str">
        <f t="shared" si="1682"/>
        <v>Rp501000</v>
      </c>
      <c r="L1682" s="5" t="str">
        <f t="shared" si="3"/>
        <v>501000</v>
      </c>
    </row>
    <row r="1683">
      <c r="A1683" s="6" t="s">
        <v>2817</v>
      </c>
      <c r="B1683" s="7" t="str">
        <f>HYPERLINK("https://shopee.co.id/COSRX-Pure-Fit-Cica-Serum-30ml-i.270965687.6980158076", "https://shopee.co.id/COSRX-Pure-Fit-Cica-Serum-30ml-i.270965687.6980158076")</f>
        <v>https://shopee.co.id/COSRX-Pure-Fit-Cica-Serum-30ml-i.270965687.6980158076</v>
      </c>
      <c r="C1683" s="6" t="s">
        <v>305</v>
      </c>
      <c r="D1683" s="6" t="s">
        <v>379</v>
      </c>
      <c r="E1683" s="6" t="s">
        <v>12</v>
      </c>
      <c r="F1683" s="6" t="s">
        <v>13</v>
      </c>
      <c r="G1683" s="6" t="s">
        <v>380</v>
      </c>
      <c r="H1683" s="8" t="s">
        <v>2776</v>
      </c>
      <c r="I1683" s="9">
        <v>1416400.0</v>
      </c>
      <c r="J1683" s="5" t="str">
        <f t="shared" ref="J1683:K1683" si="1683">SUBSTITUTE(H1683, ",", "")</f>
        <v>7</v>
      </c>
      <c r="K1683" s="5" t="str">
        <f t="shared" si="1683"/>
        <v>Rp1416400</v>
      </c>
      <c r="L1683" s="5" t="str">
        <f t="shared" si="3"/>
        <v>1416400</v>
      </c>
    </row>
    <row r="1684">
      <c r="A1684" s="6" t="s">
        <v>2818</v>
      </c>
      <c r="B1684" s="7" t="str">
        <f>HYPERLINK("https://shopee.co.id/BREYLEE-VC-HA-Retinol-Series-3-pcs--i.324706771.8576350096", "https://shopee.co.id/BREYLEE-VC-HA-Retinol-Series-3-pcs--i.324706771.8576350096")</f>
        <v>https://shopee.co.id/BREYLEE-VC-HA-Retinol-Series-3-pcs--i.324706771.8576350096</v>
      </c>
      <c r="C1684" s="6" t="s">
        <v>852</v>
      </c>
      <c r="D1684" s="6" t="s">
        <v>853</v>
      </c>
      <c r="E1684" s="6" t="s">
        <v>12</v>
      </c>
      <c r="F1684" s="6" t="s">
        <v>13</v>
      </c>
      <c r="G1684" s="6" t="s">
        <v>532</v>
      </c>
      <c r="H1684" s="8" t="s">
        <v>2776</v>
      </c>
      <c r="I1684" s="9">
        <v>1764000.0</v>
      </c>
      <c r="J1684" s="5" t="str">
        <f t="shared" ref="J1684:K1684" si="1684">SUBSTITUTE(H1684, ",", "")</f>
        <v>7</v>
      </c>
      <c r="K1684" s="5" t="str">
        <f t="shared" si="1684"/>
        <v>Rp1764000</v>
      </c>
      <c r="L1684" s="5" t="str">
        <f t="shared" si="3"/>
        <v>1764000</v>
      </c>
    </row>
    <row r="1685">
      <c r="A1685" s="6" t="s">
        <v>2819</v>
      </c>
      <c r="B1685" s="7" t="str">
        <f>HYPERLINK("https://shopee.co.id/Kleveru-Vitamin-C-10-Ferulic-Serum-15ml-i.136011044.9648889487", "https://shopee.co.id/Kleveru-Vitamin-C-10-Ferulic-Serum-15ml-i.136011044.9648889487")</f>
        <v>https://shopee.co.id/Kleveru-Vitamin-C-10-Ferulic-Serum-15ml-i.136011044.9648889487</v>
      </c>
      <c r="C1685" s="6" t="s">
        <v>2408</v>
      </c>
      <c r="D1685" s="6" t="s">
        <v>632</v>
      </c>
      <c r="E1685" s="6" t="s">
        <v>12</v>
      </c>
      <c r="F1685" s="6" t="s">
        <v>13</v>
      </c>
      <c r="G1685" s="6" t="s">
        <v>21</v>
      </c>
      <c r="H1685" s="8" t="s">
        <v>2776</v>
      </c>
      <c r="I1685" s="9">
        <v>560000.0</v>
      </c>
      <c r="J1685" s="5" t="str">
        <f t="shared" ref="J1685:K1685" si="1685">SUBSTITUTE(H1685, ",", "")</f>
        <v>7</v>
      </c>
      <c r="K1685" s="5" t="str">
        <f t="shared" si="1685"/>
        <v>Rp560000</v>
      </c>
      <c r="L1685" s="5" t="str">
        <f t="shared" si="3"/>
        <v>560000</v>
      </c>
    </row>
    <row r="1686">
      <c r="A1686" s="6" t="s">
        <v>2820</v>
      </c>
      <c r="B1686" s="7" t="str">
        <f>HYPERLINK("https://shopee.co.id/Nourish-Beauty-Care-Bio-White-Serum-Whitening-Series-15-mL-i.207650136.10146979206", "https://shopee.co.id/Nourish-Beauty-Care-Bio-White-Serum-Whitening-Series-15-mL-i.207650136.10146979206")</f>
        <v>https://shopee.co.id/Nourish-Beauty-Care-Bio-White-Serum-Whitening-Series-15-mL-i.207650136.10146979206</v>
      </c>
      <c r="C1686" s="6" t="s">
        <v>1309</v>
      </c>
      <c r="D1686" s="6" t="s">
        <v>1117</v>
      </c>
      <c r="E1686" s="6" t="s">
        <v>12</v>
      </c>
      <c r="F1686" s="6" t="s">
        <v>13</v>
      </c>
      <c r="G1686" s="6" t="s">
        <v>21</v>
      </c>
      <c r="H1686" s="8" t="s">
        <v>2776</v>
      </c>
      <c r="I1686" s="9">
        <v>2547950.0</v>
      </c>
      <c r="J1686" s="5" t="str">
        <f t="shared" ref="J1686:K1686" si="1686">SUBSTITUTE(H1686, ",", "")</f>
        <v>7</v>
      </c>
      <c r="K1686" s="5" t="str">
        <f t="shared" si="1686"/>
        <v>Rp2547950</v>
      </c>
      <c r="L1686" s="5" t="str">
        <f t="shared" si="3"/>
        <v>2547950</v>
      </c>
    </row>
    <row r="1687">
      <c r="A1687" s="6" t="s">
        <v>2821</v>
      </c>
      <c r="B1687" s="7" t="str">
        <f>HYPERLINK("https://shopee.co.id/Mireya-Ultra-Boost-Serum-Hyalu-6-Peptide-i.101578297.4579766238", "https://shopee.co.id/Mireya-Ultra-Boost-Serum-Hyalu-6-Peptide-i.101578297.4579766238")</f>
        <v>https://shopee.co.id/Mireya-Ultra-Boost-Serum-Hyalu-6-Peptide-i.101578297.4579766238</v>
      </c>
      <c r="C1687" s="6" t="s">
        <v>2430</v>
      </c>
      <c r="D1687" s="6" t="s">
        <v>2431</v>
      </c>
      <c r="E1687" s="6" t="s">
        <v>12</v>
      </c>
      <c r="F1687" s="6" t="s">
        <v>13</v>
      </c>
      <c r="G1687" s="6" t="s">
        <v>21</v>
      </c>
      <c r="H1687" s="8" t="s">
        <v>2776</v>
      </c>
      <c r="I1687" s="9">
        <v>5565000.0</v>
      </c>
      <c r="J1687" s="5" t="str">
        <f t="shared" ref="J1687:K1687" si="1687">SUBSTITUTE(H1687, ",", "")</f>
        <v>7</v>
      </c>
      <c r="K1687" s="5" t="str">
        <f t="shared" si="1687"/>
        <v>Rp5565000</v>
      </c>
      <c r="L1687" s="5" t="str">
        <f t="shared" si="3"/>
        <v>5565000</v>
      </c>
    </row>
    <row r="1688">
      <c r="A1688" s="6" t="s">
        <v>2822</v>
      </c>
      <c r="B1688" s="7" t="str">
        <f>HYPERLINK("https://shopee.co.id/Xi-XiU-FACE-SERUM-ANTI-ACNE-i.222854973.3170703640", "https://shopee.co.id/Xi-XiU-FACE-SERUM-ANTI-ACNE-i.222854973.3170703640")</f>
        <v>https://shopee.co.id/Xi-XiU-FACE-SERUM-ANTI-ACNE-i.222854973.3170703640</v>
      </c>
      <c r="C1688" s="6" t="s">
        <v>2231</v>
      </c>
      <c r="D1688" s="6" t="s">
        <v>2232</v>
      </c>
      <c r="E1688" s="6" t="s">
        <v>12</v>
      </c>
      <c r="F1688" s="6" t="s">
        <v>13</v>
      </c>
      <c r="G1688" s="6" t="s">
        <v>36</v>
      </c>
      <c r="H1688" s="8" t="s">
        <v>2776</v>
      </c>
      <c r="I1688" s="9">
        <v>1767000.0</v>
      </c>
      <c r="J1688" s="5" t="str">
        <f t="shared" ref="J1688:K1688" si="1688">SUBSTITUTE(H1688, ",", "")</f>
        <v>7</v>
      </c>
      <c r="K1688" s="5" t="str">
        <f t="shared" si="1688"/>
        <v>Rp1767000</v>
      </c>
      <c r="L1688" s="5" t="str">
        <f t="shared" si="3"/>
        <v>1767000</v>
      </c>
    </row>
    <row r="1689">
      <c r="A1689" s="6" t="s">
        <v>2823</v>
      </c>
      <c r="B1689" s="7" t="str">
        <f>HYPERLINK("https://shopee.co.id/POB-SERUM-BLEMISH-SERUM-JERAWAT-TERLARIS-Menyembuhkan-Jerawat-Dan-Beruntusan-BPOM-20-ml-i.495355925.9583080544", "https://shopee.co.id/POB-SERUM-BLEMISH-SERUM-JERAWAT-TERLARIS-Menyembuhkan-Jerawat-Dan-Beruntusan-BPOM-20-ml-i.495355925.9583080544")</f>
        <v>https://shopee.co.id/POB-SERUM-BLEMISH-SERUM-JERAWAT-TERLARIS-Menyembuhkan-Jerawat-Dan-Beruntusan-BPOM-20-ml-i.495355925.9583080544</v>
      </c>
      <c r="C1689" s="6" t="s">
        <v>2719</v>
      </c>
      <c r="D1689" s="6" t="s">
        <v>2720</v>
      </c>
      <c r="E1689" s="6" t="s">
        <v>12</v>
      </c>
      <c r="F1689" s="6" t="s">
        <v>13</v>
      </c>
      <c r="G1689" s="6" t="s">
        <v>532</v>
      </c>
      <c r="H1689" s="8" t="s">
        <v>2776</v>
      </c>
      <c r="I1689" s="9">
        <v>1.337E7</v>
      </c>
      <c r="J1689" s="5" t="str">
        <f t="shared" ref="J1689:K1689" si="1689">SUBSTITUTE(H1689, ",", "")</f>
        <v>7</v>
      </c>
      <c r="K1689" s="5" t="str">
        <f t="shared" si="1689"/>
        <v>Rp13370000</v>
      </c>
      <c r="L1689" s="5" t="str">
        <f t="shared" si="3"/>
        <v>13370000</v>
      </c>
    </row>
    <row r="1690">
      <c r="A1690" s="6" t="s">
        <v>2824</v>
      </c>
      <c r="B1690" s="7" t="str">
        <f>HYPERLINK("https://shopee.co.id/SYB-Forte-Serum-Vitamin-C-i.150222332.2329559210", "https://shopee.co.id/SYB-Forte-Serum-Vitamin-C-i.150222332.2329559210")</f>
        <v>https://shopee.co.id/SYB-Forte-Serum-Vitamin-C-i.150222332.2329559210</v>
      </c>
      <c r="C1690" s="6" t="s">
        <v>1736</v>
      </c>
      <c r="D1690" s="6" t="s">
        <v>1737</v>
      </c>
      <c r="E1690" s="6" t="s">
        <v>12</v>
      </c>
      <c r="F1690" s="6" t="s">
        <v>13</v>
      </c>
      <c r="G1690" s="6" t="s">
        <v>350</v>
      </c>
      <c r="H1690" s="8" t="s">
        <v>2776</v>
      </c>
      <c r="I1690" s="9">
        <v>2935350.0</v>
      </c>
      <c r="J1690" s="5" t="str">
        <f t="shared" ref="J1690:K1690" si="1690">SUBSTITUTE(H1690, ",", "")</f>
        <v>7</v>
      </c>
      <c r="K1690" s="5" t="str">
        <f t="shared" si="1690"/>
        <v>Rp2935350</v>
      </c>
      <c r="L1690" s="5" t="str">
        <f t="shared" si="3"/>
        <v>2935350</v>
      </c>
    </row>
    <row r="1691">
      <c r="A1691" s="6" t="s">
        <v>2825</v>
      </c>
      <c r="B1691" s="7" t="str">
        <f>HYPERLINK("https://shopee.co.id/Rated-Green-Real-Shea-Moisturizing-Recharging-Serum-size-150-ml-Edit-by-Sociolla-i.224957239.4531626719", "https://shopee.co.id/Rated-Green-Real-Shea-Moisturizing-Recharging-Serum-size-150-ml-Edit-by-Sociolla-i.224957239.4531626719")</f>
        <v>https://shopee.co.id/Rated-Green-Real-Shea-Moisturizing-Recharging-Serum-size-150-ml-Edit-by-Sociolla-i.224957239.4531626719</v>
      </c>
      <c r="C1691" s="6" t="s">
        <v>2826</v>
      </c>
      <c r="D1691" s="6" t="s">
        <v>492</v>
      </c>
      <c r="E1691" s="6" t="s">
        <v>12</v>
      </c>
      <c r="F1691" s="6" t="s">
        <v>13</v>
      </c>
      <c r="G1691" s="6" t="s">
        <v>21</v>
      </c>
      <c r="H1691" s="8" t="s">
        <v>2776</v>
      </c>
      <c r="I1691" s="9">
        <v>1050000.0</v>
      </c>
      <c r="J1691" s="5" t="str">
        <f t="shared" ref="J1691:K1691" si="1691">SUBSTITUTE(H1691, ",", "")</f>
        <v>7</v>
      </c>
      <c r="K1691" s="5" t="str">
        <f t="shared" si="1691"/>
        <v>Rp1050000</v>
      </c>
      <c r="L1691" s="5" t="str">
        <f t="shared" si="3"/>
        <v>1050000</v>
      </c>
    </row>
    <row r="1692">
      <c r="A1692" s="6" t="s">
        <v>2827</v>
      </c>
      <c r="B1692" s="7" t="str">
        <f>HYPERLINK("https://shopee.co.id/KKV-Whitelab-Brightening-Acne-Face-Serum-20ml-i.313431312.7196563782", "https://shopee.co.id/KKV-Whitelab-Brightening-Acne-Face-Serum-20ml-i.313431312.7196563782")</f>
        <v>https://shopee.co.id/KKV-Whitelab-Brightening-Acne-Face-Serum-20ml-i.313431312.7196563782</v>
      </c>
      <c r="C1692" s="6" t="s">
        <v>59</v>
      </c>
      <c r="D1692" s="6" t="s">
        <v>1524</v>
      </c>
      <c r="E1692" s="6" t="s">
        <v>12</v>
      </c>
      <c r="F1692" s="6" t="s">
        <v>13</v>
      </c>
      <c r="G1692" s="6" t="s">
        <v>61</v>
      </c>
      <c r="H1692" s="8" t="s">
        <v>2776</v>
      </c>
      <c r="I1692" s="9">
        <v>422100.0</v>
      </c>
      <c r="J1692" s="5" t="str">
        <f t="shared" ref="J1692:K1692" si="1692">SUBSTITUTE(H1692, ",", "")</f>
        <v>7</v>
      </c>
      <c r="K1692" s="5" t="str">
        <f t="shared" si="1692"/>
        <v>Rp422100</v>
      </c>
      <c r="L1692" s="5" t="str">
        <f t="shared" si="3"/>
        <v>422100</v>
      </c>
    </row>
    <row r="1693">
      <c r="A1693" s="6" t="s">
        <v>2828</v>
      </c>
      <c r="B1693" s="7" t="str">
        <f>HYPERLINK("https://shopee.co.id/It-s-Glow-Time-i.63822287.4287528297", "https://shopee.co.id/It-s-Glow-Time-i.63822287.4287528297")</f>
        <v>https://shopee.co.id/It-s-Glow-Time-i.63822287.4287528297</v>
      </c>
      <c r="C1693" s="6" t="s">
        <v>1254</v>
      </c>
      <c r="D1693" s="6" t="s">
        <v>835</v>
      </c>
      <c r="E1693" s="6" t="s">
        <v>12</v>
      </c>
      <c r="F1693" s="6" t="s">
        <v>13</v>
      </c>
      <c r="G1693" s="6" t="s">
        <v>61</v>
      </c>
      <c r="H1693" s="8" t="s">
        <v>2776</v>
      </c>
      <c r="I1693" s="9">
        <v>609650.0</v>
      </c>
      <c r="J1693" s="5" t="str">
        <f t="shared" ref="J1693:K1693" si="1693">SUBSTITUTE(H1693, ",", "")</f>
        <v>7</v>
      </c>
      <c r="K1693" s="5" t="str">
        <f t="shared" si="1693"/>
        <v>Rp609650</v>
      </c>
      <c r="L1693" s="5" t="str">
        <f t="shared" si="3"/>
        <v>609650</v>
      </c>
    </row>
    <row r="1694">
      <c r="A1694" s="6" t="s">
        <v>2829</v>
      </c>
      <c r="B1694" s="7" t="str">
        <f>HYPERLINK("https://shopee.co.id/COSRX-Advanced-Snail-96-Mucin-Power-Essence-100ml-i.825870.3653658559", "https://shopee.co.id/COSRX-Advanced-Snail-96-Mucin-Power-Essence-100ml-i.825870.3653658559")</f>
        <v>https://shopee.co.id/COSRX-Advanced-Snail-96-Mucin-Power-Essence-100ml-i.825870.3653658559</v>
      </c>
      <c r="C1694" s="6" t="s">
        <v>305</v>
      </c>
      <c r="D1694" s="6" t="s">
        <v>1184</v>
      </c>
      <c r="E1694" s="6" t="s">
        <v>12</v>
      </c>
      <c r="F1694" s="6" t="s">
        <v>13</v>
      </c>
      <c r="G1694" s="6" t="s">
        <v>21</v>
      </c>
      <c r="H1694" s="8" t="s">
        <v>2776</v>
      </c>
      <c r="I1694" s="9">
        <v>1082790.0</v>
      </c>
      <c r="J1694" s="5" t="str">
        <f t="shared" ref="J1694:K1694" si="1694">SUBSTITUTE(H1694, ",", "")</f>
        <v>7</v>
      </c>
      <c r="K1694" s="5" t="str">
        <f t="shared" si="1694"/>
        <v>Rp1082790</v>
      </c>
      <c r="L1694" s="5" t="str">
        <f t="shared" si="3"/>
        <v>1082790</v>
      </c>
    </row>
    <row r="1695">
      <c r="A1695" s="6" t="s">
        <v>2830</v>
      </c>
      <c r="B1695" s="7" t="str">
        <f>HYPERLINK("https://shopee.co.id/Holika-Holika-Good-Cera-Super-Ceramide-Cream-In-Serum-NEW--i.18856010.4679775536", "https://shopee.co.id/Holika-Holika-Good-Cera-Super-Ceramide-Cream-In-Serum-NEW--i.18856010.4679775536")</f>
        <v>https://shopee.co.id/Holika-Holika-Good-Cera-Super-Ceramide-Cream-In-Serum-NEW--i.18856010.4679775536</v>
      </c>
      <c r="C1695" s="6" t="s">
        <v>2265</v>
      </c>
      <c r="D1695" s="6" t="s">
        <v>2266</v>
      </c>
      <c r="E1695" s="6" t="s">
        <v>12</v>
      </c>
      <c r="F1695" s="6" t="s">
        <v>13</v>
      </c>
      <c r="G1695" s="6" t="s">
        <v>21</v>
      </c>
      <c r="H1695" s="8" t="s">
        <v>2776</v>
      </c>
      <c r="I1695" s="9">
        <v>1043000.0</v>
      </c>
      <c r="J1695" s="5" t="str">
        <f t="shared" ref="J1695:K1695" si="1695">SUBSTITUTE(H1695, ",", "")</f>
        <v>7</v>
      </c>
      <c r="K1695" s="5" t="str">
        <f t="shared" si="1695"/>
        <v>Rp1043000</v>
      </c>
      <c r="L1695" s="5" t="str">
        <f t="shared" si="3"/>
        <v>1043000</v>
      </c>
    </row>
    <row r="1696">
      <c r="A1696" s="6" t="s">
        <v>2831</v>
      </c>
      <c r="B1696" s="7" t="str">
        <f>HYPERLINK("https://shopee.co.id/-2-PACK-SET-SHAPELYNE-V-Shape-Facial-Lift-Serum-Untuk-Merampingkan-Wajah-i.285944023.12904209269", "https://shopee.co.id/-2-PACK-SET-SHAPELYNE-V-Shape-Facial-Lift-Serum-Untuk-Merampingkan-Wajah-i.285944023.12904209269")</f>
        <v>https://shopee.co.id/-2-PACK-SET-SHAPELYNE-V-Shape-Facial-Lift-Serum-Untuk-Merampingkan-Wajah-i.285944023.12904209269</v>
      </c>
      <c r="C1696" s="6" t="s">
        <v>2236</v>
      </c>
      <c r="D1696" s="6" t="s">
        <v>2237</v>
      </c>
      <c r="E1696" s="6" t="s">
        <v>12</v>
      </c>
      <c r="F1696" s="6" t="s">
        <v>13</v>
      </c>
      <c r="G1696" s="6" t="s">
        <v>2238</v>
      </c>
      <c r="H1696" s="8" t="s">
        <v>2776</v>
      </c>
      <c r="I1696" s="9">
        <v>753190.0</v>
      </c>
      <c r="J1696" s="5" t="str">
        <f t="shared" ref="J1696:K1696" si="1696">SUBSTITUTE(H1696, ",", "")</f>
        <v>7</v>
      </c>
      <c r="K1696" s="5" t="str">
        <f t="shared" si="1696"/>
        <v>Rp753190</v>
      </c>
      <c r="L1696" s="5" t="str">
        <f t="shared" si="3"/>
        <v>753190</v>
      </c>
    </row>
    <row r="1697">
      <c r="A1697" s="6" t="s">
        <v>2832</v>
      </c>
      <c r="B1697" s="7" t="str">
        <f>HYPERLINK("https://shopee.co.id/essenHERB-Tea-Tree-Ampoule-50ml-i.270965687.5638523869", "https://shopee.co.id/essenHERB-Tea-Tree-Ampoule-50ml-i.270965687.5638523869")</f>
        <v>https://shopee.co.id/essenHERB-Tea-Tree-Ampoule-50ml-i.270965687.5638523869</v>
      </c>
      <c r="C1697" s="6" t="s">
        <v>2802</v>
      </c>
      <c r="D1697" s="6" t="s">
        <v>379</v>
      </c>
      <c r="E1697" s="6" t="s">
        <v>12</v>
      </c>
      <c r="F1697" s="6" t="s">
        <v>13</v>
      </c>
      <c r="G1697" s="6" t="s">
        <v>380</v>
      </c>
      <c r="H1697" s="8" t="s">
        <v>2776</v>
      </c>
      <c r="I1697" s="9">
        <v>1287883.0</v>
      </c>
      <c r="J1697" s="5" t="str">
        <f t="shared" ref="J1697:K1697" si="1697">SUBSTITUTE(H1697, ",", "")</f>
        <v>7</v>
      </c>
      <c r="K1697" s="5" t="str">
        <f t="shared" si="1697"/>
        <v>Rp1287883</v>
      </c>
      <c r="L1697" s="5" t="str">
        <f t="shared" si="3"/>
        <v>1287883</v>
      </c>
    </row>
    <row r="1698">
      <c r="A1698" s="6" t="s">
        <v>2833</v>
      </c>
      <c r="B1698" s="7" t="str">
        <f>HYPERLINK("https://shopee.co.id/Serum-Caviar-Gold-Marwah-i.357101711.7789842608", "https://shopee.co.id/Serum-Caviar-Gold-Marwah-i.357101711.7789842608")</f>
        <v>https://shopee.co.id/Serum-Caviar-Gold-Marwah-i.357101711.7789842608</v>
      </c>
      <c r="C1698" s="6" t="s">
        <v>2249</v>
      </c>
      <c r="D1698" s="6" t="s">
        <v>2250</v>
      </c>
      <c r="E1698" s="6" t="s">
        <v>12</v>
      </c>
      <c r="F1698" s="6" t="s">
        <v>13</v>
      </c>
      <c r="G1698" s="6" t="s">
        <v>370</v>
      </c>
      <c r="H1698" s="8" t="s">
        <v>2776</v>
      </c>
      <c r="I1698" s="9">
        <v>1797454.0</v>
      </c>
      <c r="J1698" s="5" t="str">
        <f t="shared" ref="J1698:K1698" si="1698">SUBSTITUTE(H1698, ",", "")</f>
        <v>7</v>
      </c>
      <c r="K1698" s="5" t="str">
        <f t="shared" si="1698"/>
        <v>Rp1797454</v>
      </c>
      <c r="L1698" s="5" t="str">
        <f t="shared" si="3"/>
        <v>1797454</v>
      </c>
    </row>
    <row r="1699">
      <c r="A1699" s="6" t="s">
        <v>2834</v>
      </c>
      <c r="B1699" s="7" t="str">
        <f>HYPERLINK("https://shopee.co.id/THE-LAB-BY-BLANC-DOUX-Oligo-Hyaluronic-Acid-Boosting-Ampoule-30ml-i.385039113.8414255696", "https://shopee.co.id/THE-LAB-BY-BLANC-DOUX-Oligo-Hyaluronic-Acid-Boosting-Ampoule-30ml-i.385039113.8414255696")</f>
        <v>https://shopee.co.id/THE-LAB-BY-BLANC-DOUX-Oligo-Hyaluronic-Acid-Boosting-Ampoule-30ml-i.385039113.8414255696</v>
      </c>
      <c r="C1699" s="6" t="s">
        <v>2835</v>
      </c>
      <c r="D1699" s="6" t="s">
        <v>2836</v>
      </c>
      <c r="E1699" s="6" t="s">
        <v>12</v>
      </c>
      <c r="F1699" s="6" t="s">
        <v>13</v>
      </c>
      <c r="G1699" s="6" t="s">
        <v>98</v>
      </c>
      <c r="H1699" s="8" t="s">
        <v>2776</v>
      </c>
      <c r="I1699" s="9">
        <v>1182300.0</v>
      </c>
      <c r="J1699" s="5" t="str">
        <f t="shared" ref="J1699:K1699" si="1699">SUBSTITUTE(H1699, ",", "")</f>
        <v>7</v>
      </c>
      <c r="K1699" s="5" t="str">
        <f t="shared" si="1699"/>
        <v>Rp1182300</v>
      </c>
      <c r="L1699" s="5" t="str">
        <f t="shared" si="3"/>
        <v>1182300</v>
      </c>
    </row>
    <row r="1700">
      <c r="A1700" s="6" t="s">
        <v>2837</v>
      </c>
      <c r="B1700" s="7" t="str">
        <f>HYPERLINK("https://shopee.co.id/Avione-White-Expert-Serum-20ml-FREE-Facial-Foam-i.23426842.1095678673", "https://shopee.co.id/Avione-White-Expert-Serum-20ml-FREE-Facial-Foam-i.23426842.1095678673")</f>
        <v>https://shopee.co.id/Avione-White-Expert-Serum-20ml-FREE-Facial-Foam-i.23426842.1095678673</v>
      </c>
      <c r="C1700" s="6" t="s">
        <v>2838</v>
      </c>
      <c r="D1700" s="6" t="s">
        <v>2839</v>
      </c>
      <c r="E1700" s="6" t="s">
        <v>12</v>
      </c>
      <c r="F1700" s="6" t="s">
        <v>13</v>
      </c>
      <c r="G1700" s="6" t="s">
        <v>115</v>
      </c>
      <c r="H1700" s="8" t="s">
        <v>2776</v>
      </c>
      <c r="I1700" s="9">
        <v>1059294.0</v>
      </c>
      <c r="J1700" s="5" t="str">
        <f t="shared" ref="J1700:K1700" si="1700">SUBSTITUTE(H1700, ",", "")</f>
        <v>7</v>
      </c>
      <c r="K1700" s="5" t="str">
        <f t="shared" si="1700"/>
        <v>Rp1059294</v>
      </c>
      <c r="L1700" s="5" t="str">
        <f t="shared" si="3"/>
        <v>1059294</v>
      </c>
    </row>
    <row r="1701">
      <c r="A1701" s="6" t="s">
        <v>2840</v>
      </c>
      <c r="B1701" s="7" t="str">
        <f>HYPERLINK("https://shopee.co.id/SPESIAL-RAMADHAN-Kerastase-Cure-Apaisante-12-6ml-Serum-Intensif-Kulit-Kepala-Sensitif-i.252376370.7551356010", "https://shopee.co.id/SPESIAL-RAMADHAN-Kerastase-Cure-Apaisante-12-6ml-Serum-Intensif-Kulit-Kepala-Sensitif-i.252376370.7551356010")</f>
        <v>https://shopee.co.id/SPESIAL-RAMADHAN-Kerastase-Cure-Apaisante-12-6ml-Serum-Intensif-Kulit-Kepala-Sensitif-i.252376370.7551356010</v>
      </c>
      <c r="C1701" s="6" t="s">
        <v>2560</v>
      </c>
      <c r="D1701" s="6" t="s">
        <v>2561</v>
      </c>
      <c r="E1701" s="6" t="s">
        <v>12</v>
      </c>
      <c r="F1701" s="6" t="s">
        <v>13</v>
      </c>
      <c r="G1701" s="6" t="s">
        <v>1480</v>
      </c>
      <c r="H1701" s="8" t="s">
        <v>2776</v>
      </c>
      <c r="I1701" s="9">
        <v>1103200.0</v>
      </c>
      <c r="J1701" s="5" t="str">
        <f t="shared" ref="J1701:K1701" si="1701">SUBSTITUTE(H1701, ",", "")</f>
        <v>7</v>
      </c>
      <c r="K1701" s="5" t="str">
        <f t="shared" si="1701"/>
        <v>Rp1103200</v>
      </c>
      <c r="L1701" s="5" t="str">
        <f t="shared" si="3"/>
        <v>1103200</v>
      </c>
    </row>
    <row r="1702">
      <c r="A1702" s="6" t="s">
        <v>2841</v>
      </c>
      <c r="B1702" s="7" t="str">
        <f>HYPERLINK("https://shopee.co.id/Benton-Snail-Bee-High-Content-Essence-60ml-i.825870.2030401326", "https://shopee.co.id/Benton-Snail-Bee-High-Content-Essence-60ml-i.825870.2030401326")</f>
        <v>https://shopee.co.id/Benton-Snail-Bee-High-Content-Essence-60ml-i.825870.2030401326</v>
      </c>
      <c r="C1702" s="6" t="s">
        <v>456</v>
      </c>
      <c r="D1702" s="6" t="s">
        <v>1184</v>
      </c>
      <c r="E1702" s="6" t="s">
        <v>12</v>
      </c>
      <c r="F1702" s="6" t="s">
        <v>13</v>
      </c>
      <c r="G1702" s="6" t="s">
        <v>21</v>
      </c>
      <c r="H1702" s="8" t="s">
        <v>2776</v>
      </c>
      <c r="I1702" s="9">
        <v>515970.0</v>
      </c>
      <c r="J1702" s="5" t="str">
        <f t="shared" ref="J1702:K1702" si="1702">SUBSTITUTE(H1702, ",", "")</f>
        <v>7</v>
      </c>
      <c r="K1702" s="5" t="str">
        <f t="shared" si="1702"/>
        <v>Rp515970</v>
      </c>
      <c r="L1702" s="5" t="str">
        <f t="shared" si="3"/>
        <v>515970</v>
      </c>
    </row>
    <row r="1703">
      <c r="A1703" s="6" t="s">
        <v>2842</v>
      </c>
      <c r="B1703" s="7" t="str">
        <f>HYPERLINK("https://shopee.co.id/FABIL-Post-Acne-Lightening-Serum-with-Bidara-12-5ml-EXP-12-21-TANPA-UNIT-BOX--i.3990192.2650593489", "https://shopee.co.id/FABIL-Post-Acne-Lightening-Serum-with-Bidara-12-5ml-EXP-12-21-TANPA-UNIT-BOX--i.3990192.2650593489")</f>
        <v>https://shopee.co.id/FABIL-Post-Acne-Lightening-Serum-with-Bidara-12-5ml-EXP-12-21-TANPA-UNIT-BOX--i.3990192.2650593489</v>
      </c>
      <c r="C1703" s="6" t="s">
        <v>2579</v>
      </c>
      <c r="D1703" s="6" t="s">
        <v>2580</v>
      </c>
      <c r="E1703" s="6" t="s">
        <v>12</v>
      </c>
      <c r="F1703" s="6" t="s">
        <v>13</v>
      </c>
      <c r="G1703" s="6" t="s">
        <v>1085</v>
      </c>
      <c r="H1703" s="8" t="s">
        <v>2776</v>
      </c>
      <c r="I1703" s="9">
        <v>823200.0</v>
      </c>
      <c r="J1703" s="5" t="str">
        <f t="shared" ref="J1703:K1703" si="1703">SUBSTITUTE(H1703, ",", "")</f>
        <v>7</v>
      </c>
      <c r="K1703" s="5" t="str">
        <f t="shared" si="1703"/>
        <v>Rp823200</v>
      </c>
      <c r="L1703" s="5" t="str">
        <f t="shared" si="3"/>
        <v>823200</v>
      </c>
    </row>
    <row r="1704">
      <c r="A1704" s="6" t="s">
        <v>2843</v>
      </c>
      <c r="B1704" s="7" t="str">
        <f>HYPERLINK("https://shopee.co.id/MEDGLOW-CLINIC-Salicylic-Acid-Serum-Aesthetic-Skincare-Serum-Penghilang-Pori-Komedo-Acne-Jerawat-i.285885972.5349889939", "https://shopee.co.id/MEDGLOW-CLINIC-Salicylic-Acid-Serum-Aesthetic-Skincare-Serum-Penghilang-Pori-Komedo-Acne-Jerawat-i.285885972.5349889939")</f>
        <v>https://shopee.co.id/MEDGLOW-CLINIC-Salicylic-Acid-Serum-Aesthetic-Skincare-Serum-Penghilang-Pori-Komedo-Acne-Jerawat-i.285885972.5349889939</v>
      </c>
      <c r="C1704" s="6" t="s">
        <v>949</v>
      </c>
      <c r="D1704" s="6" t="s">
        <v>950</v>
      </c>
      <c r="E1704" s="6" t="s">
        <v>12</v>
      </c>
      <c r="F1704" s="6" t="s">
        <v>13</v>
      </c>
      <c r="G1704" s="6" t="s">
        <v>380</v>
      </c>
      <c r="H1704" s="8" t="s">
        <v>2776</v>
      </c>
      <c r="I1704" s="9">
        <v>455000.0</v>
      </c>
      <c r="J1704" s="5" t="str">
        <f t="shared" ref="J1704:K1704" si="1704">SUBSTITUTE(H1704, ",", "")</f>
        <v>7</v>
      </c>
      <c r="K1704" s="5" t="str">
        <f t="shared" si="1704"/>
        <v>Rp455000</v>
      </c>
      <c r="L1704" s="5" t="str">
        <f t="shared" si="3"/>
        <v>455000</v>
      </c>
    </row>
    <row r="1705">
      <c r="A1705" s="6" t="s">
        <v>2844</v>
      </c>
      <c r="B1705" s="7" t="str">
        <f>HYPERLINK("https://shopee.co.id/Vit-C-Whitening-Serum-Marwah-Skin-Care-i.357101711.4179524325", "https://shopee.co.id/Vit-C-Whitening-Serum-Marwah-Skin-Care-i.357101711.4179524325")</f>
        <v>https://shopee.co.id/Vit-C-Whitening-Serum-Marwah-Skin-Care-i.357101711.4179524325</v>
      </c>
      <c r="C1705" s="6" t="s">
        <v>2249</v>
      </c>
      <c r="D1705" s="6" t="s">
        <v>2250</v>
      </c>
      <c r="E1705" s="6" t="s">
        <v>12</v>
      </c>
      <c r="F1705" s="6" t="s">
        <v>13</v>
      </c>
      <c r="G1705" s="6" t="s">
        <v>370</v>
      </c>
      <c r="H1705" s="8" t="s">
        <v>2776</v>
      </c>
      <c r="I1705" s="9">
        <v>840200.0</v>
      </c>
      <c r="J1705" s="5" t="str">
        <f t="shared" ref="J1705:K1705" si="1705">SUBSTITUTE(H1705, ",", "")</f>
        <v>7</v>
      </c>
      <c r="K1705" s="5" t="str">
        <f t="shared" si="1705"/>
        <v>Rp840200</v>
      </c>
      <c r="L1705" s="5" t="str">
        <f t="shared" si="3"/>
        <v>840200</v>
      </c>
    </row>
    <row r="1706">
      <c r="A1706" s="6" t="s">
        <v>2435</v>
      </c>
      <c r="B1706" s="7" t="str">
        <f>HYPERLINK("https://shopee.co.id/Azarine-Aqua-Essence-Sun-Shield-Serum-SPF-50-PA-100ml-i.136011044.10807189765", "https://shopee.co.id/Azarine-Aqua-Essence-Sun-Shield-Serum-SPF-50-PA-100ml-i.136011044.10807189765")</f>
        <v>https://shopee.co.id/Azarine-Aqua-Essence-Sun-Shield-Serum-SPF-50-PA-100ml-i.136011044.10807189765</v>
      </c>
      <c r="C1706" s="6" t="s">
        <v>233</v>
      </c>
      <c r="D1706" s="6" t="s">
        <v>632</v>
      </c>
      <c r="E1706" s="6" t="s">
        <v>12</v>
      </c>
      <c r="F1706" s="6" t="s">
        <v>13</v>
      </c>
      <c r="G1706" s="6" t="s">
        <v>21</v>
      </c>
      <c r="H1706" s="8" t="s">
        <v>2776</v>
      </c>
      <c r="I1706" s="9">
        <v>355500.0</v>
      </c>
      <c r="J1706" s="5" t="str">
        <f t="shared" ref="J1706:K1706" si="1706">SUBSTITUTE(H1706, ",", "")</f>
        <v>7</v>
      </c>
      <c r="K1706" s="5" t="str">
        <f t="shared" si="1706"/>
        <v>Rp355500</v>
      </c>
      <c r="L1706" s="5" t="str">
        <f t="shared" si="3"/>
        <v>355500</v>
      </c>
    </row>
    <row r="1707">
      <c r="A1707" s="6" t="s">
        <v>2845</v>
      </c>
      <c r="B1707" s="7" t="str">
        <f>HYPERLINK("https://shopee.co.id/Natasha-by-dr-Fredi-Setyawan-Brightening-Antioxidant-Serum-i.40121814.2752518050", "https://shopee.co.id/Natasha-by-dr-Fredi-Setyawan-Brightening-Antioxidant-Serum-i.40121814.2752518050")</f>
        <v>https://shopee.co.id/Natasha-by-dr-Fredi-Setyawan-Brightening-Antioxidant-Serum-i.40121814.2752518050</v>
      </c>
      <c r="C1707" s="6" t="s">
        <v>1752</v>
      </c>
      <c r="D1707" s="6" t="s">
        <v>794</v>
      </c>
      <c r="E1707" s="6" t="s">
        <v>12</v>
      </c>
      <c r="F1707" s="6" t="s">
        <v>13</v>
      </c>
      <c r="G1707" s="6" t="s">
        <v>380</v>
      </c>
      <c r="H1707" s="8" t="s">
        <v>2776</v>
      </c>
      <c r="I1707" s="9">
        <v>613000.0</v>
      </c>
      <c r="J1707" s="5" t="str">
        <f t="shared" ref="J1707:K1707" si="1707">SUBSTITUTE(H1707, ",", "")</f>
        <v>7</v>
      </c>
      <c r="K1707" s="5" t="str">
        <f t="shared" si="1707"/>
        <v>Rp613000</v>
      </c>
      <c r="L1707" s="5" t="str">
        <f t="shared" si="3"/>
        <v>613000</v>
      </c>
    </row>
    <row r="1708">
      <c r="A1708" s="6" t="s">
        <v>2846</v>
      </c>
      <c r="B1708" s="7" t="str">
        <f>HYPERLINK("https://shopee.co.id/Npure-Face-Essence-Centella-Asiatica-Acne-Care-20ml-N-Pure-i.136011044.10813972622", "https://shopee.co.id/Npure-Face-Essence-Centella-Asiatica-Acne-Care-20ml-N-Pure-i.136011044.10813972622")</f>
        <v>https://shopee.co.id/Npure-Face-Essence-Centella-Asiatica-Acne-Care-20ml-N-Pure-i.136011044.10813972622</v>
      </c>
      <c r="C1708" s="6" t="s">
        <v>266</v>
      </c>
      <c r="D1708" s="6" t="s">
        <v>632</v>
      </c>
      <c r="E1708" s="6" t="s">
        <v>12</v>
      </c>
      <c r="F1708" s="6" t="s">
        <v>13</v>
      </c>
      <c r="G1708" s="6" t="s">
        <v>21</v>
      </c>
      <c r="H1708" s="8" t="s">
        <v>2776</v>
      </c>
      <c r="I1708" s="9">
        <v>472500.0</v>
      </c>
      <c r="J1708" s="5" t="str">
        <f t="shared" ref="J1708:K1708" si="1708">SUBSTITUTE(H1708, ",", "")</f>
        <v>7</v>
      </c>
      <c r="K1708" s="5" t="str">
        <f t="shared" si="1708"/>
        <v>Rp472500</v>
      </c>
      <c r="L1708" s="5" t="str">
        <f t="shared" si="3"/>
        <v>472500</v>
      </c>
    </row>
    <row r="1709">
      <c r="A1709" s="6" t="s">
        <v>2847</v>
      </c>
      <c r="B1709" s="7" t="str">
        <f>HYPERLINK("https://shopee.co.id/Hanasui-Serum-Whitening-Gold-20ml-i.277377659.7639677965", "https://shopee.co.id/Hanasui-Serum-Whitening-Gold-20ml-i.277377659.7639677965")</f>
        <v>https://shopee.co.id/Hanasui-Serum-Whitening-Gold-20ml-i.277377659.7639677965</v>
      </c>
      <c r="C1709" s="6" t="s">
        <v>784</v>
      </c>
      <c r="D1709" s="6" t="s">
        <v>2549</v>
      </c>
      <c r="E1709" s="6" t="s">
        <v>12</v>
      </c>
      <c r="F1709" s="6" t="s">
        <v>13</v>
      </c>
      <c r="G1709" s="6" t="s">
        <v>532</v>
      </c>
      <c r="H1709" s="8" t="s">
        <v>2776</v>
      </c>
      <c r="I1709" s="9">
        <v>386960.0</v>
      </c>
      <c r="J1709" s="5" t="str">
        <f t="shared" ref="J1709:K1709" si="1709">SUBSTITUTE(H1709, ",", "")</f>
        <v>7</v>
      </c>
      <c r="K1709" s="5" t="str">
        <f t="shared" si="1709"/>
        <v>Rp386960</v>
      </c>
      <c r="L1709" s="5" t="str">
        <f t="shared" si="3"/>
        <v>386960</v>
      </c>
    </row>
    <row r="1710">
      <c r="A1710" s="6" t="s">
        <v>2848</v>
      </c>
      <c r="B1710" s="7" t="str">
        <f>HYPERLINK("https://shopee.co.id/Holika-Holika-Prime-Youth-Black-Snail-Repair-Essence-i.18856010.838803932", "https://shopee.co.id/Holika-Holika-Prime-Youth-Black-Snail-Repair-Essence-i.18856010.838803932")</f>
        <v>https://shopee.co.id/Holika-Holika-Prime-Youth-Black-Snail-Repair-Essence-i.18856010.838803932</v>
      </c>
      <c r="C1710" s="6" t="s">
        <v>2265</v>
      </c>
      <c r="D1710" s="6" t="s">
        <v>2266</v>
      </c>
      <c r="E1710" s="6" t="s">
        <v>12</v>
      </c>
      <c r="F1710" s="6" t="s">
        <v>13</v>
      </c>
      <c r="G1710" s="6" t="s">
        <v>21</v>
      </c>
      <c r="H1710" s="8" t="s">
        <v>2776</v>
      </c>
      <c r="I1710" s="9">
        <v>3493000.0</v>
      </c>
      <c r="J1710" s="5" t="str">
        <f t="shared" ref="J1710:K1710" si="1710">SUBSTITUTE(H1710, ",", "")</f>
        <v>7</v>
      </c>
      <c r="K1710" s="5" t="str">
        <f t="shared" si="1710"/>
        <v>Rp3493000</v>
      </c>
      <c r="L1710" s="5" t="str">
        <f t="shared" si="3"/>
        <v>3493000</v>
      </c>
    </row>
    <row r="1711">
      <c r="A1711" s="6" t="s">
        <v>2849</v>
      </c>
      <c r="B1711" s="7" t="str">
        <f>HYPERLINK("https://shopee.co.id/Garnier-Light-Complete-Booster-Serum-15ml-Micellar-Water-Rose-400ml-Untuk-Kulit-Cerah-Glowing--i.62583853.7879242394", "https://shopee.co.id/Garnier-Light-Complete-Booster-Serum-15ml-Micellar-Water-Rose-400ml-Untuk-Kulit-Cerah-Glowing--i.62583853.7879242394")</f>
        <v>https://shopee.co.id/Garnier-Light-Complete-Booster-Serum-15ml-Micellar-Water-Rose-400ml-Untuk-Kulit-Cerah-Glowing--i.62583853.7879242394</v>
      </c>
      <c r="C1711" s="6" t="s">
        <v>74</v>
      </c>
      <c r="D1711" s="6" t="s">
        <v>75</v>
      </c>
      <c r="E1711" s="6" t="s">
        <v>12</v>
      </c>
      <c r="F1711" s="6" t="s">
        <v>13</v>
      </c>
      <c r="G1711" s="6" t="s">
        <v>61</v>
      </c>
      <c r="H1711" s="8" t="s">
        <v>2776</v>
      </c>
      <c r="I1711" s="9">
        <v>490000.0</v>
      </c>
      <c r="J1711" s="5" t="str">
        <f t="shared" ref="J1711:K1711" si="1711">SUBSTITUTE(H1711, ",", "")</f>
        <v>7</v>
      </c>
      <c r="K1711" s="5" t="str">
        <f t="shared" si="1711"/>
        <v>Rp490000</v>
      </c>
      <c r="L1711" s="5" t="str">
        <f t="shared" si="3"/>
        <v>490000</v>
      </c>
    </row>
    <row r="1712">
      <c r="A1712" s="6" t="s">
        <v>2850</v>
      </c>
      <c r="B1712" s="7" t="str">
        <f>HYPERLINK("https://shopee.co.id/MSBB-The-Aubree-Rose-Bloom-Petal-Essence-120ml-i.288588702.3579328303", "https://shopee.co.id/MSBB-The-Aubree-Rose-Bloom-Petal-Essence-120ml-i.288588702.3579328303")</f>
        <v>https://shopee.co.id/MSBB-The-Aubree-Rose-Bloom-Petal-Essence-120ml-i.288588702.3579328303</v>
      </c>
      <c r="C1712" s="6" t="s">
        <v>772</v>
      </c>
      <c r="D1712" s="6" t="s">
        <v>79</v>
      </c>
      <c r="E1712" s="6" t="s">
        <v>12</v>
      </c>
      <c r="F1712" s="6" t="s">
        <v>13</v>
      </c>
      <c r="G1712" s="6" t="s">
        <v>80</v>
      </c>
      <c r="H1712" s="8" t="s">
        <v>2776</v>
      </c>
      <c r="I1712" s="9">
        <v>560000.0</v>
      </c>
      <c r="J1712" s="5" t="str">
        <f t="shared" ref="J1712:K1712" si="1712">SUBSTITUTE(H1712, ",", "")</f>
        <v>7</v>
      </c>
      <c r="K1712" s="5" t="str">
        <f t="shared" si="1712"/>
        <v>Rp560000</v>
      </c>
      <c r="L1712" s="5" t="str">
        <f t="shared" si="3"/>
        <v>560000</v>
      </c>
    </row>
    <row r="1713">
      <c r="A1713" s="6" t="s">
        <v>2851</v>
      </c>
      <c r="B1713" s="7" t="str">
        <f>HYPERLINK("https://shopee.co.id/Bio-Renew-Deep-Cleanser-100-ml-Bio-Renew-Exfoliating-Gel-60-gr-Deep-Clean-Skin-Bundle-i.63822287.5032951608", "https://shopee.co.id/Bio-Renew-Deep-Cleanser-100-ml-Bio-Renew-Exfoliating-Gel-60-gr-Deep-Clean-Skin-Bundle-i.63822287.5032951608")</f>
        <v>https://shopee.co.id/Bio-Renew-Deep-Cleanser-100-ml-Bio-Renew-Exfoliating-Gel-60-gr-Deep-Clean-Skin-Bundle-i.63822287.5032951608</v>
      </c>
      <c r="C1713" s="6" t="s">
        <v>1254</v>
      </c>
      <c r="D1713" s="6" t="s">
        <v>835</v>
      </c>
      <c r="E1713" s="6" t="s">
        <v>12</v>
      </c>
      <c r="F1713" s="6" t="s">
        <v>13</v>
      </c>
      <c r="G1713" s="6" t="s">
        <v>61</v>
      </c>
      <c r="H1713" s="8" t="s">
        <v>2776</v>
      </c>
      <c r="I1713" s="9">
        <v>3834600.0</v>
      </c>
      <c r="J1713" s="5" t="str">
        <f t="shared" ref="J1713:K1713" si="1713">SUBSTITUTE(H1713, ",", "")</f>
        <v>7</v>
      </c>
      <c r="K1713" s="5" t="str">
        <f t="shared" si="1713"/>
        <v>Rp3834600</v>
      </c>
      <c r="L1713" s="5" t="str">
        <f t="shared" si="3"/>
        <v>3834600</v>
      </c>
    </row>
    <row r="1714">
      <c r="A1714" s="6" t="s">
        <v>2852</v>
      </c>
      <c r="B1714" s="7" t="str">
        <f>HYPERLINK("https://shopee.co.id/Ohmyskin-Essence-60ml-i.270965687.8025275174", "https://shopee.co.id/Ohmyskin-Essence-60ml-i.270965687.8025275174")</f>
        <v>https://shopee.co.id/Ohmyskin-Essence-60ml-i.270965687.8025275174</v>
      </c>
      <c r="C1714" s="6" t="s">
        <v>672</v>
      </c>
      <c r="D1714" s="6" t="s">
        <v>379</v>
      </c>
      <c r="E1714" s="6" t="s">
        <v>12</v>
      </c>
      <c r="F1714" s="6" t="s">
        <v>13</v>
      </c>
      <c r="G1714" s="6" t="s">
        <v>380</v>
      </c>
      <c r="H1714" s="8" t="s">
        <v>2776</v>
      </c>
      <c r="I1714" s="9">
        <v>1393000.0</v>
      </c>
      <c r="J1714" s="5" t="str">
        <f t="shared" ref="J1714:K1714" si="1714">SUBSTITUTE(H1714, ",", "")</f>
        <v>7</v>
      </c>
      <c r="K1714" s="5" t="str">
        <f t="shared" si="1714"/>
        <v>Rp1393000</v>
      </c>
      <c r="L1714" s="5" t="str">
        <f t="shared" si="3"/>
        <v>1393000</v>
      </c>
    </row>
    <row r="1715">
      <c r="A1715" s="6" t="s">
        <v>2853</v>
      </c>
      <c r="B1715" s="7" t="str">
        <f>HYPERLINK("https://shopee.co.id/ACNOC-All-Hybrid-Essence-30ml-FREE-Mini-Acneser-Spot-Gel-5G--i.97148691.2818551819", "https://shopee.co.id/ACNOC-All-Hybrid-Essence-30ml-FREE-Mini-Acneser-Spot-Gel-5G--i.97148691.2818551819")</f>
        <v>https://shopee.co.id/ACNOC-All-Hybrid-Essence-30ml-FREE-Mini-Acneser-Spot-Gel-5G--i.97148691.2818551819</v>
      </c>
      <c r="C1715" s="6" t="s">
        <v>2854</v>
      </c>
      <c r="D1715" s="6" t="s">
        <v>2855</v>
      </c>
      <c r="E1715" s="6" t="s">
        <v>12</v>
      </c>
      <c r="F1715" s="6" t="s">
        <v>13</v>
      </c>
      <c r="G1715" s="6" t="s">
        <v>85</v>
      </c>
      <c r="H1715" s="8" t="s">
        <v>2776</v>
      </c>
      <c r="I1715" s="9">
        <v>1488520.0</v>
      </c>
      <c r="J1715" s="5" t="str">
        <f t="shared" ref="J1715:K1715" si="1715">SUBSTITUTE(H1715, ",", "")</f>
        <v>7</v>
      </c>
      <c r="K1715" s="5" t="str">
        <f t="shared" si="1715"/>
        <v>Rp1488520</v>
      </c>
      <c r="L1715" s="5" t="str">
        <f t="shared" si="3"/>
        <v>1488520</v>
      </c>
    </row>
    <row r="1716">
      <c r="A1716" s="6" t="s">
        <v>2856</v>
      </c>
      <c r="B1716" s="7" t="str">
        <f>HYPERLINK("https://shopee.co.id/Daeng-Gi-Meo-Ri-Paket-Vitalizing-Shampoo-Serum-dan-Essence-i.69409544.4914517109", "https://shopee.co.id/Daeng-Gi-Meo-Ri-Paket-Vitalizing-Shampoo-Serum-dan-Essence-i.69409544.4914517109")</f>
        <v>https://shopee.co.id/Daeng-Gi-Meo-Ri-Paket-Vitalizing-Shampoo-Serum-dan-Essence-i.69409544.4914517109</v>
      </c>
      <c r="C1716" s="6" t="s">
        <v>2857</v>
      </c>
      <c r="D1716" s="6" t="s">
        <v>2314</v>
      </c>
      <c r="E1716" s="6" t="s">
        <v>12</v>
      </c>
      <c r="F1716" s="6" t="s">
        <v>13</v>
      </c>
      <c r="G1716" s="6" t="s">
        <v>98</v>
      </c>
      <c r="H1716" s="8" t="s">
        <v>2776</v>
      </c>
      <c r="I1716" s="9">
        <v>672000.0</v>
      </c>
      <c r="J1716" s="5" t="str">
        <f t="shared" ref="J1716:K1716" si="1716">SUBSTITUTE(H1716, ",", "")</f>
        <v>7</v>
      </c>
      <c r="K1716" s="5" t="str">
        <f t="shared" si="1716"/>
        <v>Rp672000</v>
      </c>
      <c r="L1716" s="5" t="str">
        <f t="shared" si="3"/>
        <v>672000</v>
      </c>
    </row>
    <row r="1717">
      <c r="A1717" s="6" t="s">
        <v>2858</v>
      </c>
      <c r="B1717" s="7" t="str">
        <f>HYPERLINK("https://shopee.co.id/Avoskin-Your-Skin-Bae-Mugwort-Series-30ml-100ml-i.50948181.2977319843", "https://shopee.co.id/Avoskin-Your-Skin-Bae-Mugwort-Series-30ml-100ml-i.50948181.2977319843")</f>
        <v>https://shopee.co.id/Avoskin-Your-Skin-Bae-Mugwort-Series-30ml-100ml-i.50948181.2977319843</v>
      </c>
      <c r="C1717" s="6" t="s">
        <v>83</v>
      </c>
      <c r="D1717" s="6" t="s">
        <v>1129</v>
      </c>
      <c r="E1717" s="6" t="s">
        <v>12</v>
      </c>
      <c r="F1717" s="6" t="s">
        <v>13</v>
      </c>
      <c r="G1717" s="6" t="s">
        <v>1130</v>
      </c>
      <c r="H1717" s="8" t="s">
        <v>2776</v>
      </c>
      <c r="I1717" s="9">
        <v>589050.0</v>
      </c>
      <c r="J1717" s="5" t="str">
        <f t="shared" ref="J1717:K1717" si="1717">SUBSTITUTE(H1717, ",", "")</f>
        <v>7</v>
      </c>
      <c r="K1717" s="5" t="str">
        <f t="shared" si="1717"/>
        <v>Rp589050</v>
      </c>
      <c r="L1717" s="5" t="str">
        <f t="shared" si="3"/>
        <v>589050</v>
      </c>
    </row>
    <row r="1718">
      <c r="A1718" s="6" t="s">
        <v>2859</v>
      </c>
      <c r="B1718" s="7" t="str">
        <f>HYPERLINK("https://shopee.co.id/MSBB-Purivera-Sea-Ceramide-Serum-Bakuchiol-2-Ceramide-3-Buckthorn-Anti-Aging-Skin-i.288588702.9972576744", "https://shopee.co.id/MSBB-Purivera-Sea-Ceramide-Serum-Bakuchiol-2-Ceramide-3-Buckthorn-Anti-Aging-Skin-i.288588702.9972576744")</f>
        <v>https://shopee.co.id/MSBB-Purivera-Sea-Ceramide-Serum-Bakuchiol-2-Ceramide-3-Buckthorn-Anti-Aging-Skin-i.288588702.9972576744</v>
      </c>
      <c r="C1718" s="6" t="s">
        <v>428</v>
      </c>
      <c r="D1718" s="6" t="s">
        <v>79</v>
      </c>
      <c r="E1718" s="6" t="s">
        <v>12</v>
      </c>
      <c r="F1718" s="6" t="s">
        <v>13</v>
      </c>
      <c r="G1718" s="6" t="s">
        <v>80</v>
      </c>
      <c r="H1718" s="8" t="s">
        <v>2776</v>
      </c>
      <c r="I1718" s="9">
        <v>190000.0</v>
      </c>
      <c r="J1718" s="5" t="str">
        <f t="shared" ref="J1718:K1718" si="1718">SUBSTITUTE(H1718, ",", "")</f>
        <v>7</v>
      </c>
      <c r="K1718" s="5" t="str">
        <f t="shared" si="1718"/>
        <v>Rp190000</v>
      </c>
      <c r="L1718" s="5" t="str">
        <f t="shared" si="3"/>
        <v>190000</v>
      </c>
    </row>
    <row r="1719">
      <c r="A1719" s="6" t="s">
        <v>2860</v>
      </c>
      <c r="B1719" s="7" t="str">
        <f>HYPERLINK("https://shopee.co.id/Iunik-Noni-Light-oil-Serum-50ml-NEW-i.825870.7615325901", "https://shopee.co.id/Iunik-Noni-Light-oil-Serum-50ml-NEW-i.825870.7615325901")</f>
        <v>https://shopee.co.id/Iunik-Noni-Light-oil-Serum-50ml-NEW-i.825870.7615325901</v>
      </c>
      <c r="C1719" s="6" t="s">
        <v>1658</v>
      </c>
      <c r="D1719" s="6" t="s">
        <v>1184</v>
      </c>
      <c r="E1719" s="6" t="s">
        <v>12</v>
      </c>
      <c r="F1719" s="6" t="s">
        <v>13</v>
      </c>
      <c r="G1719" s="6" t="s">
        <v>21</v>
      </c>
      <c r="H1719" s="8" t="s">
        <v>2776</v>
      </c>
      <c r="I1719" s="9">
        <v>69600.0</v>
      </c>
      <c r="J1719" s="5" t="str">
        <f t="shared" ref="J1719:K1719" si="1719">SUBSTITUTE(H1719, ",", "")</f>
        <v>7</v>
      </c>
      <c r="K1719" s="5" t="str">
        <f t="shared" si="1719"/>
        <v>Rp69600</v>
      </c>
      <c r="L1719" s="5" t="str">
        <f t="shared" si="3"/>
        <v>69600</v>
      </c>
    </row>
    <row r="1720">
      <c r="A1720" s="6" t="s">
        <v>2861</v>
      </c>
      <c r="B1720" s="7" t="str">
        <f>HYPERLINK("https://shopee.co.id/KF-Skin-Serum-Acne-i.298365554.5361166118", "https://shopee.co.id/KF-Skin-Serum-Acne-i.298365554.5361166118")</f>
        <v>https://shopee.co.id/KF-Skin-Serum-Acne-i.298365554.5361166118</v>
      </c>
      <c r="C1720" s="6" t="s">
        <v>1290</v>
      </c>
      <c r="D1720" s="6" t="s">
        <v>1291</v>
      </c>
      <c r="E1720" s="6" t="s">
        <v>12</v>
      </c>
      <c r="F1720" s="6" t="s">
        <v>13</v>
      </c>
      <c r="G1720" s="6" t="s">
        <v>1292</v>
      </c>
      <c r="H1720" s="8" t="s">
        <v>2776</v>
      </c>
      <c r="I1720" s="9">
        <v>245998.0</v>
      </c>
      <c r="J1720" s="5" t="str">
        <f t="shared" ref="J1720:K1720" si="1720">SUBSTITUTE(H1720, ",", "")</f>
        <v>7</v>
      </c>
      <c r="K1720" s="5" t="str">
        <f t="shared" si="1720"/>
        <v>Rp245998</v>
      </c>
      <c r="L1720" s="5" t="str">
        <f t="shared" si="3"/>
        <v>245998</v>
      </c>
    </row>
    <row r="1721">
      <c r="A1721" s="6" t="s">
        <v>2862</v>
      </c>
      <c r="B1721" s="7" t="str">
        <f>HYPERLINK("https://shopee.co.id/Nu-Aroma-Sweet-Almond-Oil-Natural-Serum-Wajah-Serum-Rambut--i.262175945.7955681247", "https://shopee.co.id/Nu-Aroma-Sweet-Almond-Oil-Natural-Serum-Wajah-Serum-Rambut--i.262175945.7955681247")</f>
        <v>https://shopee.co.id/Nu-Aroma-Sweet-Almond-Oil-Natural-Serum-Wajah-Serum-Rambut--i.262175945.7955681247</v>
      </c>
      <c r="C1721" s="6" t="s">
        <v>2863</v>
      </c>
      <c r="D1721" s="6" t="s">
        <v>2864</v>
      </c>
      <c r="E1721" s="6" t="s">
        <v>12</v>
      </c>
      <c r="F1721" s="6" t="s">
        <v>13</v>
      </c>
      <c r="G1721" s="6" t="s">
        <v>945</v>
      </c>
      <c r="H1721" s="8" t="s">
        <v>2865</v>
      </c>
      <c r="I1721" s="9">
        <v>954000.0</v>
      </c>
      <c r="J1721" s="5" t="str">
        <f t="shared" ref="J1721:K1721" si="1721">SUBSTITUTE(H1721, ",", "")</f>
        <v>6</v>
      </c>
      <c r="K1721" s="5" t="str">
        <f t="shared" si="1721"/>
        <v>Rp954000</v>
      </c>
      <c r="L1721" s="5" t="str">
        <f t="shared" si="3"/>
        <v>954000</v>
      </c>
    </row>
    <row r="1722">
      <c r="A1722" s="6" t="s">
        <v>2866</v>
      </c>
      <c r="B1722" s="7" t="str">
        <f>HYPERLINK("https://shopee.co.id/COSRX-Hyaluronic-Acid-Hydra-Power-Essence-100ml-i.270965687.5836898146", "https://shopee.co.id/COSRX-Hyaluronic-Acid-Hydra-Power-Essence-100ml-i.270965687.5836898146")</f>
        <v>https://shopee.co.id/COSRX-Hyaluronic-Acid-Hydra-Power-Essence-100ml-i.270965687.5836898146</v>
      </c>
      <c r="C1722" s="6" t="s">
        <v>305</v>
      </c>
      <c r="D1722" s="6" t="s">
        <v>379</v>
      </c>
      <c r="E1722" s="6" t="s">
        <v>12</v>
      </c>
      <c r="F1722" s="6" t="s">
        <v>13</v>
      </c>
      <c r="G1722" s="6" t="s">
        <v>380</v>
      </c>
      <c r="H1722" s="8" t="s">
        <v>2865</v>
      </c>
      <c r="I1722" s="9">
        <v>813500.0</v>
      </c>
      <c r="J1722" s="5" t="str">
        <f t="shared" ref="J1722:K1722" si="1722">SUBSTITUTE(H1722, ",", "")</f>
        <v>6</v>
      </c>
      <c r="K1722" s="5" t="str">
        <f t="shared" si="1722"/>
        <v>Rp813500</v>
      </c>
      <c r="L1722" s="5" t="str">
        <f t="shared" si="3"/>
        <v>813500</v>
      </c>
    </row>
    <row r="1723">
      <c r="A1723" s="6" t="s">
        <v>2867</v>
      </c>
      <c r="B1723" s="7" t="str">
        <f>HYPERLINK("https://shopee.co.id/Babor-HY-L-Reactivating-2021-i.131188140.9556552459", "https://shopee.co.id/Babor-HY-L-Reactivating-2021-i.131188140.9556552459")</f>
        <v>https://shopee.co.id/Babor-HY-L-Reactivating-2021-i.131188140.9556552459</v>
      </c>
      <c r="C1723" s="6" t="s">
        <v>1433</v>
      </c>
      <c r="D1723" s="6" t="s">
        <v>1434</v>
      </c>
      <c r="E1723" s="6" t="s">
        <v>12</v>
      </c>
      <c r="F1723" s="6" t="s">
        <v>13</v>
      </c>
      <c r="G1723" s="6" t="s">
        <v>61</v>
      </c>
      <c r="H1723" s="8" t="s">
        <v>2865</v>
      </c>
      <c r="I1723" s="9">
        <v>577700.0</v>
      </c>
      <c r="J1723" s="5" t="str">
        <f t="shared" ref="J1723:K1723" si="1723">SUBSTITUTE(H1723, ",", "")</f>
        <v>6</v>
      </c>
      <c r="K1723" s="5" t="str">
        <f t="shared" si="1723"/>
        <v>Rp577700</v>
      </c>
      <c r="L1723" s="5" t="str">
        <f t="shared" si="3"/>
        <v>577700</v>
      </c>
    </row>
    <row r="1724">
      <c r="A1724" s="6" t="s">
        <v>2868</v>
      </c>
      <c r="B1724" s="7" t="str">
        <f>HYPERLINK("https://shopee.co.id/WHITELAB-PEELING-SERUM-AHA-BHA-PHA-15-ML-i.50972887.4197937667", "https://shopee.co.id/WHITELAB-PEELING-SERUM-AHA-BHA-PHA-15-ML-i.50972887.4197937667")</f>
        <v>https://shopee.co.id/WHITELAB-PEELING-SERUM-AHA-BHA-PHA-15-ML-i.50972887.4197937667</v>
      </c>
      <c r="C1724" s="6" t="s">
        <v>59</v>
      </c>
      <c r="D1724" s="6" t="s">
        <v>552</v>
      </c>
      <c r="E1724" s="6" t="s">
        <v>12</v>
      </c>
      <c r="F1724" s="6" t="s">
        <v>13</v>
      </c>
      <c r="G1724" s="6" t="s">
        <v>61</v>
      </c>
      <c r="H1724" s="8" t="s">
        <v>2865</v>
      </c>
      <c r="I1724" s="9">
        <v>1392000.0</v>
      </c>
      <c r="J1724" s="5" t="str">
        <f t="shared" ref="J1724:K1724" si="1724">SUBSTITUTE(H1724, ",", "")</f>
        <v>6</v>
      </c>
      <c r="K1724" s="5" t="str">
        <f t="shared" si="1724"/>
        <v>Rp1392000</v>
      </c>
      <c r="L1724" s="5" t="str">
        <f t="shared" si="3"/>
        <v>1392000</v>
      </c>
    </row>
    <row r="1725">
      <c r="A1725" s="6" t="s">
        <v>2869</v>
      </c>
      <c r="B1725" s="7" t="str">
        <f>HYPERLINK("https://shopee.co.id/Solcare-Extra-White-Serum-i.266902345.5076260378", "https://shopee.co.id/Solcare-Extra-White-Serum-i.266902345.5076260378")</f>
        <v>https://shopee.co.id/Solcare-Extra-White-Serum-i.266902345.5076260378</v>
      </c>
      <c r="C1725" s="6" t="s">
        <v>910</v>
      </c>
      <c r="D1725" s="6" t="s">
        <v>911</v>
      </c>
      <c r="E1725" s="6" t="s">
        <v>12</v>
      </c>
      <c r="F1725" s="6" t="s">
        <v>13</v>
      </c>
      <c r="G1725" s="6" t="s">
        <v>241</v>
      </c>
      <c r="H1725" s="8" t="s">
        <v>2865</v>
      </c>
      <c r="I1725" s="9">
        <v>459250.0</v>
      </c>
      <c r="J1725" s="5" t="str">
        <f t="shared" ref="J1725:K1725" si="1725">SUBSTITUTE(H1725, ",", "")</f>
        <v>6</v>
      </c>
      <c r="K1725" s="5" t="str">
        <f t="shared" si="1725"/>
        <v>Rp459250</v>
      </c>
      <c r="L1725" s="5" t="str">
        <f t="shared" si="3"/>
        <v>459250</v>
      </c>
    </row>
    <row r="1726">
      <c r="A1726" s="6" t="s">
        <v>2870</v>
      </c>
      <c r="B1726" s="7" t="str">
        <f>HYPERLINK("https://shopee.co.id/Azalea-Amazing-Glass-Skin-Face-Serum-i.38631574.9434110831", "https://shopee.co.id/Azalea-Amazing-Glass-Skin-Face-Serum-i.38631574.9434110831")</f>
        <v>https://shopee.co.id/Azalea-Amazing-Glass-Skin-Face-Serum-i.38631574.9434110831</v>
      </c>
      <c r="C1726" s="6" t="s">
        <v>1463</v>
      </c>
      <c r="D1726" s="6" t="s">
        <v>1235</v>
      </c>
      <c r="E1726" s="6" t="s">
        <v>12</v>
      </c>
      <c r="F1726" s="6" t="s">
        <v>13</v>
      </c>
      <c r="G1726" s="6" t="s">
        <v>469</v>
      </c>
      <c r="H1726" s="8" t="s">
        <v>2865</v>
      </c>
      <c r="I1726" s="9">
        <v>5160000.0</v>
      </c>
      <c r="J1726" s="5" t="str">
        <f t="shared" ref="J1726:K1726" si="1726">SUBSTITUTE(H1726, ",", "")</f>
        <v>6</v>
      </c>
      <c r="K1726" s="5" t="str">
        <f t="shared" si="1726"/>
        <v>Rp5160000</v>
      </c>
      <c r="L1726" s="5" t="str">
        <f t="shared" si="3"/>
        <v>5160000</v>
      </c>
    </row>
    <row r="1727">
      <c r="A1727" s="6" t="s">
        <v>2871</v>
      </c>
      <c r="B1727" s="7" t="str">
        <f>HYPERLINK("https://shopee.co.id/Bioderma-Hydrabio-Serum-40-ml-i.36998337.1676941305", "https://shopee.co.id/Bioderma-Hydrabio-Serum-40-ml-i.36998337.1676941305")</f>
        <v>https://shopee.co.id/Bioderma-Hydrabio-Serum-40-ml-i.36998337.1676941305</v>
      </c>
      <c r="C1727" s="6" t="s">
        <v>1387</v>
      </c>
      <c r="D1727" s="6" t="s">
        <v>2449</v>
      </c>
      <c r="E1727" s="6" t="s">
        <v>12</v>
      </c>
      <c r="F1727" s="6" t="s">
        <v>13</v>
      </c>
      <c r="G1727" s="6" t="s">
        <v>98</v>
      </c>
      <c r="H1727" s="8" t="s">
        <v>2865</v>
      </c>
      <c r="I1727" s="9">
        <v>834000.0</v>
      </c>
      <c r="J1727" s="5" t="str">
        <f t="shared" ref="J1727:K1727" si="1727">SUBSTITUTE(H1727, ",", "")</f>
        <v>6</v>
      </c>
      <c r="K1727" s="5" t="str">
        <f t="shared" si="1727"/>
        <v>Rp834000</v>
      </c>
      <c r="L1727" s="5" t="str">
        <f t="shared" si="3"/>
        <v>834000</v>
      </c>
    </row>
    <row r="1728">
      <c r="A1728" s="6" t="s">
        <v>2872</v>
      </c>
      <c r="B1728" s="7" t="str">
        <f>HYPERLINK("https://shopee.co.id/Nusantics-Galactomyces-Treatment-Essence-i.156645962.2334107293", "https://shopee.co.id/Nusantics-Galactomyces-Treatment-Essence-i.156645962.2334107293")</f>
        <v>https://shopee.co.id/Nusantics-Galactomyces-Treatment-Essence-i.156645962.2334107293</v>
      </c>
      <c r="C1728" s="6" t="s">
        <v>2427</v>
      </c>
      <c r="D1728" s="6" t="s">
        <v>2428</v>
      </c>
      <c r="E1728" s="6" t="s">
        <v>12</v>
      </c>
      <c r="F1728" s="6" t="s">
        <v>13</v>
      </c>
      <c r="G1728" s="6" t="s">
        <v>98</v>
      </c>
      <c r="H1728" s="8" t="s">
        <v>2865</v>
      </c>
      <c r="I1728" s="9">
        <v>1800000.0</v>
      </c>
      <c r="J1728" s="5" t="str">
        <f t="shared" ref="J1728:K1728" si="1728">SUBSTITUTE(H1728, ",", "")</f>
        <v>6</v>
      </c>
      <c r="K1728" s="5" t="str">
        <f t="shared" si="1728"/>
        <v>Rp1800000</v>
      </c>
      <c r="L1728" s="5" t="str">
        <f t="shared" si="3"/>
        <v>1800000</v>
      </c>
    </row>
    <row r="1729">
      <c r="A1729" s="6" t="s">
        <v>2873</v>
      </c>
      <c r="B1729" s="7" t="str">
        <f>HYPERLINK("https://shopee.co.id/Holika-Holika-One-Solution-Super-Energy-Ampoule-i.18856010.690896601", "https://shopee.co.id/Holika-Holika-One-Solution-Super-Energy-Ampoule-i.18856010.690896601")</f>
        <v>https://shopee.co.id/Holika-Holika-One-Solution-Super-Energy-Ampoule-i.18856010.690896601</v>
      </c>
      <c r="C1729" s="6" t="s">
        <v>2265</v>
      </c>
      <c r="D1729" s="6" t="s">
        <v>2266</v>
      </c>
      <c r="E1729" s="6" t="s">
        <v>12</v>
      </c>
      <c r="F1729" s="6" t="s">
        <v>13</v>
      </c>
      <c r="G1729" s="6" t="s">
        <v>21</v>
      </c>
      <c r="H1729" s="8" t="s">
        <v>2865</v>
      </c>
      <c r="I1729" s="9">
        <v>315000.0</v>
      </c>
      <c r="J1729" s="5" t="str">
        <f t="shared" ref="J1729:K1729" si="1729">SUBSTITUTE(H1729, ",", "")</f>
        <v>6</v>
      </c>
      <c r="K1729" s="5" t="str">
        <f t="shared" si="1729"/>
        <v>Rp315000</v>
      </c>
      <c r="L1729" s="5" t="str">
        <f t="shared" si="3"/>
        <v>315000</v>
      </c>
    </row>
    <row r="1730">
      <c r="A1730" s="6" t="s">
        <v>2874</v>
      </c>
      <c r="B1730" s="7" t="str">
        <f>HYPERLINK("https://shopee.co.id/Wardah-Crystallure-Booster-Essence-30Ml-i.186214521.6025661312", "https://shopee.co.id/Wardah-Crystallure-Booster-Essence-30Ml-i.186214521.6025661312")</f>
        <v>https://shopee.co.id/Wardah-Crystallure-Booster-Essence-30Ml-i.186214521.6025661312</v>
      </c>
      <c r="C1730" s="6" t="s">
        <v>169</v>
      </c>
      <c r="D1730" s="6" t="s">
        <v>2293</v>
      </c>
      <c r="E1730" s="6" t="s">
        <v>12</v>
      </c>
      <c r="F1730" s="6" t="s">
        <v>13</v>
      </c>
      <c r="G1730" s="6" t="s">
        <v>61</v>
      </c>
      <c r="H1730" s="8" t="s">
        <v>2865</v>
      </c>
      <c r="I1730" s="9">
        <v>232300.0</v>
      </c>
      <c r="J1730" s="5" t="str">
        <f t="shared" ref="J1730:K1730" si="1730">SUBSTITUTE(H1730, ",", "")</f>
        <v>6</v>
      </c>
      <c r="K1730" s="5" t="str">
        <f t="shared" si="1730"/>
        <v>Rp232300</v>
      </c>
      <c r="L1730" s="5" t="str">
        <f t="shared" si="3"/>
        <v>232300</v>
      </c>
    </row>
    <row r="1731">
      <c r="A1731" s="6" t="s">
        <v>2875</v>
      </c>
      <c r="B1731" s="7" t="str">
        <f>HYPERLINK("https://shopee.co.id/Olay-White-Radiance-Cellucent-White-Essence-Serum-30-ml-i.36998337.2932375019", "https://shopee.co.id/Olay-White-Radiance-Cellucent-White-Essence-Serum-30-ml-i.36998337.2932375019")</f>
        <v>https://shopee.co.id/Olay-White-Radiance-Cellucent-White-Essence-Serum-30-ml-i.36998337.2932375019</v>
      </c>
      <c r="C1731" s="6" t="s">
        <v>317</v>
      </c>
      <c r="D1731" s="6" t="s">
        <v>2449</v>
      </c>
      <c r="E1731" s="6" t="s">
        <v>12</v>
      </c>
      <c r="F1731" s="6" t="s">
        <v>13</v>
      </c>
      <c r="G1731" s="6" t="s">
        <v>98</v>
      </c>
      <c r="H1731" s="8" t="s">
        <v>2865</v>
      </c>
      <c r="I1731" s="9">
        <v>990000.0</v>
      </c>
      <c r="J1731" s="5" t="str">
        <f t="shared" ref="J1731:K1731" si="1731">SUBSTITUTE(H1731, ",", "")</f>
        <v>6</v>
      </c>
      <c r="K1731" s="5" t="str">
        <f t="shared" si="1731"/>
        <v>Rp990000</v>
      </c>
      <c r="L1731" s="5" t="str">
        <f t="shared" si="3"/>
        <v>990000</v>
      </c>
    </row>
    <row r="1732">
      <c r="A1732" s="6" t="s">
        <v>2876</v>
      </c>
      <c r="B1732" s="7" t="str">
        <f>HYPERLINK("https://shopee.co.id/Hiqween-10-000pm-Advanced-Serum-dan-Hydraglow-Shimmering-Booster-i.481417149.9682537577", "https://shopee.co.id/Hiqween-10-000pm-Advanced-Serum-dan-Hydraglow-Shimmering-Booster-i.481417149.9682537577")</f>
        <v>https://shopee.co.id/Hiqween-10-000pm-Advanced-Serum-dan-Hydraglow-Shimmering-Booster-i.481417149.9682537577</v>
      </c>
      <c r="C1732" s="6" t="s">
        <v>2270</v>
      </c>
      <c r="D1732" s="6" t="s">
        <v>2271</v>
      </c>
      <c r="E1732" s="6" t="s">
        <v>12</v>
      </c>
      <c r="F1732" s="6" t="s">
        <v>13</v>
      </c>
      <c r="G1732" s="6" t="s">
        <v>350</v>
      </c>
      <c r="H1732" s="8" t="s">
        <v>2865</v>
      </c>
      <c r="I1732" s="9">
        <v>1540000.0</v>
      </c>
      <c r="J1732" s="5" t="str">
        <f t="shared" ref="J1732:K1732" si="1732">SUBSTITUTE(H1732, ",", "")</f>
        <v>6</v>
      </c>
      <c r="K1732" s="5" t="str">
        <f t="shared" si="1732"/>
        <v>Rp1540000</v>
      </c>
      <c r="L1732" s="5" t="str">
        <f t="shared" si="3"/>
        <v>1540000</v>
      </c>
    </row>
    <row r="1733">
      <c r="A1733" s="6" t="s">
        <v>2877</v>
      </c>
      <c r="B1733" s="7" t="str">
        <f>HYPERLINK("https://shopee.co.id/MIRACULOUS-DNA-SALMON--i.231467354.9865400748", "https://shopee.co.id/MIRACULOUS-DNA-SALMON--i.231467354.9865400748")</f>
        <v>https://shopee.co.id/MIRACULOUS-DNA-SALMON--i.231467354.9865400748</v>
      </c>
      <c r="C1733" s="6" t="s">
        <v>2878</v>
      </c>
      <c r="D1733" s="6" t="s">
        <v>2879</v>
      </c>
      <c r="E1733" s="6" t="s">
        <v>12</v>
      </c>
      <c r="F1733" s="6" t="s">
        <v>13</v>
      </c>
      <c r="G1733" s="6" t="s">
        <v>532</v>
      </c>
      <c r="H1733" s="8" t="s">
        <v>2865</v>
      </c>
      <c r="I1733" s="9">
        <v>566200.0</v>
      </c>
      <c r="J1733" s="5" t="str">
        <f t="shared" ref="J1733:K1733" si="1733">SUBSTITUTE(H1733, ",", "")</f>
        <v>6</v>
      </c>
      <c r="K1733" s="5" t="str">
        <f t="shared" si="1733"/>
        <v>Rp566200</v>
      </c>
      <c r="L1733" s="5" t="str">
        <f t="shared" si="3"/>
        <v>566200</v>
      </c>
    </row>
    <row r="1734">
      <c r="A1734" s="6" t="s">
        <v>2880</v>
      </c>
      <c r="B1734" s="7" t="str">
        <f>HYPERLINK("https://shopee.co.id/Somethinc-Salmon-DNA-Marine-Collagen-Elixir-20ml-i.136011044.3048908282", "https://shopee.co.id/Somethinc-Salmon-DNA-Marine-Collagen-Elixir-20ml-i.136011044.3048908282")</f>
        <v>https://shopee.co.id/Somethinc-Salmon-DNA-Marine-Collagen-Elixir-20ml-i.136011044.3048908282</v>
      </c>
      <c r="C1734" s="6" t="s">
        <v>45</v>
      </c>
      <c r="D1734" s="6" t="s">
        <v>632</v>
      </c>
      <c r="E1734" s="6" t="s">
        <v>12</v>
      </c>
      <c r="F1734" s="6" t="s">
        <v>13</v>
      </c>
      <c r="G1734" s="6" t="s">
        <v>21</v>
      </c>
      <c r="H1734" s="8" t="s">
        <v>2865</v>
      </c>
      <c r="I1734" s="9">
        <v>575720.0</v>
      </c>
      <c r="J1734" s="5" t="str">
        <f t="shared" ref="J1734:K1734" si="1734">SUBSTITUTE(H1734, ",", "")</f>
        <v>6</v>
      </c>
      <c r="K1734" s="5" t="str">
        <f t="shared" si="1734"/>
        <v>Rp575720</v>
      </c>
      <c r="L1734" s="5" t="str">
        <f t="shared" si="3"/>
        <v>575720</v>
      </c>
    </row>
    <row r="1735">
      <c r="A1735" s="6" t="s">
        <v>2881</v>
      </c>
      <c r="B1735" s="7" t="str">
        <f>HYPERLINK("https://shopee.co.id/Azarine-Miraclear-Herbal-Peeling-Serum-20ml-i.10689.4451040366", "https://shopee.co.id/Azarine-Miraclear-Herbal-Peeling-Serum-20ml-i.10689.4451040366")</f>
        <v>https://shopee.co.id/Azarine-Miraclear-Herbal-Peeling-Serum-20ml-i.10689.4451040366</v>
      </c>
      <c r="C1735" s="6" t="s">
        <v>233</v>
      </c>
      <c r="D1735" s="6" t="s">
        <v>745</v>
      </c>
      <c r="E1735" s="6" t="s">
        <v>12</v>
      </c>
      <c r="F1735" s="6" t="s">
        <v>13</v>
      </c>
      <c r="G1735" s="6" t="s">
        <v>61</v>
      </c>
      <c r="H1735" s="8" t="s">
        <v>2865</v>
      </c>
      <c r="I1735" s="9">
        <v>426600.0</v>
      </c>
      <c r="J1735" s="5" t="str">
        <f t="shared" ref="J1735:K1735" si="1735">SUBSTITUTE(H1735, ",", "")</f>
        <v>6</v>
      </c>
      <c r="K1735" s="5" t="str">
        <f t="shared" si="1735"/>
        <v>Rp426600</v>
      </c>
      <c r="L1735" s="5" t="str">
        <f t="shared" si="3"/>
        <v>426600</v>
      </c>
    </row>
    <row r="1736">
      <c r="A1736" s="6" t="s">
        <v>2882</v>
      </c>
      <c r="B1736" s="7" t="str">
        <f>HYPERLINK("https://shopee.co.id/Lacoco-5-Bakuchiol-Essence-30ml-i.136011044.11228993934", "https://shopee.co.id/Lacoco-5-Bakuchiol-Essence-30ml-i.136011044.11228993934")</f>
        <v>https://shopee.co.id/Lacoco-5-Bakuchiol-Essence-30ml-i.136011044.11228993934</v>
      </c>
      <c r="C1736" s="6" t="s">
        <v>501</v>
      </c>
      <c r="D1736" s="6" t="s">
        <v>632</v>
      </c>
      <c r="E1736" s="6" t="s">
        <v>12</v>
      </c>
      <c r="F1736" s="6" t="s">
        <v>13</v>
      </c>
      <c r="G1736" s="6" t="s">
        <v>21</v>
      </c>
      <c r="H1736" s="8" t="s">
        <v>2865</v>
      </c>
      <c r="I1736" s="9">
        <v>2838000.0</v>
      </c>
      <c r="J1736" s="5" t="str">
        <f t="shared" ref="J1736:K1736" si="1736">SUBSTITUTE(H1736, ",", "")</f>
        <v>6</v>
      </c>
      <c r="K1736" s="5" t="str">
        <f t="shared" si="1736"/>
        <v>Rp2838000</v>
      </c>
      <c r="L1736" s="5" t="str">
        <f t="shared" si="3"/>
        <v>2838000</v>
      </c>
    </row>
    <row r="1737">
      <c r="A1737" s="6" t="s">
        <v>2883</v>
      </c>
      <c r="B1737" s="7" t="str">
        <f>HYPERLINK("https://shopee.co.id/I-m-From-Honey-Serum-Edit-by-Sociolla-i.224957239.9769874057", "https://shopee.co.id/I-m-From-Honey-Serum-Edit-by-Sociolla-i.224957239.9769874057")</f>
        <v>https://shopee.co.id/I-m-From-Honey-Serum-Edit-by-Sociolla-i.224957239.9769874057</v>
      </c>
      <c r="C1737" s="6" t="s">
        <v>1544</v>
      </c>
      <c r="D1737" s="6" t="s">
        <v>492</v>
      </c>
      <c r="E1737" s="6" t="s">
        <v>12</v>
      </c>
      <c r="F1737" s="6" t="s">
        <v>13</v>
      </c>
      <c r="G1737" s="6" t="s">
        <v>21</v>
      </c>
      <c r="H1737" s="8" t="s">
        <v>2865</v>
      </c>
      <c r="I1737" s="9">
        <v>1002000.0</v>
      </c>
      <c r="J1737" s="5" t="str">
        <f t="shared" ref="J1737:K1737" si="1737">SUBSTITUTE(H1737, ",", "")</f>
        <v>6</v>
      </c>
      <c r="K1737" s="5" t="str">
        <f t="shared" si="1737"/>
        <v>Rp1002000</v>
      </c>
      <c r="L1737" s="5" t="str">
        <f t="shared" si="3"/>
        <v>1002000</v>
      </c>
    </row>
    <row r="1738">
      <c r="A1738" s="6" t="s">
        <v>2884</v>
      </c>
      <c r="B1738" s="7" t="str">
        <f>HYPERLINK("https://shopee.co.id/I-Face-Vitamin-Serum-C-Vitamin-wajah-Skin-Care-Pemutih-wajah-i.114789399.1878642157", "https://shopee.co.id/I-Face-Vitamin-Serum-C-Vitamin-wajah-Skin-Care-Pemutih-wajah-i.114789399.1878642157")</f>
        <v>https://shopee.co.id/I-Face-Vitamin-Serum-C-Vitamin-wajah-Skin-Care-Pemutih-wajah-i.114789399.1878642157</v>
      </c>
      <c r="C1738" s="6" t="s">
        <v>1116</v>
      </c>
      <c r="D1738" s="6" t="s">
        <v>2531</v>
      </c>
      <c r="E1738" s="6" t="s">
        <v>12</v>
      </c>
      <c r="F1738" s="6" t="s">
        <v>13</v>
      </c>
      <c r="G1738" s="6" t="s">
        <v>36</v>
      </c>
      <c r="H1738" s="8" t="s">
        <v>2865</v>
      </c>
      <c r="I1738" s="9">
        <v>846000.0</v>
      </c>
      <c r="J1738" s="5" t="str">
        <f t="shared" ref="J1738:K1738" si="1738">SUBSTITUTE(H1738, ",", "")</f>
        <v>6</v>
      </c>
      <c r="K1738" s="5" t="str">
        <f t="shared" si="1738"/>
        <v>Rp846000</v>
      </c>
      <c r="L1738" s="5" t="str">
        <f t="shared" si="3"/>
        <v>846000</v>
      </c>
    </row>
    <row r="1739">
      <c r="A1739" s="6" t="s">
        <v>2885</v>
      </c>
      <c r="B1739" s="7" t="str">
        <f>HYPERLINK("https://shopee.co.id/Fresh-Herb-Origin-Serum-Mask-Pack-3pcs-i.238604292.6380344549", "https://shopee.co.id/Fresh-Herb-Origin-Serum-Mask-Pack-3pcs-i.238604292.6380344549")</f>
        <v>https://shopee.co.id/Fresh-Herb-Origin-Serum-Mask-Pack-3pcs-i.238604292.6380344549</v>
      </c>
      <c r="C1739" s="6" t="s">
        <v>344</v>
      </c>
      <c r="D1739" s="6" t="s">
        <v>918</v>
      </c>
      <c r="E1739" s="6" t="s">
        <v>12</v>
      </c>
      <c r="F1739" s="6" t="s">
        <v>13</v>
      </c>
      <c r="G1739" s="6" t="s">
        <v>80</v>
      </c>
      <c r="H1739" s="8" t="s">
        <v>2865</v>
      </c>
      <c r="I1739" s="9">
        <v>627000.0</v>
      </c>
      <c r="J1739" s="5" t="str">
        <f t="shared" ref="J1739:K1739" si="1739">SUBSTITUTE(H1739, ",", "")</f>
        <v>6</v>
      </c>
      <c r="K1739" s="5" t="str">
        <f t="shared" si="1739"/>
        <v>Rp627000</v>
      </c>
      <c r="L1739" s="5" t="str">
        <f t="shared" si="3"/>
        <v>627000</v>
      </c>
    </row>
    <row r="1740">
      <c r="A1740" s="6" t="s">
        <v>2886</v>
      </c>
      <c r="B1740" s="7" t="str">
        <f>HYPERLINK("https://shopee.co.id/Best-Serum-Anti-Aging-Mireya-Retinol-Biostine-Anti-Aging-Boost-Serum-Mireya-Glow-C-Youth-Boost-i.101578297.9464456313", "https://shopee.co.id/Best-Serum-Anti-Aging-Mireya-Retinol-Biostine-Anti-Aging-Boost-Serum-Mireya-Glow-C-Youth-Boost-i.101578297.9464456313")</f>
        <v>https://shopee.co.id/Best-Serum-Anti-Aging-Mireya-Retinol-Biostine-Anti-Aging-Boost-Serum-Mireya-Glow-C-Youth-Boost-i.101578297.9464456313</v>
      </c>
      <c r="C1740" s="6" t="s">
        <v>2430</v>
      </c>
      <c r="D1740" s="6" t="s">
        <v>2431</v>
      </c>
      <c r="E1740" s="6" t="s">
        <v>12</v>
      </c>
      <c r="F1740" s="6" t="s">
        <v>13</v>
      </c>
      <c r="G1740" s="6" t="s">
        <v>21</v>
      </c>
      <c r="H1740" s="8" t="s">
        <v>2865</v>
      </c>
      <c r="I1740" s="9">
        <v>1535490.0</v>
      </c>
      <c r="J1740" s="5" t="str">
        <f t="shared" ref="J1740:K1740" si="1740">SUBSTITUTE(H1740, ",", "")</f>
        <v>6</v>
      </c>
      <c r="K1740" s="5" t="str">
        <f t="shared" si="1740"/>
        <v>Rp1535490</v>
      </c>
      <c r="L1740" s="5" t="str">
        <f t="shared" si="3"/>
        <v>1535490</v>
      </c>
    </row>
    <row r="1741">
      <c r="A1741" s="6" t="s">
        <v>2834</v>
      </c>
      <c r="B1741" s="7" t="str">
        <f>HYPERLINK("https://shopee.co.id/THE-LAB-BY-BLANC-DOUX-Oligo-Hyaluronic-Acid-Boosting-Ampoule-30ml-i.240712269.8820951825", "https://shopee.co.id/THE-LAB-BY-BLANC-DOUX-Oligo-Hyaluronic-Acid-Boosting-Ampoule-30ml-i.240712269.8820951825")</f>
        <v>https://shopee.co.id/THE-LAB-BY-BLANC-DOUX-Oligo-Hyaluronic-Acid-Boosting-Ampoule-30ml-i.240712269.8820951825</v>
      </c>
      <c r="C1741" s="6" t="s">
        <v>2835</v>
      </c>
      <c r="D1741" s="6" t="s">
        <v>762</v>
      </c>
      <c r="E1741" s="6" t="s">
        <v>12</v>
      </c>
      <c r="F1741" s="6" t="s">
        <v>13</v>
      </c>
      <c r="G1741" s="6" t="s">
        <v>98</v>
      </c>
      <c r="H1741" s="8" t="s">
        <v>2865</v>
      </c>
      <c r="I1741" s="9">
        <v>1215000.0</v>
      </c>
      <c r="J1741" s="5" t="str">
        <f t="shared" ref="J1741:K1741" si="1741">SUBSTITUTE(H1741, ",", "")</f>
        <v>6</v>
      </c>
      <c r="K1741" s="5" t="str">
        <f t="shared" si="1741"/>
        <v>Rp1215000</v>
      </c>
      <c r="L1741" s="5" t="str">
        <f t="shared" si="3"/>
        <v>1215000</v>
      </c>
    </row>
    <row r="1742">
      <c r="A1742" s="6" t="s">
        <v>2887</v>
      </c>
      <c r="B1742" s="7" t="str">
        <f>HYPERLINK("https://shopee.co.id/Beautybarme-Somethinc-BAKUCHIOL-Skinpair-Oil-Serum-SOMETHINC-GLOW-MAKER-r-i.28781862.6053571095", "https://shopee.co.id/Beautybarme-Somethinc-BAKUCHIOL-Skinpair-Oil-Serum-SOMETHINC-GLOW-MAKER-r-i.28781862.6053571095")</f>
        <v>https://shopee.co.id/Beautybarme-Somethinc-BAKUCHIOL-Skinpair-Oil-Serum-SOMETHINC-GLOW-MAKER-r-i.28781862.6053571095</v>
      </c>
      <c r="C1742" s="6" t="s">
        <v>45</v>
      </c>
      <c r="D1742" s="6" t="s">
        <v>1189</v>
      </c>
      <c r="E1742" s="6" t="s">
        <v>12</v>
      </c>
      <c r="F1742" s="6" t="s">
        <v>13</v>
      </c>
      <c r="G1742" s="6" t="s">
        <v>1190</v>
      </c>
      <c r="H1742" s="8" t="s">
        <v>2865</v>
      </c>
      <c r="I1742" s="9">
        <v>2220000.0</v>
      </c>
      <c r="J1742" s="5" t="str">
        <f t="shared" ref="J1742:K1742" si="1742">SUBSTITUTE(H1742, ",", "")</f>
        <v>6</v>
      </c>
      <c r="K1742" s="5" t="str">
        <f t="shared" si="1742"/>
        <v>Rp2220000</v>
      </c>
      <c r="L1742" s="5" t="str">
        <f t="shared" si="3"/>
        <v>2220000</v>
      </c>
    </row>
    <row r="1743">
      <c r="A1743" s="6" t="s">
        <v>2888</v>
      </c>
      <c r="B1743" s="7" t="str">
        <f>HYPERLINK("https://shopee.co.id/Humphrey-Mugwort-Anti-Acne-Serum-i.83349.8965049268", "https://shopee.co.id/Humphrey-Mugwort-Anti-Acne-Serum-i.83349.8965049268")</f>
        <v>https://shopee.co.id/Humphrey-Mugwort-Anti-Acne-Serum-i.83349.8965049268</v>
      </c>
      <c r="C1743" s="6" t="s">
        <v>1832</v>
      </c>
      <c r="D1743" s="6" t="s">
        <v>1833</v>
      </c>
      <c r="E1743" s="6" t="s">
        <v>12</v>
      </c>
      <c r="F1743" s="6" t="s">
        <v>13</v>
      </c>
      <c r="G1743" s="6" t="s">
        <v>21</v>
      </c>
      <c r="H1743" s="8" t="s">
        <v>2865</v>
      </c>
      <c r="I1743" s="9">
        <v>714000.0</v>
      </c>
      <c r="J1743" s="5" t="str">
        <f t="shared" ref="J1743:K1743" si="1743">SUBSTITUTE(H1743, ",", "")</f>
        <v>6</v>
      </c>
      <c r="K1743" s="5" t="str">
        <f t="shared" si="1743"/>
        <v>Rp714000</v>
      </c>
      <c r="L1743" s="5" t="str">
        <f t="shared" si="3"/>
        <v>714000</v>
      </c>
    </row>
    <row r="1744">
      <c r="A1744" s="6" t="s">
        <v>2889</v>
      </c>
      <c r="B1744" s="7" t="str">
        <f>HYPERLINK("https://shopee.co.id/Scarlett-Whitening-Brightly-to-Glow-Mini-Series-5mlx2-i.136011044.8886876427", "https://shopee.co.id/Scarlett-Whitening-Brightly-to-Glow-Mini-Series-5mlx2-i.136011044.8886876427")</f>
        <v>https://shopee.co.id/Scarlett-Whitening-Brightly-to-Glow-Mini-Series-5mlx2-i.136011044.8886876427</v>
      </c>
      <c r="C1744" s="6" t="s">
        <v>19</v>
      </c>
      <c r="D1744" s="6" t="s">
        <v>632</v>
      </c>
      <c r="E1744" s="6" t="s">
        <v>12</v>
      </c>
      <c r="F1744" s="6" t="s">
        <v>13</v>
      </c>
      <c r="G1744" s="6" t="s">
        <v>21</v>
      </c>
      <c r="H1744" s="8" t="s">
        <v>2865</v>
      </c>
      <c r="I1744" s="9">
        <v>244300.0</v>
      </c>
      <c r="J1744" s="5" t="str">
        <f t="shared" ref="J1744:K1744" si="1744">SUBSTITUTE(H1744, ",", "")</f>
        <v>6</v>
      </c>
      <c r="K1744" s="5" t="str">
        <f t="shared" si="1744"/>
        <v>Rp244300</v>
      </c>
      <c r="L1744" s="5" t="str">
        <f t="shared" si="3"/>
        <v>244300</v>
      </c>
    </row>
    <row r="1745">
      <c r="A1745" s="6" t="s">
        <v>2890</v>
      </c>
      <c r="B1745" s="7" t="str">
        <f>HYPERLINK("https://shopee.co.id/MSBB-Dear-Me-Beauty-Hyaluronic-Acid-Pomegranate-Extract-Face-Serum-12ml-i.288588702.10006398335", "https://shopee.co.id/MSBB-Dear-Me-Beauty-Hyaluronic-Acid-Pomegranate-Extract-Face-Serum-12ml-i.288588702.10006398335")</f>
        <v>https://shopee.co.id/MSBB-Dear-Me-Beauty-Hyaluronic-Acid-Pomegranate-Extract-Face-Serum-12ml-i.288588702.10006398335</v>
      </c>
      <c r="C1745" s="6" t="s">
        <v>78</v>
      </c>
      <c r="D1745" s="6" t="s">
        <v>79</v>
      </c>
      <c r="E1745" s="6" t="s">
        <v>12</v>
      </c>
      <c r="F1745" s="6" t="s">
        <v>13</v>
      </c>
      <c r="G1745" s="6" t="s">
        <v>80</v>
      </c>
      <c r="H1745" s="8" t="s">
        <v>2865</v>
      </c>
      <c r="I1745" s="9">
        <v>2394000.0</v>
      </c>
      <c r="J1745" s="5" t="str">
        <f t="shared" ref="J1745:K1745" si="1745">SUBSTITUTE(H1745, ",", "")</f>
        <v>6</v>
      </c>
      <c r="K1745" s="5" t="str">
        <f t="shared" si="1745"/>
        <v>Rp2394000</v>
      </c>
      <c r="L1745" s="5" t="str">
        <f t="shared" si="3"/>
        <v>2394000</v>
      </c>
    </row>
    <row r="1746">
      <c r="A1746" s="6" t="s">
        <v>2742</v>
      </c>
      <c r="B1746" s="7" t="str">
        <f>HYPERLINK("https://shopee.co.id/Azarine-Refreshing-Essence-Mist-X-Rachel-Goddard-85-ml-i.65323877.8279238758", "https://shopee.co.id/Azarine-Refreshing-Essence-Mist-X-Rachel-Goddard-85-ml-i.65323877.8279238758")</f>
        <v>https://shopee.co.id/Azarine-Refreshing-Essence-Mist-X-Rachel-Goddard-85-ml-i.65323877.8279238758</v>
      </c>
      <c r="C1746" s="6" t="s">
        <v>233</v>
      </c>
      <c r="D1746" s="6" t="s">
        <v>1600</v>
      </c>
      <c r="E1746" s="6" t="s">
        <v>12</v>
      </c>
      <c r="F1746" s="6" t="s">
        <v>13</v>
      </c>
      <c r="G1746" s="6" t="s">
        <v>296</v>
      </c>
      <c r="H1746" s="8" t="s">
        <v>2865</v>
      </c>
      <c r="I1746" s="9">
        <v>534000.0</v>
      </c>
      <c r="J1746" s="5" t="str">
        <f t="shared" ref="J1746:K1746" si="1746">SUBSTITUTE(H1746, ",", "")</f>
        <v>6</v>
      </c>
      <c r="K1746" s="5" t="str">
        <f t="shared" si="1746"/>
        <v>Rp534000</v>
      </c>
      <c r="L1746" s="5" t="str">
        <f t="shared" si="3"/>
        <v>534000</v>
      </c>
    </row>
    <row r="1747">
      <c r="A1747" s="6" t="s">
        <v>2891</v>
      </c>
      <c r="B1747" s="7" t="str">
        <f>HYPERLINK("https://shopee.co.id/NURISH-ORGANIQ-24K-Face-Essence-20-mL-Perawatan-Kecantikan-Essense-Wajah-i.238368383.7737530572", "https://shopee.co.id/NURISH-ORGANIQ-24K-Face-Essence-20-mL-Perawatan-Kecantikan-Essense-Wajah-i.238368383.7737530572")</f>
        <v>https://shopee.co.id/NURISH-ORGANIQ-24K-Face-Essence-20-mL-Perawatan-Kecantikan-Essense-Wajah-i.238368383.7737530572</v>
      </c>
      <c r="C1747" s="6" t="s">
        <v>2892</v>
      </c>
      <c r="D1747" s="6" t="s">
        <v>2893</v>
      </c>
      <c r="E1747" s="6" t="s">
        <v>12</v>
      </c>
      <c r="F1747" s="6" t="s">
        <v>13</v>
      </c>
      <c r="G1747" s="6" t="s">
        <v>21</v>
      </c>
      <c r="H1747" s="8" t="s">
        <v>2865</v>
      </c>
      <c r="I1747" s="9">
        <v>337578.0</v>
      </c>
      <c r="J1747" s="5" t="str">
        <f t="shared" ref="J1747:K1747" si="1747">SUBSTITUTE(H1747, ",", "")</f>
        <v>6</v>
      </c>
      <c r="K1747" s="5" t="str">
        <f t="shared" si="1747"/>
        <v>Rp337578</v>
      </c>
      <c r="L1747" s="5" t="str">
        <f t="shared" si="3"/>
        <v>337578</v>
      </c>
    </row>
    <row r="1748">
      <c r="A1748" s="6" t="s">
        <v>2894</v>
      </c>
      <c r="B1748" s="7" t="str">
        <f>HYPERLINK("https://shopee.co.id/EVERWHITE-CICA-SOOTHING-SERUM-30-ML-i.50972887.13601182254", "https://shopee.co.id/EVERWHITE-CICA-SOOTHING-SERUM-30-ML-i.50972887.13601182254")</f>
        <v>https://shopee.co.id/EVERWHITE-CICA-SOOTHING-SERUM-30-ML-i.50972887.13601182254</v>
      </c>
      <c r="C1748" s="6" t="s">
        <v>157</v>
      </c>
      <c r="D1748" s="6" t="s">
        <v>552</v>
      </c>
      <c r="E1748" s="6" t="s">
        <v>12</v>
      </c>
      <c r="F1748" s="6" t="s">
        <v>13</v>
      </c>
      <c r="G1748" s="6" t="s">
        <v>61</v>
      </c>
      <c r="H1748" s="8" t="s">
        <v>2865</v>
      </c>
      <c r="I1748" s="9">
        <v>165200.0</v>
      </c>
      <c r="J1748" s="5" t="str">
        <f t="shared" ref="J1748:K1748" si="1748">SUBSTITUTE(H1748, ",", "")</f>
        <v>6</v>
      </c>
      <c r="K1748" s="5" t="str">
        <f t="shared" si="1748"/>
        <v>Rp165200</v>
      </c>
      <c r="L1748" s="5" t="str">
        <f t="shared" si="3"/>
        <v>165200</v>
      </c>
    </row>
    <row r="1749">
      <c r="A1749" s="6" t="s">
        <v>2895</v>
      </c>
      <c r="B1749" s="7" t="str">
        <f>HYPERLINK("https://shopee.co.id/Smooto-Tomato-Aloe-Snail-White-Acne-Sleeping-Serum-i.65619901.1086876159", "https://shopee.co.id/Smooto-Tomato-Aloe-Snail-White-Acne-Sleeping-Serum-i.65619901.1086876159")</f>
        <v>https://shopee.co.id/Smooto-Tomato-Aloe-Snail-White-Acne-Sleeping-Serum-i.65619901.1086876159</v>
      </c>
      <c r="C1749" s="6" t="s">
        <v>2779</v>
      </c>
      <c r="D1749" s="6" t="s">
        <v>2780</v>
      </c>
      <c r="E1749" s="6" t="s">
        <v>12</v>
      </c>
      <c r="F1749" s="6" t="s">
        <v>13</v>
      </c>
      <c r="G1749" s="6" t="s">
        <v>85</v>
      </c>
      <c r="H1749" s="8" t="s">
        <v>2865</v>
      </c>
      <c r="I1749" s="9">
        <v>2107200.0</v>
      </c>
      <c r="J1749" s="5" t="str">
        <f t="shared" ref="J1749:K1749" si="1749">SUBSTITUTE(H1749, ",", "")</f>
        <v>6</v>
      </c>
      <c r="K1749" s="5" t="str">
        <f t="shared" si="1749"/>
        <v>Rp2107200</v>
      </c>
      <c r="L1749" s="5" t="str">
        <f t="shared" si="3"/>
        <v>2107200</v>
      </c>
    </row>
    <row r="1750">
      <c r="A1750" s="6" t="s">
        <v>2896</v>
      </c>
      <c r="B1750" s="7" t="str">
        <f>HYPERLINK("https://shopee.co.id/-The-Face-Shop-Dr-Belmeur-Vita-Serine-Serum-45ml-Original-i.34671748.3282214015", "https://shopee.co.id/-The-Face-Shop-Dr-Belmeur-Vita-Serine-Serum-45ml-Original-i.34671748.3282214015")</f>
        <v>https://shopee.co.id/-The-Face-Shop-Dr-Belmeur-Vita-Serine-Serum-45ml-Original-i.34671748.3282214015</v>
      </c>
      <c r="C1750" s="6" t="s">
        <v>1217</v>
      </c>
      <c r="D1750" s="6" t="s">
        <v>1218</v>
      </c>
      <c r="E1750" s="6" t="s">
        <v>12</v>
      </c>
      <c r="F1750" s="6" t="s">
        <v>13</v>
      </c>
      <c r="G1750" s="6" t="s">
        <v>61</v>
      </c>
      <c r="H1750" s="8" t="s">
        <v>2865</v>
      </c>
      <c r="I1750" s="9">
        <v>938000.0</v>
      </c>
      <c r="J1750" s="5" t="str">
        <f t="shared" ref="J1750:K1750" si="1750">SUBSTITUTE(H1750, ",", "")</f>
        <v>6</v>
      </c>
      <c r="K1750" s="5" t="str">
        <f t="shared" si="1750"/>
        <v>Rp938000</v>
      </c>
      <c r="L1750" s="5" t="str">
        <f t="shared" si="3"/>
        <v>938000</v>
      </c>
    </row>
    <row r="1751">
      <c r="A1751" s="6" t="s">
        <v>2897</v>
      </c>
      <c r="B1751" s="7" t="str">
        <f>HYPERLINK("https://shopee.co.id/Somethinc-10-Niacinamide-Moisture-Sabi-White-Max-Brightening-Serum-Somethinc-HYALuronic-B5-40ml-i.110573301.8937474448", "https://shopee.co.id/Somethinc-10-Niacinamide-Moisture-Sabi-White-Max-Brightening-Serum-Somethinc-HYALuronic-B5-40ml-i.110573301.8937474448")</f>
        <v>https://shopee.co.id/Somethinc-10-Niacinamide-Moisture-Sabi-White-Max-Brightening-Serum-Somethinc-HYALuronic-B5-40ml-i.110573301.8937474448</v>
      </c>
      <c r="C1751" s="6" t="s">
        <v>45</v>
      </c>
      <c r="D1751" s="6" t="s">
        <v>227</v>
      </c>
      <c r="E1751" s="6" t="s">
        <v>12</v>
      </c>
      <c r="F1751" s="6" t="s">
        <v>13</v>
      </c>
      <c r="G1751" s="6" t="s">
        <v>61</v>
      </c>
      <c r="H1751" s="8" t="s">
        <v>2865</v>
      </c>
      <c r="I1751" s="9">
        <v>843350.0</v>
      </c>
      <c r="J1751" s="5" t="str">
        <f t="shared" ref="J1751:K1751" si="1751">SUBSTITUTE(H1751, ",", "")</f>
        <v>6</v>
      </c>
      <c r="K1751" s="5" t="str">
        <f t="shared" si="1751"/>
        <v>Rp843350</v>
      </c>
      <c r="L1751" s="5" t="str">
        <f t="shared" si="3"/>
        <v>843350</v>
      </c>
    </row>
    <row r="1752">
      <c r="A1752" s="6" t="s">
        <v>2898</v>
      </c>
      <c r="B1752" s="7" t="str">
        <f>HYPERLINK("https://shopee.co.id/NATURE-REPUBLIC-Good-Skin-Ampoule-MINERAL-i.78838801.7165317461", "https://shopee.co.id/NATURE-REPUBLIC-Good-Skin-Ampoule-MINERAL-i.78838801.7165317461")</f>
        <v>https://shopee.co.id/NATURE-REPUBLIC-Good-Skin-Ampoule-MINERAL-i.78838801.7165317461</v>
      </c>
      <c r="C1752" s="6" t="s">
        <v>1079</v>
      </c>
      <c r="D1752" s="6" t="s">
        <v>1080</v>
      </c>
      <c r="E1752" s="6" t="s">
        <v>12</v>
      </c>
      <c r="F1752" s="6" t="s">
        <v>13</v>
      </c>
      <c r="G1752" s="6" t="s">
        <v>532</v>
      </c>
      <c r="H1752" s="8" t="s">
        <v>2865</v>
      </c>
      <c r="I1752" s="9">
        <v>2385000.0</v>
      </c>
      <c r="J1752" s="5" t="str">
        <f t="shared" ref="J1752:K1752" si="1752">SUBSTITUTE(H1752, ",", "")</f>
        <v>6</v>
      </c>
      <c r="K1752" s="5" t="str">
        <f t="shared" si="1752"/>
        <v>Rp2385000</v>
      </c>
      <c r="L1752" s="5" t="str">
        <f t="shared" si="3"/>
        <v>2385000</v>
      </c>
    </row>
    <row r="1753">
      <c r="A1753" s="6" t="s">
        <v>2899</v>
      </c>
      <c r="B1753" s="7" t="str">
        <f>HYPERLINK("https://shopee.co.id/MS-GLow-Luminous-Glowing-Serum-Original-BPOM-Serum-Wajah-Untuk-Bekas-Jerawat-Dan-Noda-Pada-Wajah-i.287975332.8389805710", "https://shopee.co.id/MS-GLow-Luminous-Glowing-Serum-Original-BPOM-Serum-Wajah-Untuk-Bekas-Jerawat-Dan-Noda-Pada-Wajah-i.287975332.8389805710")</f>
        <v>https://shopee.co.id/MS-GLow-Luminous-Glowing-Serum-Original-BPOM-Serum-Wajah-Untuk-Bekas-Jerawat-Dan-Noda-Pada-Wajah-i.287975332.8389805710</v>
      </c>
      <c r="C1753" s="6" t="s">
        <v>96</v>
      </c>
      <c r="D1753" s="6" t="s">
        <v>349</v>
      </c>
      <c r="E1753" s="6" t="s">
        <v>12</v>
      </c>
      <c r="F1753" s="6" t="s">
        <v>13</v>
      </c>
      <c r="G1753" s="6" t="s">
        <v>350</v>
      </c>
      <c r="H1753" s="8" t="s">
        <v>2865</v>
      </c>
      <c r="I1753" s="9">
        <v>4770000.0</v>
      </c>
      <c r="J1753" s="5" t="str">
        <f t="shared" ref="J1753:K1753" si="1753">SUBSTITUTE(H1753, ",", "")</f>
        <v>6</v>
      </c>
      <c r="K1753" s="5" t="str">
        <f t="shared" si="1753"/>
        <v>Rp4770000</v>
      </c>
      <c r="L1753" s="5" t="str">
        <f t="shared" si="3"/>
        <v>4770000</v>
      </c>
    </row>
    <row r="1754">
      <c r="A1754" s="6" t="s">
        <v>2900</v>
      </c>
      <c r="B1754" s="7" t="str">
        <f>HYPERLINK("https://shopee.co.id/Glowlabs-Ultimate-Team-Gentle-Glow-Essence-Probiome-Acne-Serum-Peptide-Moist--i.336869851.8427144871", "https://shopee.co.id/Glowlabs-Ultimate-Team-Gentle-Glow-Essence-Probiome-Acne-Serum-Peptide-Moist--i.336869851.8427144871")</f>
        <v>https://shopee.co.id/Glowlabs-Ultimate-Team-Gentle-Glow-Essence-Probiome-Acne-Serum-Peptide-Moist--i.336869851.8427144871</v>
      </c>
      <c r="C1754" s="6" t="s">
        <v>407</v>
      </c>
      <c r="D1754" s="6" t="s">
        <v>408</v>
      </c>
      <c r="E1754" s="6" t="s">
        <v>12</v>
      </c>
      <c r="F1754" s="6" t="s">
        <v>13</v>
      </c>
      <c r="G1754" s="6" t="s">
        <v>409</v>
      </c>
      <c r="H1754" s="8" t="s">
        <v>2865</v>
      </c>
      <c r="I1754" s="9">
        <v>1106100.0</v>
      </c>
      <c r="J1754" s="5" t="str">
        <f t="shared" ref="J1754:K1754" si="1754">SUBSTITUTE(H1754, ",", "")</f>
        <v>6</v>
      </c>
      <c r="K1754" s="5" t="str">
        <f t="shared" si="1754"/>
        <v>Rp1106100</v>
      </c>
      <c r="L1754" s="5" t="str">
        <f t="shared" si="3"/>
        <v>1106100</v>
      </c>
    </row>
    <row r="1755">
      <c r="A1755" s="6" t="s">
        <v>2901</v>
      </c>
      <c r="B1755" s="7" t="str">
        <f>HYPERLINK("https://shopee.co.id/Dear-Me-Beauty-10-Niacinamide-Watermelon-Extract-Face-Serum-i.10689.9057064202", "https://shopee.co.id/Dear-Me-Beauty-10-Niacinamide-Watermelon-Extract-Face-Serum-i.10689.9057064202")</f>
        <v>https://shopee.co.id/Dear-Me-Beauty-10-Niacinamide-Watermelon-Extract-Face-Serum-i.10689.9057064202</v>
      </c>
      <c r="C1755" s="6" t="s">
        <v>70</v>
      </c>
      <c r="D1755" s="6" t="s">
        <v>745</v>
      </c>
      <c r="E1755" s="6" t="s">
        <v>12</v>
      </c>
      <c r="F1755" s="6" t="s">
        <v>13</v>
      </c>
      <c r="G1755" s="6" t="s">
        <v>61</v>
      </c>
      <c r="H1755" s="8" t="s">
        <v>2865</v>
      </c>
      <c r="I1755" s="9">
        <v>1.149E7</v>
      </c>
      <c r="J1755" s="5" t="str">
        <f t="shared" ref="J1755:K1755" si="1755">SUBSTITUTE(H1755, ",", "")</f>
        <v>6</v>
      </c>
      <c r="K1755" s="5" t="str">
        <f t="shared" si="1755"/>
        <v>Rp11490000</v>
      </c>
      <c r="L1755" s="5" t="str">
        <f t="shared" si="3"/>
        <v>11490000</v>
      </c>
    </row>
    <row r="1756">
      <c r="A1756" s="6" t="s">
        <v>2902</v>
      </c>
      <c r="B1756" s="7" t="str">
        <f>HYPERLINK("https://shopee.co.id/Garnier-Sakura-White-Booster-Serum-15ml-Micellar-Oil-400ml-Untuk-Kulit-Glowing-Bebas-Makeup--i.62583853.6779247392", "https://shopee.co.id/Garnier-Sakura-White-Booster-Serum-15ml-Micellar-Oil-400ml-Untuk-Kulit-Glowing-Bebas-Makeup--i.62583853.6779247392")</f>
        <v>https://shopee.co.id/Garnier-Sakura-White-Booster-Serum-15ml-Micellar-Oil-400ml-Untuk-Kulit-Glowing-Bebas-Makeup--i.62583853.6779247392</v>
      </c>
      <c r="C1756" s="6" t="s">
        <v>74</v>
      </c>
      <c r="D1756" s="6" t="s">
        <v>75</v>
      </c>
      <c r="E1756" s="6" t="s">
        <v>12</v>
      </c>
      <c r="F1756" s="6" t="s">
        <v>13</v>
      </c>
      <c r="G1756" s="6" t="s">
        <v>61</v>
      </c>
      <c r="H1756" s="8" t="s">
        <v>2865</v>
      </c>
      <c r="I1756" s="9">
        <v>1350000.0</v>
      </c>
      <c r="J1756" s="5" t="str">
        <f t="shared" ref="J1756:K1756" si="1756">SUBSTITUTE(H1756, ",", "")</f>
        <v>6</v>
      </c>
      <c r="K1756" s="5" t="str">
        <f t="shared" si="1756"/>
        <v>Rp1350000</v>
      </c>
      <c r="L1756" s="5" t="str">
        <f t="shared" si="3"/>
        <v>1350000</v>
      </c>
    </row>
    <row r="1757">
      <c r="A1757" s="6" t="s">
        <v>2903</v>
      </c>
      <c r="B1757" s="7" t="str">
        <f>HYPERLINK("https://shopee.co.id/Lysca-Flek-Solution-Intense-Whitening-Complete-Package-i.267190835.11411489071", "https://shopee.co.id/Lysca-Flek-Solution-Intense-Whitening-Complete-Package-i.267190835.11411489071")</f>
        <v>https://shopee.co.id/Lysca-Flek-Solution-Intense-Whitening-Complete-Package-i.267190835.11411489071</v>
      </c>
      <c r="C1757" s="6" t="s">
        <v>2097</v>
      </c>
      <c r="D1757" s="6" t="s">
        <v>2098</v>
      </c>
      <c r="E1757" s="6" t="s">
        <v>12</v>
      </c>
      <c r="F1757" s="6" t="s">
        <v>13</v>
      </c>
      <c r="G1757" s="6" t="s">
        <v>115</v>
      </c>
      <c r="H1757" s="8" t="s">
        <v>2865</v>
      </c>
      <c r="I1757" s="9">
        <v>718750.0</v>
      </c>
      <c r="J1757" s="5" t="str">
        <f t="shared" ref="J1757:K1757" si="1757">SUBSTITUTE(H1757, ",", "")</f>
        <v>6</v>
      </c>
      <c r="K1757" s="5" t="str">
        <f t="shared" si="1757"/>
        <v>Rp718750</v>
      </c>
      <c r="L1757" s="5" t="str">
        <f t="shared" si="3"/>
        <v>718750</v>
      </c>
    </row>
    <row r="1758">
      <c r="A1758" s="6" t="s">
        <v>2904</v>
      </c>
      <c r="B1758" s="7" t="str">
        <f>HYPERLINK("https://shopee.co.id/HAUM-ALOECID-Niacinamide-10--i.119338790.5344062078", "https://shopee.co.id/HAUM-ALOECID-Niacinamide-10--i.119338790.5344062078")</f>
        <v>https://shopee.co.id/HAUM-ALOECID-Niacinamide-10--i.119338790.5344062078</v>
      </c>
      <c r="C1758" s="6" t="s">
        <v>1144</v>
      </c>
      <c r="D1758" s="6" t="s">
        <v>2905</v>
      </c>
      <c r="E1758" s="6" t="s">
        <v>12</v>
      </c>
      <c r="F1758" s="6" t="s">
        <v>13</v>
      </c>
      <c r="G1758" s="6" t="s">
        <v>532</v>
      </c>
      <c r="H1758" s="8" t="s">
        <v>2865</v>
      </c>
      <c r="I1758" s="9">
        <v>404000.0</v>
      </c>
      <c r="J1758" s="5" t="str">
        <f t="shared" ref="J1758:K1758" si="1758">SUBSTITUTE(H1758, ",", "")</f>
        <v>6</v>
      </c>
      <c r="K1758" s="5" t="str">
        <f t="shared" si="1758"/>
        <v>Rp404000</v>
      </c>
      <c r="L1758" s="5" t="str">
        <f t="shared" si="3"/>
        <v>404000</v>
      </c>
    </row>
    <row r="1759">
      <c r="A1759" s="6" t="s">
        <v>2906</v>
      </c>
      <c r="B1759" s="7" t="str">
        <f>HYPERLINK("https://shopee.co.id/SOME-BY-MI-Snail-Truecica-Miracle-Cream-i.125116082.8964344171", "https://shopee.co.id/SOME-BY-MI-Snail-Truecica-Miracle-Cream-i.125116082.8964344171")</f>
        <v>https://shopee.co.id/SOME-BY-MI-Snail-Truecica-Miracle-Cream-i.125116082.8964344171</v>
      </c>
      <c r="C1759" s="6" t="s">
        <v>213</v>
      </c>
      <c r="D1759" s="6" t="s">
        <v>713</v>
      </c>
      <c r="E1759" s="6" t="s">
        <v>12</v>
      </c>
      <c r="F1759" s="6" t="s">
        <v>13</v>
      </c>
      <c r="G1759" s="6" t="s">
        <v>61</v>
      </c>
      <c r="H1759" s="8" t="s">
        <v>2865</v>
      </c>
      <c r="I1759" s="9">
        <v>1722240.0</v>
      </c>
      <c r="J1759" s="5" t="str">
        <f t="shared" ref="J1759:K1759" si="1759">SUBSTITUTE(H1759, ",", "")</f>
        <v>6</v>
      </c>
      <c r="K1759" s="5" t="str">
        <f t="shared" si="1759"/>
        <v>Rp1722240</v>
      </c>
      <c r="L1759" s="5" t="str">
        <f t="shared" si="3"/>
        <v>1722240</v>
      </c>
    </row>
    <row r="1760">
      <c r="A1760" s="6" t="s">
        <v>2907</v>
      </c>
      <c r="B1760" s="7" t="str">
        <f>HYPERLINK("https://shopee.co.id/THE-LAB-BY-BLANC-DOUX-Oligo-Hyaluronic-Acid-Midnight-Capsule-2ml-i.385039113.11220616147", "https://shopee.co.id/THE-LAB-BY-BLANC-DOUX-Oligo-Hyaluronic-Acid-Midnight-Capsule-2ml-i.385039113.11220616147")</f>
        <v>https://shopee.co.id/THE-LAB-BY-BLANC-DOUX-Oligo-Hyaluronic-Acid-Midnight-Capsule-2ml-i.385039113.11220616147</v>
      </c>
      <c r="C1760" s="6" t="s">
        <v>2835</v>
      </c>
      <c r="D1760" s="6" t="s">
        <v>2836</v>
      </c>
      <c r="E1760" s="6" t="s">
        <v>12</v>
      </c>
      <c r="F1760" s="6" t="s">
        <v>13</v>
      </c>
      <c r="G1760" s="6" t="s">
        <v>98</v>
      </c>
      <c r="H1760" s="8" t="s">
        <v>2865</v>
      </c>
      <c r="I1760" s="9">
        <v>1353000.0</v>
      </c>
      <c r="J1760" s="5" t="str">
        <f t="shared" ref="J1760:K1760" si="1760">SUBSTITUTE(H1760, ",", "")</f>
        <v>6</v>
      </c>
      <c r="K1760" s="5" t="str">
        <f t="shared" si="1760"/>
        <v>Rp1353000</v>
      </c>
      <c r="L1760" s="5" t="str">
        <f t="shared" si="3"/>
        <v>1353000</v>
      </c>
    </row>
    <row r="1761">
      <c r="A1761" s="6" t="s">
        <v>2908</v>
      </c>
      <c r="B1761" s="7" t="str">
        <f>HYPERLINK("https://shopee.co.id/ARIUL-Watermelon-Hydro-Glow-Serum-55ml-i.270965687.8518598335", "https://shopee.co.id/ARIUL-Watermelon-Hydro-Glow-Serum-55ml-i.270965687.8518598335")</f>
        <v>https://shopee.co.id/ARIUL-Watermelon-Hydro-Glow-Serum-55ml-i.270965687.8518598335</v>
      </c>
      <c r="C1761" s="6" t="s">
        <v>2350</v>
      </c>
      <c r="D1761" s="6" t="s">
        <v>379</v>
      </c>
      <c r="E1761" s="6" t="s">
        <v>12</v>
      </c>
      <c r="F1761" s="6" t="s">
        <v>13</v>
      </c>
      <c r="G1761" s="6" t="s">
        <v>380</v>
      </c>
      <c r="H1761" s="8" t="s">
        <v>2865</v>
      </c>
      <c r="I1761" s="9">
        <v>640920.0</v>
      </c>
      <c r="J1761" s="5" t="str">
        <f t="shared" ref="J1761:K1761" si="1761">SUBSTITUTE(H1761, ",", "")</f>
        <v>6</v>
      </c>
      <c r="K1761" s="5" t="str">
        <f t="shared" si="1761"/>
        <v>Rp640920</v>
      </c>
      <c r="L1761" s="5" t="str">
        <f t="shared" si="3"/>
        <v>640920</v>
      </c>
    </row>
    <row r="1762">
      <c r="A1762" s="6" t="s">
        <v>2909</v>
      </c>
      <c r="B1762" s="7" t="str">
        <f>HYPERLINK("https://shopee.co.id/WMU-Beauty-Radiant-Skin-Serum-Intensive-Brightening-and-Reduce-Spot-Moisturizing-i.85454316.4808922910", "https://shopee.co.id/WMU-Beauty-Radiant-Skin-Serum-Intensive-Brightening-and-Reduce-Spot-Moisturizing-i.85454316.4808922910")</f>
        <v>https://shopee.co.id/WMU-Beauty-Radiant-Skin-Serum-Intensive-Brightening-and-Reduce-Spot-Moisturizing-i.85454316.4808922910</v>
      </c>
      <c r="C1762" s="6" t="s">
        <v>2910</v>
      </c>
      <c r="D1762" s="6" t="s">
        <v>2911</v>
      </c>
      <c r="E1762" s="6" t="s">
        <v>12</v>
      </c>
      <c r="F1762" s="6" t="s">
        <v>13</v>
      </c>
      <c r="G1762" s="6" t="s">
        <v>532</v>
      </c>
      <c r="H1762" s="8" t="s">
        <v>2865</v>
      </c>
      <c r="I1762" s="9">
        <v>808704.0</v>
      </c>
      <c r="J1762" s="5" t="str">
        <f t="shared" ref="J1762:K1762" si="1762">SUBSTITUTE(H1762, ",", "")</f>
        <v>6</v>
      </c>
      <c r="K1762" s="5" t="str">
        <f t="shared" si="1762"/>
        <v>Rp808704</v>
      </c>
      <c r="L1762" s="5" t="str">
        <f t="shared" si="3"/>
        <v>808704</v>
      </c>
    </row>
    <row r="1763">
      <c r="A1763" s="6" t="s">
        <v>2912</v>
      </c>
      <c r="B1763" s="7" t="str">
        <f>HYPERLINK("https://shopee.co.id/Novexpert-Booster-Serum-Vitamin-C-30ml-i.825870.1679973710", "https://shopee.co.id/Novexpert-Booster-Serum-Vitamin-C-30ml-i.825870.1679973710")</f>
        <v>https://shopee.co.id/Novexpert-Booster-Serum-Vitamin-C-30ml-i.825870.1679973710</v>
      </c>
      <c r="C1763" s="6" t="s">
        <v>2218</v>
      </c>
      <c r="D1763" s="6" t="s">
        <v>1184</v>
      </c>
      <c r="E1763" s="6" t="s">
        <v>12</v>
      </c>
      <c r="F1763" s="6" t="s">
        <v>13</v>
      </c>
      <c r="G1763" s="6" t="s">
        <v>21</v>
      </c>
      <c r="H1763" s="8" t="s">
        <v>2865</v>
      </c>
      <c r="I1763" s="9">
        <v>547200.0</v>
      </c>
      <c r="J1763" s="5" t="str">
        <f t="shared" ref="J1763:K1763" si="1763">SUBSTITUTE(H1763, ",", "")</f>
        <v>6</v>
      </c>
      <c r="K1763" s="5" t="str">
        <f t="shared" si="1763"/>
        <v>Rp547200</v>
      </c>
      <c r="L1763" s="5" t="str">
        <f t="shared" si="3"/>
        <v>547200</v>
      </c>
    </row>
    <row r="1764">
      <c r="A1764" s="6" t="s">
        <v>2913</v>
      </c>
      <c r="B1764" s="7" t="str">
        <f>HYPERLINK("https://shopee.co.id/DERMALOGICA-UltraCalming-Essence-150ml-Face-Essence-Serum-i.230946408.7524822276", "https://shopee.co.id/DERMALOGICA-UltraCalming-Essence-150ml-Face-Essence-Serum-i.230946408.7524822276")</f>
        <v>https://shopee.co.id/DERMALOGICA-UltraCalming-Essence-150ml-Face-Essence-Serum-i.230946408.7524822276</v>
      </c>
      <c r="C1764" s="6" t="s">
        <v>1903</v>
      </c>
      <c r="D1764" s="6" t="s">
        <v>1904</v>
      </c>
      <c r="E1764" s="6" t="s">
        <v>12</v>
      </c>
      <c r="F1764" s="6" t="s">
        <v>13</v>
      </c>
      <c r="G1764" s="6" t="s">
        <v>21</v>
      </c>
      <c r="H1764" s="8" t="s">
        <v>2865</v>
      </c>
      <c r="I1764" s="9">
        <v>2100000.0</v>
      </c>
      <c r="J1764" s="5" t="str">
        <f t="shared" ref="J1764:K1764" si="1764">SUBSTITUTE(H1764, ",", "")</f>
        <v>6</v>
      </c>
      <c r="K1764" s="5" t="str">
        <f t="shared" si="1764"/>
        <v>Rp2100000</v>
      </c>
      <c r="L1764" s="5" t="str">
        <f t="shared" si="3"/>
        <v>2100000</v>
      </c>
    </row>
    <row r="1765">
      <c r="A1765" s="6" t="s">
        <v>2914</v>
      </c>
      <c r="B1765" s="7" t="str">
        <f>HYPERLINK("https://shopee.co.id/Mireya-Mochi-Mochi-Gold-Serum-i.101578297.7119959722", "https://shopee.co.id/Mireya-Mochi-Mochi-Gold-Serum-i.101578297.7119959722")</f>
        <v>https://shopee.co.id/Mireya-Mochi-Mochi-Gold-Serum-i.101578297.7119959722</v>
      </c>
      <c r="C1765" s="6" t="s">
        <v>2430</v>
      </c>
      <c r="D1765" s="6" t="s">
        <v>2431</v>
      </c>
      <c r="E1765" s="6" t="s">
        <v>12</v>
      </c>
      <c r="F1765" s="6" t="s">
        <v>13</v>
      </c>
      <c r="G1765" s="6" t="s">
        <v>21</v>
      </c>
      <c r="H1765" s="8" t="s">
        <v>2865</v>
      </c>
      <c r="I1765" s="9">
        <v>900000.0</v>
      </c>
      <c r="J1765" s="5" t="str">
        <f t="shared" ref="J1765:K1765" si="1765">SUBSTITUTE(H1765, ",", "")</f>
        <v>6</v>
      </c>
      <c r="K1765" s="5" t="str">
        <f t="shared" si="1765"/>
        <v>Rp900000</v>
      </c>
      <c r="L1765" s="5" t="str">
        <f t="shared" si="3"/>
        <v>900000</v>
      </c>
    </row>
    <row r="1766">
      <c r="A1766" s="6" t="s">
        <v>2915</v>
      </c>
      <c r="B1766" s="7" t="str">
        <f>HYPERLINK("https://shopee.co.id/NATURE-REPUBLIC-Bundle-Hyalon-Active-10-i.78838801.3493334472", "https://shopee.co.id/NATURE-REPUBLIC-Bundle-Hyalon-Active-10-i.78838801.3493334472")</f>
        <v>https://shopee.co.id/NATURE-REPUBLIC-Bundle-Hyalon-Active-10-i.78838801.3493334472</v>
      </c>
      <c r="C1766" s="6" t="s">
        <v>1079</v>
      </c>
      <c r="D1766" s="6" t="s">
        <v>1080</v>
      </c>
      <c r="E1766" s="6" t="s">
        <v>12</v>
      </c>
      <c r="F1766" s="6" t="s">
        <v>13</v>
      </c>
      <c r="G1766" s="6" t="s">
        <v>532</v>
      </c>
      <c r="H1766" s="8" t="s">
        <v>2865</v>
      </c>
      <c r="I1766" s="9">
        <v>2190000.0</v>
      </c>
      <c r="J1766" s="5" t="str">
        <f t="shared" ref="J1766:K1766" si="1766">SUBSTITUTE(H1766, ",", "")</f>
        <v>6</v>
      </c>
      <c r="K1766" s="5" t="str">
        <f t="shared" si="1766"/>
        <v>Rp2190000</v>
      </c>
      <c r="L1766" s="5" t="str">
        <f t="shared" si="3"/>
        <v>2190000</v>
      </c>
    </row>
    <row r="1767">
      <c r="A1767" s="6" t="s">
        <v>2916</v>
      </c>
      <c r="B1767" s="7" t="str">
        <f>HYPERLINK("https://shopee.co.id/Skin-Dewi-Tamanu-Green-Serum-5ml-Skincare-Organic--i.69413780.4710760759", "https://shopee.co.id/Skin-Dewi-Tamanu-Green-Serum-5ml-Skincare-Organic--i.69413780.4710760759")</f>
        <v>https://shopee.co.id/Skin-Dewi-Tamanu-Green-Serum-5ml-Skincare-Organic--i.69413780.4710760759</v>
      </c>
      <c r="C1767" s="6" t="s">
        <v>940</v>
      </c>
      <c r="D1767" s="6" t="s">
        <v>1929</v>
      </c>
      <c r="E1767" s="6" t="s">
        <v>12</v>
      </c>
      <c r="F1767" s="6" t="s">
        <v>13</v>
      </c>
      <c r="G1767" s="6" t="s">
        <v>61</v>
      </c>
      <c r="H1767" s="8" t="s">
        <v>2865</v>
      </c>
      <c r="I1767" s="9">
        <v>3228000.0</v>
      </c>
      <c r="J1767" s="5" t="str">
        <f t="shared" ref="J1767:K1767" si="1767">SUBSTITUTE(H1767, ",", "")</f>
        <v>6</v>
      </c>
      <c r="K1767" s="5" t="str">
        <f t="shared" si="1767"/>
        <v>Rp3228000</v>
      </c>
      <c r="L1767" s="5" t="str">
        <f t="shared" si="3"/>
        <v>3228000</v>
      </c>
    </row>
    <row r="1768">
      <c r="A1768" s="6" t="s">
        <v>2917</v>
      </c>
      <c r="B1768" s="7" t="str">
        <f>HYPERLINK("https://shopee.co.id/KKV-Everwhite-Cica-Soothing-Serum-30ml-Beauty-i.313431312.4193990944", "https://shopee.co.id/KKV-Everwhite-Cica-Soothing-Serum-30ml-Beauty-i.313431312.4193990944")</f>
        <v>https://shopee.co.id/KKV-Everwhite-Cica-Soothing-Serum-30ml-Beauty-i.313431312.4193990944</v>
      </c>
      <c r="C1768" s="6" t="s">
        <v>157</v>
      </c>
      <c r="D1768" s="6" t="s">
        <v>1524</v>
      </c>
      <c r="E1768" s="6" t="s">
        <v>12</v>
      </c>
      <c r="F1768" s="6" t="s">
        <v>13</v>
      </c>
      <c r="G1768" s="6" t="s">
        <v>61</v>
      </c>
      <c r="H1768" s="8" t="s">
        <v>2865</v>
      </c>
      <c r="I1768" s="9">
        <v>1048792.0</v>
      </c>
      <c r="J1768" s="5" t="str">
        <f t="shared" ref="J1768:K1768" si="1768">SUBSTITUTE(H1768, ",", "")</f>
        <v>6</v>
      </c>
      <c r="K1768" s="5" t="str">
        <f t="shared" si="1768"/>
        <v>Rp1048792</v>
      </c>
      <c r="L1768" s="5" t="str">
        <f t="shared" si="3"/>
        <v>1048792</v>
      </c>
    </row>
    <row r="1769">
      <c r="A1769" s="6" t="s">
        <v>2918</v>
      </c>
      <c r="B1769" s="7" t="str">
        <f>HYPERLINK("https://shopee.co.id/Nameera-Intense-Illuminatinon-Perfecting-Serum-25-ml-i.125968756.1905000248", "https://shopee.co.id/Nameera-Intense-Illuminatinon-Perfecting-Serum-25-ml-i.125968756.1905000248")</f>
        <v>https://shopee.co.id/Nameera-Intense-Illuminatinon-Perfecting-Serum-25-ml-i.125968756.1905000248</v>
      </c>
      <c r="C1769" s="6" t="s">
        <v>2603</v>
      </c>
      <c r="D1769" s="6" t="s">
        <v>2604</v>
      </c>
      <c r="E1769" s="6" t="s">
        <v>12</v>
      </c>
      <c r="F1769" s="6" t="s">
        <v>13</v>
      </c>
      <c r="G1769" s="6" t="s">
        <v>296</v>
      </c>
      <c r="H1769" s="8" t="s">
        <v>2865</v>
      </c>
      <c r="I1769" s="9">
        <v>936000.0</v>
      </c>
      <c r="J1769" s="5" t="str">
        <f t="shared" ref="J1769:K1769" si="1769">SUBSTITUTE(H1769, ",", "")</f>
        <v>6</v>
      </c>
      <c r="K1769" s="5" t="str">
        <f t="shared" si="1769"/>
        <v>Rp936000</v>
      </c>
      <c r="L1769" s="5" t="str">
        <f t="shared" si="3"/>
        <v>936000</v>
      </c>
    </row>
    <row r="1770">
      <c r="A1770" s="6" t="s">
        <v>2919</v>
      </c>
      <c r="B1770" s="7" t="str">
        <f>HYPERLINK("https://shopee.co.id/MS-Glow-Ultimate-Series-Original-MSglow-Official-Beauty-Pencerah-Wajah-Penghilang-Bekas-Jerawat-BPOM-i.287975332.9674293537", "https://shopee.co.id/MS-Glow-Ultimate-Series-Original-MSglow-Official-Beauty-Pencerah-Wajah-Penghilang-Bekas-Jerawat-BPOM-i.287975332.9674293537")</f>
        <v>https://shopee.co.id/MS-Glow-Ultimate-Series-Original-MSglow-Official-Beauty-Pencerah-Wajah-Penghilang-Bekas-Jerawat-BPOM-i.287975332.9674293537</v>
      </c>
      <c r="C1770" s="6" t="s">
        <v>96</v>
      </c>
      <c r="D1770" s="6" t="s">
        <v>349</v>
      </c>
      <c r="E1770" s="6" t="s">
        <v>12</v>
      </c>
      <c r="F1770" s="6" t="s">
        <v>13</v>
      </c>
      <c r="G1770" s="6" t="s">
        <v>350</v>
      </c>
      <c r="H1770" s="8" t="s">
        <v>2865</v>
      </c>
      <c r="I1770" s="9">
        <v>714000.0</v>
      </c>
      <c r="J1770" s="5" t="str">
        <f t="shared" ref="J1770:K1770" si="1770">SUBSTITUTE(H1770, ",", "")</f>
        <v>6</v>
      </c>
      <c r="K1770" s="5" t="str">
        <f t="shared" si="1770"/>
        <v>Rp714000</v>
      </c>
      <c r="L1770" s="5" t="str">
        <f t="shared" si="3"/>
        <v>714000</v>
      </c>
    </row>
    <row r="1771">
      <c r="A1771" s="6" t="s">
        <v>1897</v>
      </c>
      <c r="B1771" s="7" t="str">
        <f>HYPERLINK("https://shopee.co.id/GLOWINC-POTION-ACNECORE-Clear-AC-Serum-i.68111.10833694885", "https://shopee.co.id/GLOWINC-POTION-ACNECORE-Clear-AC-Serum-i.68111.10833694885")</f>
        <v>https://shopee.co.id/GLOWINC-POTION-ACNECORE-Clear-AC-Serum-i.68111.10833694885</v>
      </c>
      <c r="C1771" s="6" t="s">
        <v>1898</v>
      </c>
      <c r="D1771" s="6" t="s">
        <v>441</v>
      </c>
      <c r="E1771" s="6" t="s">
        <v>12</v>
      </c>
      <c r="F1771" s="6" t="s">
        <v>13</v>
      </c>
      <c r="G1771" s="6" t="s">
        <v>130</v>
      </c>
      <c r="H1771" s="8" t="s">
        <v>2865</v>
      </c>
      <c r="I1771" s="9">
        <v>588000.0</v>
      </c>
      <c r="J1771" s="5" t="str">
        <f t="shared" ref="J1771:K1771" si="1771">SUBSTITUTE(H1771, ",", "")</f>
        <v>6</v>
      </c>
      <c r="K1771" s="5" t="str">
        <f t="shared" si="1771"/>
        <v>Rp588000</v>
      </c>
      <c r="L1771" s="5" t="str">
        <f t="shared" si="3"/>
        <v>588000</v>
      </c>
    </row>
    <row r="1772">
      <c r="A1772" s="6" t="s">
        <v>1222</v>
      </c>
      <c r="B1772" s="7" t="str">
        <f>HYPERLINK("https://shopee.co.id/The-Aubree-Centella-Herb-Serum-30-ml-i.110573301.4183454239", "https://shopee.co.id/The-Aubree-Centella-Herb-Serum-30-ml-i.110573301.4183454239")</f>
        <v>https://shopee.co.id/The-Aubree-Centella-Herb-Serum-30-ml-i.110573301.4183454239</v>
      </c>
      <c r="C1772" s="6" t="s">
        <v>772</v>
      </c>
      <c r="D1772" s="6" t="s">
        <v>227</v>
      </c>
      <c r="E1772" s="6" t="s">
        <v>12</v>
      </c>
      <c r="F1772" s="6" t="s">
        <v>13</v>
      </c>
      <c r="G1772" s="6" t="s">
        <v>61</v>
      </c>
      <c r="H1772" s="8" t="s">
        <v>2865</v>
      </c>
      <c r="I1772" s="9">
        <v>351360.0</v>
      </c>
      <c r="J1772" s="5" t="str">
        <f t="shared" ref="J1772:K1772" si="1772">SUBSTITUTE(H1772, ",", "")</f>
        <v>6</v>
      </c>
      <c r="K1772" s="5" t="str">
        <f t="shared" si="1772"/>
        <v>Rp351360</v>
      </c>
      <c r="L1772" s="5" t="str">
        <f t="shared" si="3"/>
        <v>351360</v>
      </c>
    </row>
    <row r="1773">
      <c r="A1773" s="6" t="s">
        <v>2920</v>
      </c>
      <c r="B1773" s="7" t="str">
        <f>HYPERLINK("https://shopee.co.id/-LIMITED-BUNDLE-Aesthetic-Bluepin-Excellen-C-Face-Serum-Skind-Rose-Drip-Crytal-Serum-i.54874680.11422987119", "https://shopee.co.id/-LIMITED-BUNDLE-Aesthetic-Bluepin-Excellen-C-Face-Serum-Skind-Rose-Drip-Crytal-Serum-i.54874680.11422987119")</f>
        <v>https://shopee.co.id/-LIMITED-BUNDLE-Aesthetic-Bluepin-Excellen-C-Face-Serum-Skind-Rose-Drip-Crytal-Serum-i.54874680.11422987119</v>
      </c>
      <c r="C1773" s="6" t="s">
        <v>2921</v>
      </c>
      <c r="D1773" s="6" t="s">
        <v>1425</v>
      </c>
      <c r="E1773" s="6" t="s">
        <v>12</v>
      </c>
      <c r="F1773" s="6" t="s">
        <v>13</v>
      </c>
      <c r="G1773" s="6" t="s">
        <v>80</v>
      </c>
      <c r="H1773" s="8" t="s">
        <v>2865</v>
      </c>
      <c r="I1773" s="9">
        <v>1014900.0</v>
      </c>
      <c r="J1773" s="5" t="str">
        <f t="shared" ref="J1773:K1773" si="1773">SUBSTITUTE(H1773, ",", "")</f>
        <v>6</v>
      </c>
      <c r="K1773" s="5" t="str">
        <f t="shared" si="1773"/>
        <v>Rp1014900</v>
      </c>
      <c r="L1773" s="5" t="str">
        <f t="shared" si="3"/>
        <v>1014900</v>
      </c>
    </row>
    <row r="1774">
      <c r="A1774" s="6" t="s">
        <v>2922</v>
      </c>
      <c r="B1774" s="7" t="str">
        <f>HYPERLINK("https://shopee.co.id/Neutrogena-Hydroboost-Series-i.65323877.10719474086", "https://shopee.co.id/Neutrogena-Hydroboost-Series-i.65323877.10719474086")</f>
        <v>https://shopee.co.id/Neutrogena-Hydroboost-Series-i.65323877.10719474086</v>
      </c>
      <c r="C1774" s="6" t="s">
        <v>1499</v>
      </c>
      <c r="D1774" s="6" t="s">
        <v>1600</v>
      </c>
      <c r="E1774" s="6" t="s">
        <v>12</v>
      </c>
      <c r="F1774" s="6" t="s">
        <v>13</v>
      </c>
      <c r="G1774" s="6" t="s">
        <v>296</v>
      </c>
      <c r="H1774" s="8" t="s">
        <v>2865</v>
      </c>
      <c r="I1774" s="9">
        <v>1960000.0</v>
      </c>
      <c r="J1774" s="5" t="str">
        <f t="shared" ref="J1774:K1774" si="1774">SUBSTITUTE(H1774, ",", "")</f>
        <v>6</v>
      </c>
      <c r="K1774" s="5" t="str">
        <f t="shared" si="1774"/>
        <v>Rp1960000</v>
      </c>
      <c r="L1774" s="5" t="str">
        <f t="shared" si="3"/>
        <v>1960000</v>
      </c>
    </row>
    <row r="1775">
      <c r="A1775" s="6" t="s">
        <v>2923</v>
      </c>
      <c r="B1775" s="7" t="str">
        <f>HYPERLINK("https://shopee.co.id/Votre-Peau-Sensisoft-and-Tranexamic-Acid-Vitamin-C-Serum-i.46300234.9954849330", "https://shopee.co.id/Votre-Peau-Sensisoft-and-Tranexamic-Acid-Vitamin-C-Serum-i.46300234.9954849330")</f>
        <v>https://shopee.co.id/Votre-Peau-Sensisoft-and-Tranexamic-Acid-Vitamin-C-Serum-i.46300234.9954849330</v>
      </c>
      <c r="C1775" s="6" t="s">
        <v>471</v>
      </c>
      <c r="D1775" s="6" t="s">
        <v>472</v>
      </c>
      <c r="E1775" s="6" t="s">
        <v>12</v>
      </c>
      <c r="F1775" s="6" t="s">
        <v>13</v>
      </c>
      <c r="G1775" s="6" t="s">
        <v>98</v>
      </c>
      <c r="H1775" s="8" t="s">
        <v>2865</v>
      </c>
      <c r="I1775" s="9">
        <v>117000.0</v>
      </c>
      <c r="J1775" s="5" t="str">
        <f t="shared" ref="J1775:K1775" si="1775">SUBSTITUTE(H1775, ",", "")</f>
        <v>6</v>
      </c>
      <c r="K1775" s="5" t="str">
        <f t="shared" si="1775"/>
        <v>Rp117000</v>
      </c>
      <c r="L1775" s="5" t="str">
        <f t="shared" si="3"/>
        <v>117000</v>
      </c>
    </row>
    <row r="1776">
      <c r="A1776" s="6" t="s">
        <v>2924</v>
      </c>
      <c r="B1776" s="7" t="str">
        <f>HYPERLINK("https://shopee.co.id/Phyto-Niacin-Whitening-Essence-Mask-Pack-3pcs-i.238604292.8719365058", "https://shopee.co.id/Phyto-Niacin-Whitening-Essence-Mask-Pack-3pcs-i.238604292.8719365058")</f>
        <v>https://shopee.co.id/Phyto-Niacin-Whitening-Essence-Mask-Pack-3pcs-i.238604292.8719365058</v>
      </c>
      <c r="C1776" s="6" t="s">
        <v>344</v>
      </c>
      <c r="D1776" s="6" t="s">
        <v>918</v>
      </c>
      <c r="E1776" s="6" t="s">
        <v>12</v>
      </c>
      <c r="F1776" s="6" t="s">
        <v>13</v>
      </c>
      <c r="G1776" s="6" t="s">
        <v>80</v>
      </c>
      <c r="H1776" s="8" t="s">
        <v>2865</v>
      </c>
      <c r="I1776" s="9">
        <v>428829.0</v>
      </c>
      <c r="J1776" s="5" t="str">
        <f t="shared" ref="J1776:K1776" si="1776">SUBSTITUTE(H1776, ",", "")</f>
        <v>6</v>
      </c>
      <c r="K1776" s="5" t="str">
        <f t="shared" si="1776"/>
        <v>Rp428829</v>
      </c>
      <c r="L1776" s="5" t="str">
        <f t="shared" si="3"/>
        <v>428829</v>
      </c>
    </row>
    <row r="1777">
      <c r="A1777" s="6" t="s">
        <v>2925</v>
      </c>
      <c r="B1777" s="7" t="str">
        <f>HYPERLINK("https://shopee.co.id/Utama-Spice-Acne-Night-Serum-30-ml-i.53018304.1265420489", "https://shopee.co.id/Utama-Spice-Acne-Night-Serum-30-ml-i.53018304.1265420489")</f>
        <v>https://shopee.co.id/Utama-Spice-Acne-Night-Serum-30-ml-i.53018304.1265420489</v>
      </c>
      <c r="C1777" s="6" t="s">
        <v>2926</v>
      </c>
      <c r="D1777" s="6" t="s">
        <v>2927</v>
      </c>
      <c r="E1777" s="6" t="s">
        <v>12</v>
      </c>
      <c r="F1777" s="6" t="s">
        <v>13</v>
      </c>
      <c r="G1777" s="6" t="s">
        <v>2928</v>
      </c>
      <c r="H1777" s="8" t="s">
        <v>2865</v>
      </c>
      <c r="I1777" s="9">
        <v>498000.0</v>
      </c>
      <c r="J1777" s="5" t="str">
        <f t="shared" ref="J1777:K1777" si="1777">SUBSTITUTE(H1777, ",", "")</f>
        <v>6</v>
      </c>
      <c r="K1777" s="5" t="str">
        <f t="shared" si="1777"/>
        <v>Rp498000</v>
      </c>
      <c r="L1777" s="5" t="str">
        <f t="shared" si="3"/>
        <v>498000</v>
      </c>
    </row>
    <row r="1778">
      <c r="A1778" s="6" t="s">
        <v>2929</v>
      </c>
      <c r="B1778" s="7" t="str">
        <f>HYPERLINK("https://shopee.co.id/VOTRE-PEAU-Brightening-Essence-50ml-i.68111.4645485618", "https://shopee.co.id/VOTRE-PEAU-Brightening-Essence-50ml-i.68111.4645485618")</f>
        <v>https://shopee.co.id/VOTRE-PEAU-Brightening-Essence-50ml-i.68111.4645485618</v>
      </c>
      <c r="C1778" s="6" t="s">
        <v>471</v>
      </c>
      <c r="D1778" s="6" t="s">
        <v>441</v>
      </c>
      <c r="E1778" s="6" t="s">
        <v>12</v>
      </c>
      <c r="F1778" s="6" t="s">
        <v>13</v>
      </c>
      <c r="G1778" s="6" t="s">
        <v>130</v>
      </c>
      <c r="H1778" s="8" t="s">
        <v>2865</v>
      </c>
      <c r="I1778" s="9">
        <v>2233550.0</v>
      </c>
      <c r="J1778" s="5" t="str">
        <f t="shared" ref="J1778:K1778" si="1778">SUBSTITUTE(H1778, ",", "")</f>
        <v>6</v>
      </c>
      <c r="K1778" s="5" t="str">
        <f t="shared" si="1778"/>
        <v>Rp2233550</v>
      </c>
      <c r="L1778" s="5" t="str">
        <f t="shared" si="3"/>
        <v>2233550</v>
      </c>
    </row>
    <row r="1779">
      <c r="A1779" s="6" t="s">
        <v>2930</v>
      </c>
      <c r="B1779" s="7" t="str">
        <f>HYPERLINK("https://shopee.co.id/Calmedi-Serum-Luminous-3-in-1-20ml-Serum-Pencerah-Wajah-i.129229117.2096204386", "https://shopee.co.id/Calmedi-Serum-Luminous-3-in-1-20ml-Serum-Pencerah-Wajah-i.129229117.2096204386")</f>
        <v>https://shopee.co.id/Calmedi-Serum-Luminous-3-in-1-20ml-Serum-Pencerah-Wajah-i.129229117.2096204386</v>
      </c>
      <c r="C1779" s="6" t="s">
        <v>2931</v>
      </c>
      <c r="D1779" s="6" t="s">
        <v>2932</v>
      </c>
      <c r="E1779" s="6" t="s">
        <v>12</v>
      </c>
      <c r="F1779" s="6" t="s">
        <v>13</v>
      </c>
      <c r="G1779" s="6" t="s">
        <v>98</v>
      </c>
      <c r="H1779" s="8" t="s">
        <v>2865</v>
      </c>
      <c r="I1779" s="9">
        <v>2142000.0</v>
      </c>
      <c r="J1779" s="5" t="str">
        <f t="shared" ref="J1779:K1779" si="1779">SUBSTITUTE(H1779, ",", "")</f>
        <v>6</v>
      </c>
      <c r="K1779" s="5" t="str">
        <f t="shared" si="1779"/>
        <v>Rp2142000</v>
      </c>
      <c r="L1779" s="5" t="str">
        <f t="shared" si="3"/>
        <v>2142000</v>
      </c>
    </row>
    <row r="1780">
      <c r="A1780" s="6" t="s">
        <v>2933</v>
      </c>
      <c r="B1780" s="7" t="str">
        <f>HYPERLINK("https://shopee.co.id/WHITELAB-RETINOID-INTENSIVE-CARE-SERUM-15ML-i.50972887.10142056453", "https://shopee.co.id/WHITELAB-RETINOID-INTENSIVE-CARE-SERUM-15ML-i.50972887.10142056453")</f>
        <v>https://shopee.co.id/WHITELAB-RETINOID-INTENSIVE-CARE-SERUM-15ML-i.50972887.10142056453</v>
      </c>
      <c r="C1780" s="6" t="s">
        <v>59</v>
      </c>
      <c r="D1780" s="6" t="s">
        <v>552</v>
      </c>
      <c r="E1780" s="6" t="s">
        <v>12</v>
      </c>
      <c r="F1780" s="6" t="s">
        <v>13</v>
      </c>
      <c r="G1780" s="6" t="s">
        <v>61</v>
      </c>
      <c r="H1780" s="8" t="s">
        <v>2865</v>
      </c>
      <c r="I1780" s="9">
        <v>2035800.0</v>
      </c>
      <c r="J1780" s="5" t="str">
        <f t="shared" ref="J1780:K1780" si="1780">SUBSTITUTE(H1780, ",", "")</f>
        <v>6</v>
      </c>
      <c r="K1780" s="5" t="str">
        <f t="shared" si="1780"/>
        <v>Rp2035800</v>
      </c>
      <c r="L1780" s="5" t="str">
        <f t="shared" si="3"/>
        <v>2035800</v>
      </c>
    </row>
    <row r="1781">
      <c r="A1781" s="6" t="s">
        <v>2934</v>
      </c>
      <c r="B1781" s="7" t="str">
        <f>HYPERLINK("https://shopee.co.id/Sarae-Glowing-Essence-with-CICA-Hyaluronic-Acid-Face-Mist-Centella-Asiatica-i.20723335.7280582629", "https://shopee.co.id/Sarae-Glowing-Essence-with-CICA-Hyaluronic-Acid-Face-Mist-Centella-Asiatica-i.20723335.7280582629")</f>
        <v>https://shopee.co.id/Sarae-Glowing-Essence-with-CICA-Hyaluronic-Acid-Face-Mist-Centella-Asiatica-i.20723335.7280582629</v>
      </c>
      <c r="C1781" s="6" t="s">
        <v>2042</v>
      </c>
      <c r="D1781" s="6" t="s">
        <v>2043</v>
      </c>
      <c r="E1781" s="6" t="s">
        <v>12</v>
      </c>
      <c r="F1781" s="6" t="s">
        <v>13</v>
      </c>
      <c r="G1781" s="6" t="s">
        <v>241</v>
      </c>
      <c r="H1781" s="8" t="s">
        <v>2865</v>
      </c>
      <c r="I1781" s="9">
        <v>2160000.0</v>
      </c>
      <c r="J1781" s="5" t="str">
        <f t="shared" ref="J1781:K1781" si="1781">SUBSTITUTE(H1781, ",", "")</f>
        <v>6</v>
      </c>
      <c r="K1781" s="5" t="str">
        <f t="shared" si="1781"/>
        <v>Rp2160000</v>
      </c>
      <c r="L1781" s="5" t="str">
        <f t="shared" si="3"/>
        <v>2160000</v>
      </c>
    </row>
    <row r="1782">
      <c r="A1782" s="6" t="s">
        <v>2935</v>
      </c>
      <c r="B1782" s="7" t="str">
        <f>HYPERLINK("https://shopee.co.id/LACOCO-Hydrating-Divine-Essence-50ml-i.270965687.8814341610", "https://shopee.co.id/LACOCO-Hydrating-Divine-Essence-50ml-i.270965687.8814341610")</f>
        <v>https://shopee.co.id/LACOCO-Hydrating-Divine-Essence-50ml-i.270965687.8814341610</v>
      </c>
      <c r="C1782" s="6" t="s">
        <v>501</v>
      </c>
      <c r="D1782" s="6" t="s">
        <v>379</v>
      </c>
      <c r="E1782" s="6" t="s">
        <v>12</v>
      </c>
      <c r="F1782" s="6" t="s">
        <v>13</v>
      </c>
      <c r="G1782" s="6" t="s">
        <v>380</v>
      </c>
      <c r="H1782" s="8" t="s">
        <v>2865</v>
      </c>
      <c r="I1782" s="9">
        <v>300000.0</v>
      </c>
      <c r="J1782" s="5" t="str">
        <f t="shared" ref="J1782:K1782" si="1782">SUBSTITUTE(H1782, ",", "")</f>
        <v>6</v>
      </c>
      <c r="K1782" s="5" t="str">
        <f t="shared" si="1782"/>
        <v>Rp300000</v>
      </c>
      <c r="L1782" s="5" t="str">
        <f t="shared" si="3"/>
        <v>300000</v>
      </c>
    </row>
    <row r="1783">
      <c r="A1783" s="6" t="s">
        <v>2936</v>
      </c>
      <c r="B1783" s="7" t="str">
        <f>HYPERLINK("https://shopee.co.id/CLINELLE-Special-Hampers-Caviar-Gold-Firming-Dream-Team-i.173963911.3631945035", "https://shopee.co.id/CLINELLE-Special-Hampers-Caviar-Gold-Firming-Dream-Team-i.173963911.3631945035")</f>
        <v>https://shopee.co.id/CLINELLE-Special-Hampers-Caviar-Gold-Firming-Dream-Team-i.173963911.3631945035</v>
      </c>
      <c r="C1783" s="6" t="s">
        <v>1456</v>
      </c>
      <c r="D1783" s="6" t="s">
        <v>1457</v>
      </c>
      <c r="E1783" s="6" t="s">
        <v>12</v>
      </c>
      <c r="F1783" s="6" t="s">
        <v>13</v>
      </c>
      <c r="G1783" s="6" t="s">
        <v>21</v>
      </c>
      <c r="H1783" s="8" t="s">
        <v>2865</v>
      </c>
      <c r="I1783" s="9">
        <v>2895750.0</v>
      </c>
      <c r="J1783" s="5" t="str">
        <f t="shared" ref="J1783:K1783" si="1783">SUBSTITUTE(H1783, ",", "")</f>
        <v>6</v>
      </c>
      <c r="K1783" s="5" t="str">
        <f t="shared" si="1783"/>
        <v>Rp2895750</v>
      </c>
      <c r="L1783" s="5" t="str">
        <f t="shared" si="3"/>
        <v>2895750</v>
      </c>
    </row>
    <row r="1784">
      <c r="A1784" s="6" t="s">
        <v>2937</v>
      </c>
      <c r="B1784" s="7" t="str">
        <f>HYPERLINK("https://shopee.co.id/FABIL-Plumping-Mandelic-Acid-Serum-with-Hyaluronic-Acid-Niacinamide-and-Bidara-20ml-i.3990192.3641693461", "https://shopee.co.id/FABIL-Plumping-Mandelic-Acid-Serum-with-Hyaluronic-Acid-Niacinamide-and-Bidara-20ml-i.3990192.3641693461")</f>
        <v>https://shopee.co.id/FABIL-Plumping-Mandelic-Acid-Serum-with-Hyaluronic-Acid-Niacinamide-and-Bidara-20ml-i.3990192.3641693461</v>
      </c>
      <c r="C1784" s="6" t="s">
        <v>2579</v>
      </c>
      <c r="D1784" s="6" t="s">
        <v>2580</v>
      </c>
      <c r="E1784" s="6" t="s">
        <v>12</v>
      </c>
      <c r="F1784" s="6" t="s">
        <v>13</v>
      </c>
      <c r="G1784" s="6" t="s">
        <v>1085</v>
      </c>
      <c r="H1784" s="8" t="s">
        <v>2865</v>
      </c>
      <c r="I1784" s="9">
        <v>944400.0</v>
      </c>
      <c r="J1784" s="5" t="str">
        <f t="shared" ref="J1784:K1784" si="1784">SUBSTITUTE(H1784, ",", "")</f>
        <v>6</v>
      </c>
      <c r="K1784" s="5" t="str">
        <f t="shared" si="1784"/>
        <v>Rp944400</v>
      </c>
      <c r="L1784" s="5" t="str">
        <f t="shared" si="3"/>
        <v>944400</v>
      </c>
    </row>
    <row r="1785">
      <c r="A1785" s="6" t="s">
        <v>2938</v>
      </c>
      <c r="B1785" s="7" t="str">
        <f>HYPERLINK("https://shopee.co.id/Illuminare-Youth-Serum-30-mL-Serum-Anti-Aging-i.204185841.6435240739", "https://shopee.co.id/Illuminare-Youth-Serum-30-mL-Serum-Anti-Aging-i.204185841.6435240739")</f>
        <v>https://shopee.co.id/Illuminare-Youth-Serum-30-mL-Serum-Anti-Aging-i.204185841.6435240739</v>
      </c>
      <c r="C1785" s="6" t="s">
        <v>1750</v>
      </c>
      <c r="D1785" s="6" t="s">
        <v>2568</v>
      </c>
      <c r="E1785" s="6" t="s">
        <v>12</v>
      </c>
      <c r="F1785" s="6" t="s">
        <v>13</v>
      </c>
      <c r="G1785" s="6" t="s">
        <v>36</v>
      </c>
      <c r="H1785" s="8" t="s">
        <v>2865</v>
      </c>
      <c r="I1785" s="9">
        <v>717000.0</v>
      </c>
      <c r="J1785" s="5" t="str">
        <f t="shared" ref="J1785:K1785" si="1785">SUBSTITUTE(H1785, ",", "")</f>
        <v>6</v>
      </c>
      <c r="K1785" s="5" t="str">
        <f t="shared" si="1785"/>
        <v>Rp717000</v>
      </c>
      <c r="L1785" s="5" t="str">
        <f t="shared" si="3"/>
        <v>717000</v>
      </c>
    </row>
    <row r="1786">
      <c r="A1786" s="6" t="s">
        <v>2939</v>
      </c>
      <c r="B1786" s="7" t="str">
        <f>HYPERLINK("https://shopee.co.id/Hanasui-Serum-Whitening-Gold-Pemutih-Kulit-Serum-Wajah-20mL-isi-3--i.175375997.6900249542", "https://shopee.co.id/Hanasui-Serum-Whitening-Gold-Pemutih-Kulit-Serum-Wajah-20mL-isi-3--i.175375997.6900249542")</f>
        <v>https://shopee.co.id/Hanasui-Serum-Whitening-Gold-Pemutih-Kulit-Serum-Wajah-20mL-isi-3--i.175375997.6900249542</v>
      </c>
      <c r="C1786" s="6" t="s">
        <v>784</v>
      </c>
      <c r="D1786" s="6" t="s">
        <v>2123</v>
      </c>
      <c r="E1786" s="6" t="s">
        <v>12</v>
      </c>
      <c r="F1786" s="6" t="s">
        <v>13</v>
      </c>
      <c r="G1786" s="6" t="s">
        <v>36</v>
      </c>
      <c r="H1786" s="8" t="s">
        <v>2865</v>
      </c>
      <c r="I1786" s="9">
        <v>1353000.0</v>
      </c>
      <c r="J1786" s="5" t="str">
        <f t="shared" ref="J1786:K1786" si="1786">SUBSTITUTE(H1786, ",", "")</f>
        <v>6</v>
      </c>
      <c r="K1786" s="5" t="str">
        <f t="shared" si="1786"/>
        <v>Rp1353000</v>
      </c>
      <c r="L1786" s="5" t="str">
        <f t="shared" si="3"/>
        <v>1353000</v>
      </c>
    </row>
    <row r="1787">
      <c r="A1787" s="6" t="s">
        <v>2940</v>
      </c>
      <c r="B1787" s="7" t="str">
        <f>HYPERLINK("https://shopee.co.id/Safi-Age-Defy-Gold-Water-Essence-100-ml-i.186214521.5104532767", "https://shopee.co.id/Safi-Age-Defy-Gold-Water-Essence-100-ml-i.186214521.5104532767")</f>
        <v>https://shopee.co.id/Safi-Age-Defy-Gold-Water-Essence-100-ml-i.186214521.5104532767</v>
      </c>
      <c r="C1787" s="6" t="s">
        <v>278</v>
      </c>
      <c r="D1787" s="6" t="s">
        <v>2293</v>
      </c>
      <c r="E1787" s="6" t="s">
        <v>12</v>
      </c>
      <c r="F1787" s="6" t="s">
        <v>13</v>
      </c>
      <c r="G1787" s="6" t="s">
        <v>61</v>
      </c>
      <c r="H1787" s="8" t="s">
        <v>2865</v>
      </c>
      <c r="I1787" s="9">
        <v>774000.0</v>
      </c>
      <c r="J1787" s="5" t="str">
        <f t="shared" ref="J1787:K1787" si="1787">SUBSTITUTE(H1787, ",", "")</f>
        <v>6</v>
      </c>
      <c r="K1787" s="5" t="str">
        <f t="shared" si="1787"/>
        <v>Rp774000</v>
      </c>
      <c r="L1787" s="5" t="str">
        <f t="shared" si="3"/>
        <v>774000</v>
      </c>
    </row>
    <row r="1788">
      <c r="A1788" s="6" t="s">
        <v>2941</v>
      </c>
      <c r="B1788" s="7" t="str">
        <f>HYPERLINK("https://shopee.co.id/Naruko-Tea-Tree-Post-Blemish-Corrector-10ml-i.70505220.1182430700", "https://shopee.co.id/Naruko-Tea-Tree-Post-Blemish-Corrector-10ml-i.70505220.1182430700")</f>
        <v>https://shopee.co.id/Naruko-Tea-Tree-Post-Blemish-Corrector-10ml-i.70505220.1182430700</v>
      </c>
      <c r="C1788" s="6" t="s">
        <v>2736</v>
      </c>
      <c r="D1788" s="6" t="s">
        <v>2737</v>
      </c>
      <c r="E1788" s="6" t="s">
        <v>12</v>
      </c>
      <c r="F1788" s="6" t="s">
        <v>13</v>
      </c>
      <c r="G1788" s="6" t="s">
        <v>21</v>
      </c>
      <c r="H1788" s="8" t="s">
        <v>2865</v>
      </c>
      <c r="I1788" s="9">
        <v>774000.0</v>
      </c>
      <c r="J1788" s="5" t="str">
        <f t="shared" ref="J1788:K1788" si="1788">SUBSTITUTE(H1788, ",", "")</f>
        <v>6</v>
      </c>
      <c r="K1788" s="5" t="str">
        <f t="shared" si="1788"/>
        <v>Rp774000</v>
      </c>
      <c r="L1788" s="5" t="str">
        <f t="shared" si="3"/>
        <v>774000</v>
      </c>
    </row>
    <row r="1789">
      <c r="A1789" s="6" t="s">
        <v>2942</v>
      </c>
      <c r="B1789" s="7" t="str">
        <f>HYPERLINK("https://shopee.co.id/BREYLEE-SETS-of-SERUM-G-Menenangkan-Menyegarkan-Wajah-2pcs--i.324706771.11516818470", "https://shopee.co.id/BREYLEE-SETS-of-SERUM-G-Menenangkan-Menyegarkan-Wajah-2pcs--i.324706771.11516818470")</f>
        <v>https://shopee.co.id/BREYLEE-SETS-of-SERUM-G-Menenangkan-Menyegarkan-Wajah-2pcs--i.324706771.11516818470</v>
      </c>
      <c r="C1789" s="6" t="s">
        <v>852</v>
      </c>
      <c r="D1789" s="6" t="s">
        <v>853</v>
      </c>
      <c r="E1789" s="6" t="s">
        <v>12</v>
      </c>
      <c r="F1789" s="6" t="s">
        <v>13</v>
      </c>
      <c r="G1789" s="6" t="s">
        <v>532</v>
      </c>
      <c r="H1789" s="8" t="s">
        <v>2865</v>
      </c>
      <c r="I1789" s="9">
        <v>930000.0</v>
      </c>
      <c r="J1789" s="5" t="str">
        <f t="shared" ref="J1789:K1789" si="1789">SUBSTITUTE(H1789, ",", "")</f>
        <v>6</v>
      </c>
      <c r="K1789" s="5" t="str">
        <f t="shared" si="1789"/>
        <v>Rp930000</v>
      </c>
      <c r="L1789" s="5" t="str">
        <f t="shared" si="3"/>
        <v>930000</v>
      </c>
    </row>
    <row r="1790">
      <c r="A1790" s="6" t="s">
        <v>2943</v>
      </c>
      <c r="B1790" s="7" t="str">
        <f>HYPERLINK("https://shopee.co.id/Aizen-SepiWhite-MSH-3-Ultra-Ampoule-Serum-Pemutih-Pencerah-Kulit-Wajah-i.89939211.8009163469", "https://shopee.co.id/Aizen-SepiWhite-MSH-3-Ultra-Ampoule-Serum-Pemutih-Pencerah-Kulit-Wajah-i.89939211.8009163469")</f>
        <v>https://shopee.co.id/Aizen-SepiWhite-MSH-3-Ultra-Ampoule-Serum-Pemutih-Pencerah-Kulit-Wajah-i.89939211.8009163469</v>
      </c>
      <c r="C1790" s="6" t="s">
        <v>1325</v>
      </c>
      <c r="D1790" s="6" t="s">
        <v>1326</v>
      </c>
      <c r="E1790" s="6" t="s">
        <v>12</v>
      </c>
      <c r="F1790" s="6" t="s">
        <v>13</v>
      </c>
      <c r="G1790" s="6" t="s">
        <v>14</v>
      </c>
      <c r="H1790" s="8" t="s">
        <v>2865</v>
      </c>
      <c r="I1790" s="9">
        <v>534600.0</v>
      </c>
      <c r="J1790" s="5" t="str">
        <f t="shared" ref="J1790:K1790" si="1790">SUBSTITUTE(H1790, ",", "")</f>
        <v>6</v>
      </c>
      <c r="K1790" s="5" t="str">
        <f t="shared" si="1790"/>
        <v>Rp534600</v>
      </c>
      <c r="L1790" s="5" t="str">
        <f t="shared" si="3"/>
        <v>534600</v>
      </c>
    </row>
    <row r="1791">
      <c r="A1791" s="6" t="s">
        <v>2944</v>
      </c>
      <c r="B1791" s="7" t="str">
        <f>HYPERLINK("https://shopee.co.id/Tuesbelle-SKIN-GAME-Theory-Of-Everything-Essence-100ml-i.36872574.9085469491", "https://shopee.co.id/Tuesbelle-SKIN-GAME-Theory-Of-Everything-Essence-100ml-i.36872574.9085469491")</f>
        <v>https://shopee.co.id/Tuesbelle-SKIN-GAME-Theory-Of-Everything-Essence-100ml-i.36872574.9085469491</v>
      </c>
      <c r="C1791" s="6" t="s">
        <v>523</v>
      </c>
      <c r="D1791" s="6" t="s">
        <v>969</v>
      </c>
      <c r="E1791" s="6" t="s">
        <v>12</v>
      </c>
      <c r="F1791" s="6" t="s">
        <v>13</v>
      </c>
      <c r="G1791" s="6" t="s">
        <v>115</v>
      </c>
      <c r="H1791" s="8" t="s">
        <v>2865</v>
      </c>
      <c r="I1791" s="9">
        <v>1889400.0</v>
      </c>
      <c r="J1791" s="5" t="str">
        <f t="shared" ref="J1791:K1791" si="1791">SUBSTITUTE(H1791, ",", "")</f>
        <v>6</v>
      </c>
      <c r="K1791" s="5" t="str">
        <f t="shared" si="1791"/>
        <v>Rp1889400</v>
      </c>
      <c r="L1791" s="5" t="str">
        <f t="shared" si="3"/>
        <v>1889400</v>
      </c>
    </row>
    <row r="1792">
      <c r="A1792" s="6" t="s">
        <v>2945</v>
      </c>
      <c r="B1792" s="7" t="str">
        <f>HYPERLINK("https://shopee.co.id/Nacific-Phyto-Niacin-Whitening-Essence-50ml-i.825870.2042345415", "https://shopee.co.id/Nacific-Phyto-Niacin-Whitening-Essence-50ml-i.825870.2042345415")</f>
        <v>https://shopee.co.id/Nacific-Phyto-Niacin-Whitening-Essence-50ml-i.825870.2042345415</v>
      </c>
      <c r="C1792" s="6" t="s">
        <v>344</v>
      </c>
      <c r="D1792" s="6" t="s">
        <v>1184</v>
      </c>
      <c r="E1792" s="6" t="s">
        <v>12</v>
      </c>
      <c r="F1792" s="6" t="s">
        <v>13</v>
      </c>
      <c r="G1792" s="6" t="s">
        <v>21</v>
      </c>
      <c r="H1792" s="8" t="s">
        <v>2865</v>
      </c>
      <c r="I1792" s="9">
        <v>830280.0</v>
      </c>
      <c r="J1792" s="5" t="str">
        <f t="shared" ref="J1792:K1792" si="1792">SUBSTITUTE(H1792, ",", "")</f>
        <v>6</v>
      </c>
      <c r="K1792" s="5" t="str">
        <f t="shared" si="1792"/>
        <v>Rp830280</v>
      </c>
      <c r="L1792" s="5" t="str">
        <f t="shared" si="3"/>
        <v>830280</v>
      </c>
    </row>
    <row r="1793">
      <c r="A1793" s="6" t="s">
        <v>2946</v>
      </c>
      <c r="B1793" s="7" t="str">
        <f>HYPERLINK("https://shopee.co.id/BLOOMKA-Bakuchiol-Vitamin-B3-Facial-Treatment-Serum-20ml-i.68111.7279790806", "https://shopee.co.id/BLOOMKA-Bakuchiol-Vitamin-B3-Facial-Treatment-Serum-20ml-i.68111.7279790806")</f>
        <v>https://shopee.co.id/BLOOMKA-Bakuchiol-Vitamin-B3-Facial-Treatment-Serum-20ml-i.68111.7279790806</v>
      </c>
      <c r="C1793" s="6" t="s">
        <v>375</v>
      </c>
      <c r="D1793" s="6" t="s">
        <v>441</v>
      </c>
      <c r="E1793" s="6" t="s">
        <v>12</v>
      </c>
      <c r="F1793" s="6" t="s">
        <v>13</v>
      </c>
      <c r="G1793" s="6" t="s">
        <v>130</v>
      </c>
      <c r="H1793" s="8" t="s">
        <v>2865</v>
      </c>
      <c r="I1793" s="9">
        <v>534000.0</v>
      </c>
      <c r="J1793" s="5" t="str">
        <f t="shared" ref="J1793:K1793" si="1793">SUBSTITUTE(H1793, ",", "")</f>
        <v>6</v>
      </c>
      <c r="K1793" s="5" t="str">
        <f t="shared" si="1793"/>
        <v>Rp534000</v>
      </c>
      <c r="L1793" s="5" t="str">
        <f t="shared" si="3"/>
        <v>534000</v>
      </c>
    </row>
    <row r="1794">
      <c r="A1794" s="6" t="s">
        <v>2947</v>
      </c>
      <c r="B1794" s="7" t="str">
        <f>HYPERLINK("https://shopee.co.id/Somethinc-HYALuronic-B5-40ml-Somethinc-Bakuchiol-Skinpair-Serum-20ml-i.110573301.3484753367", "https://shopee.co.id/Somethinc-HYALuronic-B5-40ml-Somethinc-Bakuchiol-Skinpair-Serum-20ml-i.110573301.3484753367")</f>
        <v>https://shopee.co.id/Somethinc-HYALuronic-B5-40ml-Somethinc-Bakuchiol-Skinpair-Serum-20ml-i.110573301.3484753367</v>
      </c>
      <c r="C1794" s="6" t="s">
        <v>45</v>
      </c>
      <c r="D1794" s="6" t="s">
        <v>227</v>
      </c>
      <c r="E1794" s="6" t="s">
        <v>12</v>
      </c>
      <c r="F1794" s="6" t="s">
        <v>13</v>
      </c>
      <c r="G1794" s="6" t="s">
        <v>61</v>
      </c>
      <c r="H1794" s="8" t="s">
        <v>2865</v>
      </c>
      <c r="I1794" s="9">
        <v>285000.0</v>
      </c>
      <c r="J1794" s="5" t="str">
        <f t="shared" ref="J1794:K1794" si="1794">SUBSTITUTE(H1794, ",", "")</f>
        <v>6</v>
      </c>
      <c r="K1794" s="5" t="str">
        <f t="shared" si="1794"/>
        <v>Rp285000</v>
      </c>
      <c r="L1794" s="5" t="str">
        <f t="shared" si="3"/>
        <v>285000</v>
      </c>
    </row>
    <row r="1795">
      <c r="A1795" s="6" t="s">
        <v>2948</v>
      </c>
      <c r="B1795" s="7" t="str">
        <f>HYPERLINK("https://shopee.co.id/Beauty-In-The-Pot-1-pcs-Acne-Care-Serum-With-Centella-Asiatica-Niacinamide-Green-Tea-Extract-i.254413838.9021029120", "https://shopee.co.id/Beauty-In-The-Pot-1-pcs-Acne-Care-Serum-With-Centella-Asiatica-Niacinamide-Green-Tea-Extract-i.254413838.9021029120")</f>
        <v>https://shopee.co.id/Beauty-In-The-Pot-1-pcs-Acne-Care-Serum-With-Centella-Asiatica-Niacinamide-Green-Tea-Extract-i.254413838.9021029120</v>
      </c>
      <c r="C1795" s="6" t="s">
        <v>1495</v>
      </c>
      <c r="D1795" s="6" t="s">
        <v>1496</v>
      </c>
      <c r="E1795" s="6" t="s">
        <v>12</v>
      </c>
      <c r="F1795" s="6" t="s">
        <v>13</v>
      </c>
      <c r="G1795" s="6" t="s">
        <v>85</v>
      </c>
      <c r="H1795" s="8" t="s">
        <v>2865</v>
      </c>
      <c r="I1795" s="9">
        <v>1312500.0</v>
      </c>
      <c r="J1795" s="5" t="str">
        <f t="shared" ref="J1795:K1795" si="1795">SUBSTITUTE(H1795, ",", "")</f>
        <v>6</v>
      </c>
      <c r="K1795" s="5" t="str">
        <f t="shared" si="1795"/>
        <v>Rp1312500</v>
      </c>
      <c r="L1795" s="5" t="str">
        <f t="shared" si="3"/>
        <v>1312500</v>
      </c>
    </row>
    <row r="1796">
      <c r="A1796" s="6" t="s">
        <v>2949</v>
      </c>
      <c r="B1796" s="7" t="str">
        <f>HYPERLINK("https://shopee.co.id/INDOGANIC-Brightening-Vit-C-Serum-With-Glutathione-15ml-i.68111.9518194917", "https://shopee.co.id/INDOGANIC-Brightening-Vit-C-Serum-With-Glutathione-15ml-i.68111.9518194917")</f>
        <v>https://shopee.co.id/INDOGANIC-Brightening-Vit-C-Serum-With-Glutathione-15ml-i.68111.9518194917</v>
      </c>
      <c r="C1796" s="6" t="s">
        <v>995</v>
      </c>
      <c r="D1796" s="6" t="s">
        <v>441</v>
      </c>
      <c r="E1796" s="6" t="s">
        <v>12</v>
      </c>
      <c r="F1796" s="6" t="s">
        <v>13</v>
      </c>
      <c r="G1796" s="6" t="s">
        <v>130</v>
      </c>
      <c r="H1796" s="8" t="s">
        <v>2865</v>
      </c>
      <c r="I1796" s="9">
        <v>402000.0</v>
      </c>
      <c r="J1796" s="5" t="str">
        <f t="shared" ref="J1796:K1796" si="1796">SUBSTITUTE(H1796, ",", "")</f>
        <v>6</v>
      </c>
      <c r="K1796" s="5" t="str">
        <f t="shared" si="1796"/>
        <v>Rp402000</v>
      </c>
      <c r="L1796" s="5" t="str">
        <f t="shared" si="3"/>
        <v>402000</v>
      </c>
    </row>
    <row r="1797">
      <c r="A1797" s="6" t="s">
        <v>2950</v>
      </c>
      <c r="B1797" s="7" t="str">
        <f>HYPERLINK("https://shopee.co.id/GLOSKIN-Clear-Xpert-Serum-i.206769167.8039735489", "https://shopee.co.id/GLOSKIN-Clear-Xpert-Serum-i.206769167.8039735489")</f>
        <v>https://shopee.co.id/GLOSKIN-Clear-Xpert-Serum-i.206769167.8039735489</v>
      </c>
      <c r="C1797" s="6" t="s">
        <v>2256</v>
      </c>
      <c r="D1797" s="6" t="s">
        <v>2257</v>
      </c>
      <c r="E1797" s="6" t="s">
        <v>12</v>
      </c>
      <c r="F1797" s="6" t="s">
        <v>13</v>
      </c>
      <c r="G1797" s="6" t="s">
        <v>98</v>
      </c>
      <c r="H1797" s="8" t="s">
        <v>2865</v>
      </c>
      <c r="I1797" s="9">
        <v>890000.0</v>
      </c>
      <c r="J1797" s="5" t="str">
        <f t="shared" ref="J1797:K1797" si="1797">SUBSTITUTE(H1797, ",", "")</f>
        <v>6</v>
      </c>
      <c r="K1797" s="5" t="str">
        <f t="shared" si="1797"/>
        <v>Rp890000</v>
      </c>
      <c r="L1797" s="5" t="str">
        <f t="shared" si="3"/>
        <v>890000</v>
      </c>
    </row>
    <row r="1798">
      <c r="A1798" s="6" t="s">
        <v>2951</v>
      </c>
      <c r="B1798" s="7" t="str">
        <f>HYPERLINK("https://shopee.co.id/GLOSKIN-Hydra-Xpert-Serum-i.206769167.8039740027", "https://shopee.co.id/GLOSKIN-Hydra-Xpert-Serum-i.206769167.8039740027")</f>
        <v>https://shopee.co.id/GLOSKIN-Hydra-Xpert-Serum-i.206769167.8039740027</v>
      </c>
      <c r="C1798" s="6" t="s">
        <v>2256</v>
      </c>
      <c r="D1798" s="6" t="s">
        <v>2257</v>
      </c>
      <c r="E1798" s="6" t="s">
        <v>12</v>
      </c>
      <c r="F1798" s="6" t="s">
        <v>13</v>
      </c>
      <c r="G1798" s="6" t="s">
        <v>98</v>
      </c>
      <c r="H1798" s="8" t="s">
        <v>2952</v>
      </c>
      <c r="I1798" s="9">
        <v>281595.0</v>
      </c>
      <c r="J1798" s="5" t="str">
        <f t="shared" ref="J1798:K1798" si="1798">SUBSTITUTE(H1798, ",", "")</f>
        <v>5</v>
      </c>
      <c r="K1798" s="5" t="str">
        <f t="shared" si="1798"/>
        <v>Rp281595</v>
      </c>
      <c r="L1798" s="5" t="str">
        <f t="shared" si="3"/>
        <v>281595</v>
      </c>
    </row>
    <row r="1799">
      <c r="A1799" s="6" t="s">
        <v>2953</v>
      </c>
      <c r="B1799" s="7" t="str">
        <f>HYPERLINK("https://shopee.co.id/MS-GLOW-Deep-Treatment-Essence-Meredakan-Iritasi-Mengatasi-Masalah-Jerawat-Menjaga-Kelembapan-Kulit-i.301699781.2952961773", "https://shopee.co.id/MS-GLOW-Deep-Treatment-Essence-Meredakan-Iritasi-Mengatasi-Masalah-Jerawat-Menjaga-Kelembapan-Kulit-i.301699781.2952961773")</f>
        <v>https://shopee.co.id/MS-GLOW-Deep-Treatment-Essence-Meredakan-Iritasi-Mengatasi-Masalah-Jerawat-Menjaga-Kelembapan-Kulit-i.301699781.2952961773</v>
      </c>
      <c r="C1799" s="6" t="s">
        <v>96</v>
      </c>
      <c r="D1799" s="6" t="s">
        <v>2954</v>
      </c>
      <c r="E1799" s="6" t="s">
        <v>12</v>
      </c>
      <c r="F1799" s="6" t="s">
        <v>13</v>
      </c>
      <c r="G1799" s="6" t="s">
        <v>115</v>
      </c>
      <c r="H1799" s="8" t="s">
        <v>2952</v>
      </c>
      <c r="I1799" s="9">
        <v>745000.0</v>
      </c>
      <c r="J1799" s="5" t="str">
        <f t="shared" ref="J1799:K1799" si="1799">SUBSTITUTE(H1799, ",", "")</f>
        <v>5</v>
      </c>
      <c r="K1799" s="5" t="str">
        <f t="shared" si="1799"/>
        <v>Rp745000</v>
      </c>
      <c r="L1799" s="5" t="str">
        <f t="shared" si="3"/>
        <v>745000</v>
      </c>
    </row>
    <row r="1800">
      <c r="A1800" s="6" t="s">
        <v>2955</v>
      </c>
      <c r="B1800" s="7" t="str">
        <f>HYPERLINK("https://shopee.co.id/Nusantics-Lavender-Biome-Spray-Essence-i.156645962.2333931733", "https://shopee.co.id/Nusantics-Lavender-Biome-Spray-Essence-i.156645962.2333931733")</f>
        <v>https://shopee.co.id/Nusantics-Lavender-Biome-Spray-Essence-i.156645962.2333931733</v>
      </c>
      <c r="C1800" s="6" t="s">
        <v>2427</v>
      </c>
      <c r="D1800" s="6" t="s">
        <v>2428</v>
      </c>
      <c r="E1800" s="6" t="s">
        <v>12</v>
      </c>
      <c r="F1800" s="6" t="s">
        <v>13</v>
      </c>
      <c r="G1800" s="6" t="s">
        <v>98</v>
      </c>
      <c r="H1800" s="8" t="s">
        <v>2952</v>
      </c>
      <c r="I1800" s="9">
        <v>511700.0</v>
      </c>
      <c r="J1800" s="5" t="str">
        <f t="shared" ref="J1800:K1800" si="1800">SUBSTITUTE(H1800, ",", "")</f>
        <v>5</v>
      </c>
      <c r="K1800" s="5" t="str">
        <f t="shared" si="1800"/>
        <v>Rp511700</v>
      </c>
      <c r="L1800" s="5" t="str">
        <f t="shared" si="3"/>
        <v>511700</v>
      </c>
    </row>
    <row r="1801">
      <c r="A1801" s="6" t="s">
        <v>2956</v>
      </c>
      <c r="B1801" s="7" t="str">
        <f>HYPERLINK("https://shopee.co.id/Promo-Dr-Ekles-Skincare-Face-Tonic-Whitening-Premium-120ml-i.294944553.11545972617", "https://shopee.co.id/Promo-Dr-Ekles-Skincare-Face-Tonic-Whitening-Premium-120ml-i.294944553.11545972617")</f>
        <v>https://shopee.co.id/Promo-Dr-Ekles-Skincare-Face-Tonic-Whitening-Premium-120ml-i.294944553.11545972617</v>
      </c>
      <c r="C1801" s="6" t="s">
        <v>1487</v>
      </c>
      <c r="D1801" s="6" t="s">
        <v>1488</v>
      </c>
      <c r="E1801" s="6" t="s">
        <v>12</v>
      </c>
      <c r="F1801" s="6" t="s">
        <v>13</v>
      </c>
      <c r="G1801" s="6" t="s">
        <v>61</v>
      </c>
      <c r="H1801" s="8" t="s">
        <v>2952</v>
      </c>
      <c r="I1801" s="9">
        <v>1452000.0</v>
      </c>
      <c r="J1801" s="5" t="str">
        <f t="shared" ref="J1801:K1801" si="1801">SUBSTITUTE(H1801, ",", "")</f>
        <v>5</v>
      </c>
      <c r="K1801" s="5" t="str">
        <f t="shared" si="1801"/>
        <v>Rp1452000</v>
      </c>
      <c r="L1801" s="5" t="str">
        <f t="shared" si="3"/>
        <v>1452000</v>
      </c>
    </row>
    <row r="1802">
      <c r="A1802" s="6" t="s">
        <v>2957</v>
      </c>
      <c r="B1802" s="7" t="str">
        <f>HYPERLINK("https://shopee.co.id/PURITO-Hyaluronic-Acid-90-Serum-i.233721470.3568514661", "https://shopee.co.id/PURITO-Hyaluronic-Acid-90-Serum-i.233721470.3568514661")</f>
        <v>https://shopee.co.id/PURITO-Hyaluronic-Acid-90-Serum-i.233721470.3568514661</v>
      </c>
      <c r="C1802" s="6" t="s">
        <v>1993</v>
      </c>
      <c r="D1802" s="6" t="s">
        <v>1994</v>
      </c>
      <c r="E1802" s="6" t="s">
        <v>12</v>
      </c>
      <c r="F1802" s="6" t="s">
        <v>13</v>
      </c>
      <c r="G1802" s="6" t="s">
        <v>21</v>
      </c>
      <c r="H1802" s="8" t="s">
        <v>2952</v>
      </c>
      <c r="I1802" s="9">
        <v>425000.0</v>
      </c>
      <c r="J1802" s="5" t="str">
        <f t="shared" ref="J1802:K1802" si="1802">SUBSTITUTE(H1802, ",", "")</f>
        <v>5</v>
      </c>
      <c r="K1802" s="5" t="str">
        <f t="shared" si="1802"/>
        <v>Rp425000</v>
      </c>
      <c r="L1802" s="5" t="str">
        <f t="shared" si="3"/>
        <v>425000</v>
      </c>
    </row>
    <row r="1803">
      <c r="A1803" s="6" t="s">
        <v>2958</v>
      </c>
      <c r="B1803" s="7" t="str">
        <f>HYPERLINK("https://shopee.co.id/INNERTRUE-Essence-Of-Life-Serum-15ml-i.68111.5042119428", "https://shopee.co.id/INNERTRUE-Essence-Of-Life-Serum-15ml-i.68111.5042119428")</f>
        <v>https://shopee.co.id/INNERTRUE-Essence-Of-Life-Serum-15ml-i.68111.5042119428</v>
      </c>
      <c r="C1803" s="6" t="s">
        <v>1321</v>
      </c>
      <c r="D1803" s="6" t="s">
        <v>441</v>
      </c>
      <c r="E1803" s="6" t="s">
        <v>12</v>
      </c>
      <c r="F1803" s="6" t="s">
        <v>13</v>
      </c>
      <c r="G1803" s="6" t="s">
        <v>130</v>
      </c>
      <c r="H1803" s="8" t="s">
        <v>2952</v>
      </c>
      <c r="I1803" s="9">
        <v>2225000.0</v>
      </c>
      <c r="J1803" s="5" t="str">
        <f t="shared" ref="J1803:K1803" si="1803">SUBSTITUTE(H1803, ",", "")</f>
        <v>5</v>
      </c>
      <c r="K1803" s="5" t="str">
        <f t="shared" si="1803"/>
        <v>Rp2225000</v>
      </c>
      <c r="L1803" s="5" t="str">
        <f t="shared" si="3"/>
        <v>2225000</v>
      </c>
    </row>
    <row r="1804">
      <c r="A1804" s="6" t="s">
        <v>2959</v>
      </c>
      <c r="B1804" s="7" t="str">
        <f>HYPERLINK("https://shopee.co.id/Avoskin-Your-Skin-Bae-Serum-Ultimate-Hyaluron-HYACROSS-3-Green-Tea-30ml-i.50948181.10717397538", "https://shopee.co.id/Avoskin-Your-Skin-Bae-Serum-Ultimate-Hyaluron-HYACROSS-3-Green-Tea-30ml-i.50948181.10717397538")</f>
        <v>https://shopee.co.id/Avoskin-Your-Skin-Bae-Serum-Ultimate-Hyaluron-HYACROSS-3-Green-Tea-30ml-i.50948181.10717397538</v>
      </c>
      <c r="C1804" s="6" t="s">
        <v>83</v>
      </c>
      <c r="D1804" s="6" t="s">
        <v>1129</v>
      </c>
      <c r="E1804" s="6" t="s">
        <v>12</v>
      </c>
      <c r="F1804" s="6" t="s">
        <v>13</v>
      </c>
      <c r="G1804" s="6" t="s">
        <v>1130</v>
      </c>
      <c r="H1804" s="8" t="s">
        <v>2952</v>
      </c>
      <c r="I1804" s="9">
        <v>660250.0</v>
      </c>
      <c r="J1804" s="5" t="str">
        <f t="shared" ref="J1804:K1804" si="1804">SUBSTITUTE(H1804, ",", "")</f>
        <v>5</v>
      </c>
      <c r="K1804" s="5" t="str">
        <f t="shared" si="1804"/>
        <v>Rp660250</v>
      </c>
      <c r="L1804" s="5" t="str">
        <f t="shared" si="3"/>
        <v>660250</v>
      </c>
    </row>
    <row r="1805">
      <c r="A1805" s="6" t="s">
        <v>2960</v>
      </c>
      <c r="B1805" s="7" t="str">
        <f>HYPERLINK("https://shopee.co.id/THANK-YOU-FARMER-MIRACLE-AGE-REPAIR-SERUM-60-ml-i.53497038.7234060410", "https://shopee.co.id/THANK-YOU-FARMER-MIRACLE-AGE-REPAIR-SERUM-60-ml-i.53497038.7234060410")</f>
        <v>https://shopee.co.id/THANK-YOU-FARMER-MIRACLE-AGE-REPAIR-SERUM-60-ml-i.53497038.7234060410</v>
      </c>
      <c r="C1805" s="6" t="s">
        <v>2961</v>
      </c>
      <c r="D1805" s="6" t="s">
        <v>907</v>
      </c>
      <c r="E1805" s="6" t="s">
        <v>12</v>
      </c>
      <c r="F1805" s="6" t="s">
        <v>13</v>
      </c>
      <c r="G1805" s="6" t="s">
        <v>61</v>
      </c>
      <c r="H1805" s="8" t="s">
        <v>2952</v>
      </c>
      <c r="I1805" s="9">
        <v>533400.0</v>
      </c>
      <c r="J1805" s="5" t="str">
        <f t="shared" ref="J1805:K1805" si="1805">SUBSTITUTE(H1805, ",", "")</f>
        <v>5</v>
      </c>
      <c r="K1805" s="5" t="str">
        <f t="shared" si="1805"/>
        <v>Rp533400</v>
      </c>
      <c r="L1805" s="5" t="str">
        <f t="shared" si="3"/>
        <v>533400</v>
      </c>
    </row>
    <row r="1806">
      <c r="A1806" s="6" t="s">
        <v>2962</v>
      </c>
      <c r="B1806" s="7" t="str">
        <f>HYPERLINK("https://shopee.co.id/Azarine-Lightening-Serum-20ml-C-White-i.50948181.8128238870", "https://shopee.co.id/Azarine-Lightening-Serum-20ml-C-White-i.50948181.8128238870")</f>
        <v>https://shopee.co.id/Azarine-Lightening-Serum-20ml-C-White-i.50948181.8128238870</v>
      </c>
      <c r="C1806" s="6" t="s">
        <v>233</v>
      </c>
      <c r="D1806" s="6" t="s">
        <v>1129</v>
      </c>
      <c r="E1806" s="6" t="s">
        <v>12</v>
      </c>
      <c r="F1806" s="6" t="s">
        <v>13</v>
      </c>
      <c r="G1806" s="6" t="s">
        <v>1130</v>
      </c>
      <c r="H1806" s="8" t="s">
        <v>2952</v>
      </c>
      <c r="I1806" s="9">
        <v>455000.0</v>
      </c>
      <c r="J1806" s="5" t="str">
        <f t="shared" ref="J1806:K1806" si="1806">SUBSTITUTE(H1806, ",", "")</f>
        <v>5</v>
      </c>
      <c r="K1806" s="5" t="str">
        <f t="shared" si="1806"/>
        <v>Rp455000</v>
      </c>
      <c r="L1806" s="5" t="str">
        <f t="shared" si="3"/>
        <v>455000</v>
      </c>
    </row>
    <row r="1807">
      <c r="A1807" s="6" t="s">
        <v>2963</v>
      </c>
      <c r="B1807" s="7" t="str">
        <f>HYPERLINK("https://shopee.co.id/Kiehl-s-Midnight-Recovery-Concentrate-15ml-i.825870.1429670610", "https://shopee.co.id/Kiehl-s-Midnight-Recovery-Concentrate-15ml-i.825870.1429670610")</f>
        <v>https://shopee.co.id/Kiehl-s-Midnight-Recovery-Concentrate-15ml-i.825870.1429670610</v>
      </c>
      <c r="C1807" s="6" t="s">
        <v>2964</v>
      </c>
      <c r="D1807" s="6" t="s">
        <v>1184</v>
      </c>
      <c r="E1807" s="6" t="s">
        <v>12</v>
      </c>
      <c r="F1807" s="6" t="s">
        <v>13</v>
      </c>
      <c r="G1807" s="6" t="s">
        <v>21</v>
      </c>
      <c r="H1807" s="8" t="s">
        <v>2952</v>
      </c>
      <c r="I1807" s="9">
        <v>475000.0</v>
      </c>
      <c r="J1807" s="5" t="str">
        <f t="shared" ref="J1807:K1807" si="1807">SUBSTITUTE(H1807, ",", "")</f>
        <v>5</v>
      </c>
      <c r="K1807" s="5" t="str">
        <f t="shared" si="1807"/>
        <v>Rp475000</v>
      </c>
      <c r="L1807" s="5" t="str">
        <f t="shared" si="3"/>
        <v>475000</v>
      </c>
    </row>
    <row r="1808">
      <c r="A1808" s="6" t="s">
        <v>2965</v>
      </c>
      <c r="B1808" s="7" t="str">
        <f>HYPERLINK("https://shopee.co.id/Safi-Age-Defy-Gold-Water-Essence-30-ml-Naturals-Micellar-Water-with-Cucumber-100-ml-i.63823668.5543846627", "https://shopee.co.id/Safi-Age-Defy-Gold-Water-Essence-30-ml-Naturals-Micellar-Water-with-Cucumber-100-ml-i.63823668.5543846627")</f>
        <v>https://shopee.co.id/Safi-Age-Defy-Gold-Water-Essence-30-ml-Naturals-Micellar-Water-with-Cucumber-100-ml-i.63823668.5543846627</v>
      </c>
      <c r="C1808" s="6" t="s">
        <v>278</v>
      </c>
      <c r="D1808" s="6" t="s">
        <v>279</v>
      </c>
      <c r="E1808" s="6" t="s">
        <v>12</v>
      </c>
      <c r="F1808" s="6" t="s">
        <v>13</v>
      </c>
      <c r="G1808" s="6" t="s">
        <v>61</v>
      </c>
      <c r="H1808" s="8" t="s">
        <v>2952</v>
      </c>
      <c r="I1808" s="9">
        <v>213000.0</v>
      </c>
      <c r="J1808" s="5" t="str">
        <f t="shared" ref="J1808:K1808" si="1808">SUBSTITUTE(H1808, ",", "")</f>
        <v>5</v>
      </c>
      <c r="K1808" s="5" t="str">
        <f t="shared" si="1808"/>
        <v>Rp213000</v>
      </c>
      <c r="L1808" s="5" t="str">
        <f t="shared" si="3"/>
        <v>213000</v>
      </c>
    </row>
    <row r="1809">
      <c r="A1809" s="6" t="s">
        <v>2966</v>
      </c>
      <c r="B1809" s="7" t="str">
        <f>HYPERLINK("https://shopee.co.id/Natasha-by-dr-Fredi-Setyawan-Teen-Glowing-Essence-i.40121814.4757949503", "https://shopee.co.id/Natasha-by-dr-Fredi-Setyawan-Teen-Glowing-Essence-i.40121814.4757949503")</f>
        <v>https://shopee.co.id/Natasha-by-dr-Fredi-Setyawan-Teen-Glowing-Essence-i.40121814.4757949503</v>
      </c>
      <c r="C1809" s="6" t="s">
        <v>793</v>
      </c>
      <c r="D1809" s="6" t="s">
        <v>794</v>
      </c>
      <c r="E1809" s="6" t="s">
        <v>12</v>
      </c>
      <c r="F1809" s="6" t="s">
        <v>13</v>
      </c>
      <c r="G1809" s="6" t="s">
        <v>380</v>
      </c>
      <c r="H1809" s="8" t="s">
        <v>2952</v>
      </c>
      <c r="I1809" s="9">
        <v>259500.0</v>
      </c>
      <c r="J1809" s="5" t="str">
        <f t="shared" ref="J1809:K1809" si="1809">SUBSTITUTE(H1809, ",", "")</f>
        <v>5</v>
      </c>
      <c r="K1809" s="5" t="str">
        <f t="shared" si="1809"/>
        <v>Rp259500</v>
      </c>
      <c r="L1809" s="5" t="str">
        <f t="shared" si="3"/>
        <v>259500</v>
      </c>
    </row>
    <row r="1810">
      <c r="A1810" s="6" t="s">
        <v>2967</v>
      </c>
      <c r="B1810" s="7" t="str">
        <f>HYPERLINK("https://shopee.co.id/Natosh-Rice-Bran-Oil-i.79298106.1421394946", "https://shopee.co.id/Natosh-Rice-Bran-Oil-i.79298106.1421394946")</f>
        <v>https://shopee.co.id/Natosh-Rice-Bran-Oil-i.79298106.1421394946</v>
      </c>
      <c r="C1810" s="6" t="s">
        <v>2968</v>
      </c>
      <c r="D1810" s="6" t="s">
        <v>2969</v>
      </c>
      <c r="E1810" s="6" t="s">
        <v>12</v>
      </c>
      <c r="F1810" s="6" t="s">
        <v>13</v>
      </c>
      <c r="G1810" s="6" t="s">
        <v>350</v>
      </c>
      <c r="H1810" s="8" t="s">
        <v>2952</v>
      </c>
      <c r="I1810" s="9">
        <v>133700.0</v>
      </c>
      <c r="J1810" s="5" t="str">
        <f t="shared" ref="J1810:K1810" si="1810">SUBSTITUTE(H1810, ",", "")</f>
        <v>5</v>
      </c>
      <c r="K1810" s="5" t="str">
        <f t="shared" si="1810"/>
        <v>Rp133700</v>
      </c>
      <c r="L1810" s="5" t="str">
        <f t="shared" si="3"/>
        <v>133700</v>
      </c>
    </row>
    <row r="1811">
      <c r="A1811" s="6" t="s">
        <v>2970</v>
      </c>
      <c r="B1811" s="7" t="str">
        <f>HYPERLINK("https://shopee.co.id/Crushlicious-Niacinamide-Glow-Up-Serum-Oatmask-i.4184162.4590157589", "https://shopee.co.id/Crushlicious-Niacinamide-Glow-Up-Serum-Oatmask-i.4184162.4590157589")</f>
        <v>https://shopee.co.id/Crushlicious-Niacinamide-Glow-Up-Serum-Oatmask-i.4184162.4590157589</v>
      </c>
      <c r="C1811" s="6" t="s">
        <v>1619</v>
      </c>
      <c r="D1811" s="6" t="s">
        <v>1620</v>
      </c>
      <c r="E1811" s="6" t="s">
        <v>12</v>
      </c>
      <c r="F1811" s="6" t="s">
        <v>13</v>
      </c>
      <c r="G1811" s="6" t="s">
        <v>1621</v>
      </c>
      <c r="H1811" s="8" t="s">
        <v>2952</v>
      </c>
      <c r="I1811" s="9">
        <v>8500000.0</v>
      </c>
      <c r="J1811" s="5" t="str">
        <f t="shared" ref="J1811:K1811" si="1811">SUBSTITUTE(H1811, ",", "")</f>
        <v>5</v>
      </c>
      <c r="K1811" s="5" t="str">
        <f t="shared" si="1811"/>
        <v>Rp8500000</v>
      </c>
      <c r="L1811" s="5" t="str">
        <f t="shared" si="3"/>
        <v>8500000</v>
      </c>
    </row>
    <row r="1812">
      <c r="A1812" s="6" t="s">
        <v>2971</v>
      </c>
      <c r="B1812" s="7" t="str">
        <f>HYPERLINK("https://shopee.co.id/Mediheal-Masking-Layering-Ampoule-Poreminor-Shot-size-4-ml-3-Edit-by-Sociolla-i.224957239.7430893443", "https://shopee.co.id/Mediheal-Masking-Layering-Ampoule-Poreminor-Shot-size-4-ml-3-Edit-by-Sociolla-i.224957239.7430893443")</f>
        <v>https://shopee.co.id/Mediheal-Masking-Layering-Ampoule-Poreminor-Shot-size-4-ml-3-Edit-by-Sociolla-i.224957239.7430893443</v>
      </c>
      <c r="C1812" s="6" t="s">
        <v>2972</v>
      </c>
      <c r="D1812" s="6" t="s">
        <v>492</v>
      </c>
      <c r="E1812" s="6" t="s">
        <v>12</v>
      </c>
      <c r="F1812" s="6" t="s">
        <v>13</v>
      </c>
      <c r="G1812" s="6" t="s">
        <v>21</v>
      </c>
      <c r="H1812" s="8" t="s">
        <v>2952</v>
      </c>
      <c r="I1812" s="9">
        <v>225000.0</v>
      </c>
      <c r="J1812" s="5" t="str">
        <f t="shared" ref="J1812:K1812" si="1812">SUBSTITUTE(H1812, ",", "")</f>
        <v>5</v>
      </c>
      <c r="K1812" s="5" t="str">
        <f t="shared" si="1812"/>
        <v>Rp225000</v>
      </c>
      <c r="L1812" s="5" t="str">
        <f t="shared" si="3"/>
        <v>225000</v>
      </c>
    </row>
    <row r="1813">
      <c r="A1813" s="6" t="s">
        <v>2973</v>
      </c>
      <c r="B1813" s="7" t="str">
        <f>HYPERLINK("https://shopee.co.id/Hado-Labo-Ultimate-Anti-Aging-Essence-30-Gr-i.30736001.7837708436", "https://shopee.co.id/Hado-Labo-Ultimate-Anti-Aging-Essence-30-Gr-i.30736001.7837708436")</f>
        <v>https://shopee.co.id/Hado-Labo-Ultimate-Anti-Aging-Essence-30-Gr-i.30736001.7837708436</v>
      </c>
      <c r="C1813" s="6" t="s">
        <v>2090</v>
      </c>
      <c r="D1813" s="6" t="s">
        <v>335</v>
      </c>
      <c r="E1813" s="6" t="s">
        <v>12</v>
      </c>
      <c r="F1813" s="6" t="s">
        <v>13</v>
      </c>
      <c r="G1813" s="6" t="s">
        <v>36</v>
      </c>
      <c r="H1813" s="8" t="s">
        <v>2952</v>
      </c>
      <c r="I1813" s="9">
        <v>745000.0</v>
      </c>
      <c r="J1813" s="5" t="str">
        <f t="shared" ref="J1813:K1813" si="1813">SUBSTITUTE(H1813, ",", "")</f>
        <v>5</v>
      </c>
      <c r="K1813" s="5" t="str">
        <f t="shared" si="1813"/>
        <v>Rp745000</v>
      </c>
      <c r="L1813" s="5" t="str">
        <f t="shared" si="3"/>
        <v>745000</v>
      </c>
    </row>
    <row r="1814">
      <c r="A1814" s="6" t="s">
        <v>2974</v>
      </c>
      <c r="B1814" s="7" t="str">
        <f>HYPERLINK("https://shopee.co.id/BLITHE-PRESSED-SERUM-TUNDRA-CHAGA-50-GR-i.53497038.1374816417", "https://shopee.co.id/BLITHE-PRESSED-SERUM-TUNDRA-CHAGA-50-GR-i.53497038.1374816417")</f>
        <v>https://shopee.co.id/BLITHE-PRESSED-SERUM-TUNDRA-CHAGA-50-GR-i.53497038.1374816417</v>
      </c>
      <c r="C1814" s="6" t="s">
        <v>1969</v>
      </c>
      <c r="D1814" s="6" t="s">
        <v>907</v>
      </c>
      <c r="E1814" s="6" t="s">
        <v>12</v>
      </c>
      <c r="F1814" s="6" t="s">
        <v>13</v>
      </c>
      <c r="G1814" s="6" t="s">
        <v>61</v>
      </c>
      <c r="H1814" s="8" t="s">
        <v>2952</v>
      </c>
      <c r="I1814" s="9">
        <v>961400.0</v>
      </c>
      <c r="J1814" s="5" t="str">
        <f t="shared" ref="J1814:K1814" si="1814">SUBSTITUTE(H1814, ",", "")</f>
        <v>5</v>
      </c>
      <c r="K1814" s="5" t="str">
        <f t="shared" si="1814"/>
        <v>Rp961400</v>
      </c>
      <c r="L1814" s="5" t="str">
        <f t="shared" si="3"/>
        <v>961400</v>
      </c>
    </row>
    <row r="1815">
      <c r="A1815" s="6" t="s">
        <v>2975</v>
      </c>
      <c r="B1815" s="7" t="str">
        <f>HYPERLINK("https://shopee.co.id/CLINELLE-Age-Revive-Lifting-Youth-Essence-20-mL-Essense-Wajah-Kulit-Normal-Kering-i.173963911.5855848448", "https://shopee.co.id/CLINELLE-Age-Revive-Lifting-Youth-Essence-20-mL-Essense-Wajah-Kulit-Normal-Kering-i.173963911.5855848448")</f>
        <v>https://shopee.co.id/CLINELLE-Age-Revive-Lifting-Youth-Essence-20-mL-Essense-Wajah-Kulit-Normal-Kering-i.173963911.5855848448</v>
      </c>
      <c r="C1815" s="6" t="s">
        <v>1456</v>
      </c>
      <c r="D1815" s="6" t="s">
        <v>1457</v>
      </c>
      <c r="E1815" s="6" t="s">
        <v>12</v>
      </c>
      <c r="F1815" s="6" t="s">
        <v>13</v>
      </c>
      <c r="G1815" s="6" t="s">
        <v>21</v>
      </c>
      <c r="H1815" s="8" t="s">
        <v>2952</v>
      </c>
      <c r="I1815" s="9">
        <v>304000.0</v>
      </c>
      <c r="J1815" s="5" t="str">
        <f t="shared" ref="J1815:K1815" si="1815">SUBSTITUTE(H1815, ",", "")</f>
        <v>5</v>
      </c>
      <c r="K1815" s="5" t="str">
        <f t="shared" si="1815"/>
        <v>Rp304000</v>
      </c>
      <c r="L1815" s="5" t="str">
        <f t="shared" si="3"/>
        <v>304000</v>
      </c>
    </row>
    <row r="1816">
      <c r="A1816" s="6" t="s">
        <v>2976</v>
      </c>
      <c r="B1816" s="7" t="str">
        <f>HYPERLINK("https://shopee.co.id/KEZIA-Skincare-Dark-Spot-Serum-15ml-i.193506655.4204576406", "https://shopee.co.id/KEZIA-Skincare-Dark-Spot-Serum-15ml-i.193506655.4204576406")</f>
        <v>https://shopee.co.id/KEZIA-Skincare-Dark-Spot-Serum-15ml-i.193506655.4204576406</v>
      </c>
      <c r="C1816" s="6" t="s">
        <v>2762</v>
      </c>
      <c r="D1816" s="6" t="s">
        <v>2763</v>
      </c>
      <c r="E1816" s="6" t="s">
        <v>12</v>
      </c>
      <c r="F1816" s="6" t="s">
        <v>13</v>
      </c>
      <c r="G1816" s="6" t="s">
        <v>532</v>
      </c>
      <c r="H1816" s="8" t="s">
        <v>2952</v>
      </c>
      <c r="I1816" s="9">
        <v>228000.0</v>
      </c>
      <c r="J1816" s="5" t="str">
        <f t="shared" ref="J1816:K1816" si="1816">SUBSTITUTE(H1816, ",", "")</f>
        <v>5</v>
      </c>
      <c r="K1816" s="5" t="str">
        <f t="shared" si="1816"/>
        <v>Rp228000</v>
      </c>
      <c r="L1816" s="5" t="str">
        <f t="shared" si="3"/>
        <v>228000</v>
      </c>
    </row>
    <row r="1817">
      <c r="A1817" s="6" t="s">
        <v>2977</v>
      </c>
      <c r="B1817" s="7" t="str">
        <f>HYPERLINK("https://shopee.co.id/Dear-Me-Beauty-Retinol-Blueberry-Extract-Face-Serum-i.270965687.9560187746", "https://shopee.co.id/Dear-Me-Beauty-Retinol-Blueberry-Extract-Face-Serum-i.270965687.9560187746")</f>
        <v>https://shopee.co.id/Dear-Me-Beauty-Retinol-Blueberry-Extract-Face-Serum-i.270965687.9560187746</v>
      </c>
      <c r="C1817" s="6" t="s">
        <v>70</v>
      </c>
      <c r="D1817" s="6" t="s">
        <v>379</v>
      </c>
      <c r="E1817" s="6" t="s">
        <v>12</v>
      </c>
      <c r="F1817" s="6" t="s">
        <v>13</v>
      </c>
      <c r="G1817" s="6" t="s">
        <v>380</v>
      </c>
      <c r="H1817" s="8" t="s">
        <v>2952</v>
      </c>
      <c r="I1817" s="9">
        <v>227150.0</v>
      </c>
      <c r="J1817" s="5" t="str">
        <f t="shared" ref="J1817:K1817" si="1817">SUBSTITUTE(H1817, ",", "")</f>
        <v>5</v>
      </c>
      <c r="K1817" s="5" t="str">
        <f t="shared" si="1817"/>
        <v>Rp227150</v>
      </c>
      <c r="L1817" s="5" t="str">
        <f t="shared" si="3"/>
        <v>227150</v>
      </c>
    </row>
    <row r="1818">
      <c r="A1818" s="6" t="s">
        <v>2978</v>
      </c>
      <c r="B1818" s="7" t="str">
        <f>HYPERLINK("https://shopee.co.id/Fameux-Peptide-C-Serum-With-Peptide-and-Hyaluronic-Acid-i.54644416.2215129712", "https://shopee.co.id/Fameux-Peptide-C-Serum-With-Peptide-and-Hyaluronic-Acid-i.54644416.2215129712")</f>
        <v>https://shopee.co.id/Fameux-Peptide-C-Serum-With-Peptide-and-Hyaluronic-Acid-i.54644416.2215129712</v>
      </c>
      <c r="C1818" s="6" t="s">
        <v>2979</v>
      </c>
      <c r="D1818" s="6" t="s">
        <v>2980</v>
      </c>
      <c r="E1818" s="6" t="s">
        <v>12</v>
      </c>
      <c r="F1818" s="6" t="s">
        <v>13</v>
      </c>
      <c r="G1818" s="6" t="s">
        <v>350</v>
      </c>
      <c r="H1818" s="8" t="s">
        <v>2952</v>
      </c>
      <c r="I1818" s="9">
        <v>735000.0</v>
      </c>
      <c r="J1818" s="5" t="str">
        <f t="shared" ref="J1818:K1818" si="1818">SUBSTITUTE(H1818, ",", "")</f>
        <v>5</v>
      </c>
      <c r="K1818" s="5" t="str">
        <f t="shared" si="1818"/>
        <v>Rp735000</v>
      </c>
      <c r="L1818" s="5" t="str">
        <f t="shared" si="3"/>
        <v>735000</v>
      </c>
    </row>
    <row r="1819">
      <c r="A1819" s="6" t="s">
        <v>2981</v>
      </c>
      <c r="B1819" s="7" t="str">
        <f>HYPERLINK("https://shopee.co.id/AZARINE-HERBAL-MOISTURIZER-SERUM-20-ML-i.50972887.5390725268", "https://shopee.co.id/AZARINE-HERBAL-MOISTURIZER-SERUM-20-ML-i.50972887.5390725268")</f>
        <v>https://shopee.co.id/AZARINE-HERBAL-MOISTURIZER-SERUM-20-ML-i.50972887.5390725268</v>
      </c>
      <c r="C1819" s="6" t="s">
        <v>233</v>
      </c>
      <c r="D1819" s="6" t="s">
        <v>552</v>
      </c>
      <c r="E1819" s="6" t="s">
        <v>12</v>
      </c>
      <c r="F1819" s="6" t="s">
        <v>13</v>
      </c>
      <c r="G1819" s="6" t="s">
        <v>61</v>
      </c>
      <c r="H1819" s="8" t="s">
        <v>2952</v>
      </c>
      <c r="I1819" s="9">
        <v>945000.0</v>
      </c>
      <c r="J1819" s="5" t="str">
        <f t="shared" ref="J1819:K1819" si="1819">SUBSTITUTE(H1819, ",", "")</f>
        <v>5</v>
      </c>
      <c r="K1819" s="5" t="str">
        <f t="shared" si="1819"/>
        <v>Rp945000</v>
      </c>
      <c r="L1819" s="5" t="str">
        <f t="shared" si="3"/>
        <v>945000</v>
      </c>
    </row>
    <row r="1820">
      <c r="A1820" s="6" t="s">
        <v>100</v>
      </c>
      <c r="B1820" s="7" t="str">
        <f>HYPERLINK("https://shopee.co.id/Avoskin-Perfect-Hydrating-Treatment-Essence-100ml-i.825870.1859441734", "https://shopee.co.id/Avoskin-Perfect-Hydrating-Treatment-Essence-100ml-i.825870.1859441734")</f>
        <v>https://shopee.co.id/Avoskin-Perfect-Hydrating-Treatment-Essence-100ml-i.825870.1859441734</v>
      </c>
      <c r="C1820" s="6" t="s">
        <v>83</v>
      </c>
      <c r="D1820" s="6" t="s">
        <v>1184</v>
      </c>
      <c r="E1820" s="6" t="s">
        <v>12</v>
      </c>
      <c r="F1820" s="6" t="s">
        <v>13</v>
      </c>
      <c r="G1820" s="6" t="s">
        <v>21</v>
      </c>
      <c r="H1820" s="8" t="s">
        <v>2952</v>
      </c>
      <c r="I1820" s="9">
        <v>670500.0</v>
      </c>
      <c r="J1820" s="5" t="str">
        <f t="shared" ref="J1820:K1820" si="1820">SUBSTITUTE(H1820, ",", "")</f>
        <v>5</v>
      </c>
      <c r="K1820" s="5" t="str">
        <f t="shared" si="1820"/>
        <v>Rp670500</v>
      </c>
      <c r="L1820" s="5" t="str">
        <f t="shared" si="3"/>
        <v>670500</v>
      </c>
    </row>
    <row r="1821">
      <c r="A1821" s="6" t="s">
        <v>2982</v>
      </c>
      <c r="B1821" s="7" t="str">
        <f>HYPERLINK("https://shopee.co.id/CLINELLE-WhitenUp-Brightening-Spot-Essence-15-ML-Dark-Spot-Treatment-Noda-dan-Flek-Hitam-Wajah-i.173963911.5700743285", "https://shopee.co.id/CLINELLE-WhitenUp-Brightening-Spot-Essence-15-ML-Dark-Spot-Treatment-Noda-dan-Flek-Hitam-Wajah-i.173963911.5700743285")</f>
        <v>https://shopee.co.id/CLINELLE-WhitenUp-Brightening-Spot-Essence-15-ML-Dark-Spot-Treatment-Noda-dan-Flek-Hitam-Wajah-i.173963911.5700743285</v>
      </c>
      <c r="C1821" s="6" t="s">
        <v>1456</v>
      </c>
      <c r="D1821" s="6" t="s">
        <v>1457</v>
      </c>
      <c r="E1821" s="6" t="s">
        <v>12</v>
      </c>
      <c r="F1821" s="6" t="s">
        <v>13</v>
      </c>
      <c r="G1821" s="6" t="s">
        <v>21</v>
      </c>
      <c r="H1821" s="8" t="s">
        <v>2952</v>
      </c>
      <c r="I1821" s="9">
        <v>1299800.0</v>
      </c>
      <c r="J1821" s="5" t="str">
        <f t="shared" ref="J1821:K1821" si="1821">SUBSTITUTE(H1821, ",", "")</f>
        <v>5</v>
      </c>
      <c r="K1821" s="5" t="str">
        <f t="shared" si="1821"/>
        <v>Rp1299800</v>
      </c>
      <c r="L1821" s="5" t="str">
        <f t="shared" si="3"/>
        <v>1299800</v>
      </c>
    </row>
    <row r="1822">
      <c r="A1822" s="6" t="s">
        <v>2983</v>
      </c>
      <c r="B1822" s="7" t="str">
        <f>HYPERLINK("https://shopee.co.id/EssenHerb-Bulgarian-Rose-Ampoule-50ml-Edit-by-Sociolla-i.224957239.5131694199", "https://shopee.co.id/EssenHerb-Bulgarian-Rose-Ampoule-50ml-Edit-by-Sociolla-i.224957239.5131694199")</f>
        <v>https://shopee.co.id/EssenHerb-Bulgarian-Rose-Ampoule-50ml-Edit-by-Sociolla-i.224957239.5131694199</v>
      </c>
      <c r="C1822" s="6" t="s">
        <v>2802</v>
      </c>
      <c r="D1822" s="6" t="s">
        <v>492</v>
      </c>
      <c r="E1822" s="6" t="s">
        <v>12</v>
      </c>
      <c r="F1822" s="6" t="s">
        <v>13</v>
      </c>
      <c r="G1822" s="6" t="s">
        <v>21</v>
      </c>
      <c r="H1822" s="8" t="s">
        <v>2952</v>
      </c>
      <c r="I1822" s="9">
        <v>1199500.0</v>
      </c>
      <c r="J1822" s="5" t="str">
        <f t="shared" ref="J1822:K1822" si="1822">SUBSTITUTE(H1822, ",", "")</f>
        <v>5</v>
      </c>
      <c r="K1822" s="5" t="str">
        <f t="shared" si="1822"/>
        <v>Rp1199500</v>
      </c>
      <c r="L1822" s="5" t="str">
        <f t="shared" si="3"/>
        <v>1199500</v>
      </c>
    </row>
    <row r="1823">
      <c r="A1823" s="6" t="s">
        <v>1943</v>
      </c>
      <c r="B1823" s="7" t="str">
        <f>HYPERLINK("https://shopee.co.id/SOMETHINC-Level-1-Retinol-20ml-i.270965687.3638570610", "https://shopee.co.id/SOMETHINC-Level-1-Retinol-20ml-i.270965687.3638570610")</f>
        <v>https://shopee.co.id/SOMETHINC-Level-1-Retinol-20ml-i.270965687.3638570610</v>
      </c>
      <c r="C1823" s="6" t="s">
        <v>45</v>
      </c>
      <c r="D1823" s="6" t="s">
        <v>379</v>
      </c>
      <c r="E1823" s="6" t="s">
        <v>12</v>
      </c>
      <c r="F1823" s="6" t="s">
        <v>13</v>
      </c>
      <c r="G1823" s="6" t="s">
        <v>380</v>
      </c>
      <c r="H1823" s="8" t="s">
        <v>2952</v>
      </c>
      <c r="I1823" s="9">
        <v>731250.0</v>
      </c>
      <c r="J1823" s="5" t="str">
        <f t="shared" ref="J1823:K1823" si="1823">SUBSTITUTE(H1823, ",", "")</f>
        <v>5</v>
      </c>
      <c r="K1823" s="5" t="str">
        <f t="shared" si="1823"/>
        <v>Rp731250</v>
      </c>
      <c r="L1823" s="5" t="str">
        <f t="shared" si="3"/>
        <v>731250</v>
      </c>
    </row>
    <row r="1824">
      <c r="A1824" s="6" t="s">
        <v>2984</v>
      </c>
      <c r="B1824" s="7" t="str">
        <f>HYPERLINK("https://shopee.co.id/Somethinc-Salmon-DNA-Marine-Collagen-Elixir-20ml-i.825870.8055782629", "https://shopee.co.id/Somethinc-Salmon-DNA-Marine-Collagen-Elixir-20ml-i.825870.8055782629")</f>
        <v>https://shopee.co.id/Somethinc-Salmon-DNA-Marine-Collagen-Elixir-20ml-i.825870.8055782629</v>
      </c>
      <c r="C1824" s="6" t="s">
        <v>45</v>
      </c>
      <c r="D1824" s="6" t="s">
        <v>1184</v>
      </c>
      <c r="E1824" s="6" t="s">
        <v>12</v>
      </c>
      <c r="F1824" s="6" t="s">
        <v>13</v>
      </c>
      <c r="G1824" s="6" t="s">
        <v>21</v>
      </c>
      <c r="H1824" s="8" t="s">
        <v>2952</v>
      </c>
      <c r="I1824" s="9">
        <v>1061900.0</v>
      </c>
      <c r="J1824" s="5" t="str">
        <f t="shared" ref="J1824:K1824" si="1824">SUBSTITUTE(H1824, ",", "")</f>
        <v>5</v>
      </c>
      <c r="K1824" s="5" t="str">
        <f t="shared" si="1824"/>
        <v>Rp1061900</v>
      </c>
      <c r="L1824" s="5" t="str">
        <f t="shared" si="3"/>
        <v>1061900</v>
      </c>
    </row>
    <row r="1825">
      <c r="A1825" s="6" t="s">
        <v>2880</v>
      </c>
      <c r="B1825" s="7" t="str">
        <f>HYPERLINK("https://shopee.co.id/Somethinc-Salmon-DNA-Marine-Collagen-Elixir-20ml-i.10689.9757731844", "https://shopee.co.id/Somethinc-Salmon-DNA-Marine-Collagen-Elixir-20ml-i.10689.9757731844")</f>
        <v>https://shopee.co.id/Somethinc-Salmon-DNA-Marine-Collagen-Elixir-20ml-i.10689.9757731844</v>
      </c>
      <c r="C1825" s="6" t="s">
        <v>45</v>
      </c>
      <c r="D1825" s="6" t="s">
        <v>745</v>
      </c>
      <c r="E1825" s="6" t="s">
        <v>12</v>
      </c>
      <c r="F1825" s="6" t="s">
        <v>13</v>
      </c>
      <c r="G1825" s="6" t="s">
        <v>61</v>
      </c>
      <c r="H1825" s="8" t="s">
        <v>2952</v>
      </c>
      <c r="I1825" s="9">
        <v>585000.0</v>
      </c>
      <c r="J1825" s="5" t="str">
        <f t="shared" ref="J1825:K1825" si="1825">SUBSTITUTE(H1825, ",", "")</f>
        <v>5</v>
      </c>
      <c r="K1825" s="5" t="str">
        <f t="shared" si="1825"/>
        <v>Rp585000</v>
      </c>
      <c r="L1825" s="5" t="str">
        <f t="shared" si="3"/>
        <v>585000</v>
      </c>
    </row>
    <row r="1826">
      <c r="A1826" s="6" t="s">
        <v>2985</v>
      </c>
      <c r="B1826" s="7" t="str">
        <f>HYPERLINK("https://shopee.co.id/Somethinc-Holygrail-Multipeptide-Youth-Elixir-20ml-i.825870.9655783065", "https://shopee.co.id/Somethinc-Holygrail-Multipeptide-Youth-Elixir-20ml-i.825870.9655783065")</f>
        <v>https://shopee.co.id/Somethinc-Holygrail-Multipeptide-Youth-Elixir-20ml-i.825870.9655783065</v>
      </c>
      <c r="C1826" s="6" t="s">
        <v>45</v>
      </c>
      <c r="D1826" s="6" t="s">
        <v>1184</v>
      </c>
      <c r="E1826" s="6" t="s">
        <v>12</v>
      </c>
      <c r="F1826" s="6" t="s">
        <v>13</v>
      </c>
      <c r="G1826" s="6" t="s">
        <v>21</v>
      </c>
      <c r="H1826" s="8" t="s">
        <v>2952</v>
      </c>
      <c r="I1826" s="9">
        <v>566280.0</v>
      </c>
      <c r="J1826" s="5" t="str">
        <f t="shared" ref="J1826:K1826" si="1826">SUBSTITUTE(H1826, ",", "")</f>
        <v>5</v>
      </c>
      <c r="K1826" s="5" t="str">
        <f t="shared" si="1826"/>
        <v>Rp566280</v>
      </c>
      <c r="L1826" s="5" t="str">
        <f t="shared" si="3"/>
        <v>566280</v>
      </c>
    </row>
    <row r="1827">
      <c r="A1827" s="6" t="s">
        <v>2193</v>
      </c>
      <c r="B1827" s="7" t="str">
        <f>HYPERLINK("https://shopee.co.id/SOMETHINC-Holygrail-Multipeptide-Youth-Elixir-20ml-i.270965687.3488569534", "https://shopee.co.id/SOMETHINC-Holygrail-Multipeptide-Youth-Elixir-20ml-i.270965687.3488569534")</f>
        <v>https://shopee.co.id/SOMETHINC-Holygrail-Multipeptide-Youth-Elixir-20ml-i.270965687.3488569534</v>
      </c>
      <c r="C1827" s="6" t="s">
        <v>45</v>
      </c>
      <c r="D1827" s="6" t="s">
        <v>379</v>
      </c>
      <c r="E1827" s="6" t="s">
        <v>12</v>
      </c>
      <c r="F1827" s="6" t="s">
        <v>13</v>
      </c>
      <c r="G1827" s="6" t="s">
        <v>380</v>
      </c>
      <c r="H1827" s="8" t="s">
        <v>2952</v>
      </c>
      <c r="I1827" s="9">
        <v>595000.0</v>
      </c>
      <c r="J1827" s="5" t="str">
        <f t="shared" ref="J1827:K1827" si="1827">SUBSTITUTE(H1827, ",", "")</f>
        <v>5</v>
      </c>
      <c r="K1827" s="5" t="str">
        <f t="shared" si="1827"/>
        <v>Rp595000</v>
      </c>
      <c r="L1827" s="5" t="str">
        <f t="shared" si="3"/>
        <v>595000</v>
      </c>
    </row>
    <row r="1828">
      <c r="A1828" s="6" t="s">
        <v>2986</v>
      </c>
      <c r="B1828" s="7" t="str">
        <f>HYPERLINK("https://shopee.co.id/Probeauty-Serum-Whitening-serum-flek-AHA-9-kaya-vitamin-i.9171679.1230415339", "https://shopee.co.id/Probeauty-Serum-Whitening-serum-flek-AHA-9-kaya-vitamin-i.9171679.1230415339")</f>
        <v>https://shopee.co.id/Probeauty-Serum-Whitening-serum-flek-AHA-9-kaya-vitamin-i.9171679.1230415339</v>
      </c>
      <c r="C1828" s="6" t="s">
        <v>2207</v>
      </c>
      <c r="D1828" s="6" t="s">
        <v>2208</v>
      </c>
      <c r="E1828" s="6" t="s">
        <v>12</v>
      </c>
      <c r="F1828" s="6" t="s">
        <v>13</v>
      </c>
      <c r="G1828" s="6" t="s">
        <v>2209</v>
      </c>
      <c r="H1828" s="8" t="s">
        <v>2952</v>
      </c>
      <c r="I1828" s="9">
        <v>2234400.0</v>
      </c>
      <c r="J1828" s="5" t="str">
        <f t="shared" ref="J1828:K1828" si="1828">SUBSTITUTE(H1828, ",", "")</f>
        <v>5</v>
      </c>
      <c r="K1828" s="5" t="str">
        <f t="shared" si="1828"/>
        <v>Rp2234400</v>
      </c>
      <c r="L1828" s="5" t="str">
        <f t="shared" si="3"/>
        <v>2234400</v>
      </c>
    </row>
    <row r="1829">
      <c r="A1829" s="6" t="s">
        <v>2987</v>
      </c>
      <c r="B1829" s="7" t="str">
        <f>HYPERLINK("https://shopee.co.id/GEN-Anti-Aging-Complete-Serum-For-All-Skin-Types-20ml-BPOM-NA18192005115-i.188839838.3310175274", "https://shopee.co.id/GEN-Anti-Aging-Complete-Serum-For-All-Skin-Types-20ml-BPOM-NA18192005115-i.188839838.3310175274")</f>
        <v>https://shopee.co.id/GEN-Anti-Aging-Complete-Serum-For-All-Skin-Types-20ml-BPOM-NA18192005115-i.188839838.3310175274</v>
      </c>
      <c r="C1829" s="6" t="s">
        <v>2988</v>
      </c>
      <c r="D1829" s="6" t="s">
        <v>2989</v>
      </c>
      <c r="E1829" s="6" t="s">
        <v>12</v>
      </c>
      <c r="F1829" s="6" t="s">
        <v>13</v>
      </c>
      <c r="G1829" s="6" t="s">
        <v>532</v>
      </c>
      <c r="H1829" s="8" t="s">
        <v>2952</v>
      </c>
      <c r="I1829" s="9">
        <v>729630.0</v>
      </c>
      <c r="J1829" s="5" t="str">
        <f t="shared" ref="J1829:K1829" si="1829">SUBSTITUTE(H1829, ",", "")</f>
        <v>5</v>
      </c>
      <c r="K1829" s="5" t="str">
        <f t="shared" si="1829"/>
        <v>Rp729630</v>
      </c>
      <c r="L1829" s="5" t="str">
        <f t="shared" si="3"/>
        <v>729630</v>
      </c>
    </row>
    <row r="1830">
      <c r="A1830" s="6" t="s">
        <v>2990</v>
      </c>
      <c r="B1830" s="7" t="str">
        <f>HYPERLINK("https://shopee.co.id/Hanasui-Men-Bright-Active-Serum-20ml-i.277377659.9628331868", "https://shopee.co.id/Hanasui-Men-Bright-Active-Serum-20ml-i.277377659.9628331868")</f>
        <v>https://shopee.co.id/Hanasui-Men-Bright-Active-Serum-20ml-i.277377659.9628331868</v>
      </c>
      <c r="C1830" s="6" t="s">
        <v>784</v>
      </c>
      <c r="D1830" s="6" t="s">
        <v>2549</v>
      </c>
      <c r="E1830" s="6" t="s">
        <v>12</v>
      </c>
      <c r="F1830" s="6" t="s">
        <v>13</v>
      </c>
      <c r="G1830" s="6" t="s">
        <v>532</v>
      </c>
      <c r="H1830" s="8" t="s">
        <v>2952</v>
      </c>
      <c r="I1830" s="9">
        <v>1228500.0</v>
      </c>
      <c r="J1830" s="5" t="str">
        <f t="shared" ref="J1830:K1830" si="1830">SUBSTITUTE(H1830, ",", "")</f>
        <v>5</v>
      </c>
      <c r="K1830" s="5" t="str">
        <f t="shared" si="1830"/>
        <v>Rp1228500</v>
      </c>
      <c r="L1830" s="5" t="str">
        <f t="shared" si="3"/>
        <v>1228500</v>
      </c>
    </row>
    <row r="1831">
      <c r="A1831" s="6" t="s">
        <v>1640</v>
      </c>
      <c r="B1831" s="7" t="str">
        <f>HYPERLINK("https://shopee.co.id/Avoskin-Hydrating-Treatment-Essence-100ml-i.10689.713059158", "https://shopee.co.id/Avoskin-Hydrating-Treatment-Essence-100ml-i.10689.713059158")</f>
        <v>https://shopee.co.id/Avoskin-Hydrating-Treatment-Essence-100ml-i.10689.713059158</v>
      </c>
      <c r="C1831" s="6" t="s">
        <v>83</v>
      </c>
      <c r="D1831" s="6" t="s">
        <v>745</v>
      </c>
      <c r="E1831" s="6" t="s">
        <v>12</v>
      </c>
      <c r="F1831" s="6" t="s">
        <v>13</v>
      </c>
      <c r="G1831" s="6" t="s">
        <v>61</v>
      </c>
      <c r="H1831" s="8" t="s">
        <v>2952</v>
      </c>
      <c r="I1831" s="9">
        <v>266300.0</v>
      </c>
      <c r="J1831" s="5" t="str">
        <f t="shared" ref="J1831:K1831" si="1831">SUBSTITUTE(H1831, ",", "")</f>
        <v>5</v>
      </c>
      <c r="K1831" s="5" t="str">
        <f t="shared" si="1831"/>
        <v>Rp266300</v>
      </c>
      <c r="L1831" s="5" t="str">
        <f t="shared" si="3"/>
        <v>266300</v>
      </c>
    </row>
    <row r="1832">
      <c r="A1832" s="6" t="s">
        <v>2991</v>
      </c>
      <c r="B1832" s="7" t="str">
        <f>HYPERLINK("https://shopee.co.id/NATURE-REPUBLIC-Argan-Essential-Curling-Essence-i.78838801.1590657459", "https://shopee.co.id/NATURE-REPUBLIC-Argan-Essential-Curling-Essence-i.78838801.1590657459")</f>
        <v>https://shopee.co.id/NATURE-REPUBLIC-Argan-Essential-Curling-Essence-i.78838801.1590657459</v>
      </c>
      <c r="C1832" s="6" t="s">
        <v>1079</v>
      </c>
      <c r="D1832" s="6" t="s">
        <v>1080</v>
      </c>
      <c r="E1832" s="6" t="s">
        <v>12</v>
      </c>
      <c r="F1832" s="6" t="s">
        <v>13</v>
      </c>
      <c r="G1832" s="6" t="s">
        <v>532</v>
      </c>
      <c r="H1832" s="8" t="s">
        <v>2952</v>
      </c>
      <c r="I1832" s="9">
        <v>487300.0</v>
      </c>
      <c r="J1832" s="5" t="str">
        <f t="shared" ref="J1832:K1832" si="1832">SUBSTITUTE(H1832, ",", "")</f>
        <v>5</v>
      </c>
      <c r="K1832" s="5" t="str">
        <f t="shared" si="1832"/>
        <v>Rp487300</v>
      </c>
      <c r="L1832" s="5" t="str">
        <f t="shared" si="3"/>
        <v>487300</v>
      </c>
    </row>
    <row r="1833">
      <c r="A1833" s="6" t="s">
        <v>2992</v>
      </c>
      <c r="B1833" s="7" t="str">
        <f>HYPERLINK("https://shopee.co.id/Utama-Spice-Face-Serum-30-ml-i.53018304.1236963617", "https://shopee.co.id/Utama-Spice-Face-Serum-30-ml-i.53018304.1236963617")</f>
        <v>https://shopee.co.id/Utama-Spice-Face-Serum-30-ml-i.53018304.1236963617</v>
      </c>
      <c r="C1833" s="6" t="s">
        <v>2926</v>
      </c>
      <c r="D1833" s="6" t="s">
        <v>2927</v>
      </c>
      <c r="E1833" s="6" t="s">
        <v>12</v>
      </c>
      <c r="F1833" s="6" t="s">
        <v>13</v>
      </c>
      <c r="G1833" s="6" t="s">
        <v>2928</v>
      </c>
      <c r="H1833" s="8" t="s">
        <v>2952</v>
      </c>
      <c r="I1833" s="9">
        <v>149300.0</v>
      </c>
      <c r="J1833" s="5" t="str">
        <f t="shared" ref="J1833:K1833" si="1833">SUBSTITUTE(H1833, ",", "")</f>
        <v>5</v>
      </c>
      <c r="K1833" s="5" t="str">
        <f t="shared" si="1833"/>
        <v>Rp149300</v>
      </c>
      <c r="L1833" s="5" t="str">
        <f t="shared" si="3"/>
        <v>149300</v>
      </c>
    </row>
    <row r="1834">
      <c r="A1834" s="6" t="s">
        <v>2993</v>
      </c>
      <c r="B1834" s="7" t="str">
        <f>HYPERLINK("https://shopee.co.id/Votre-Peau-Skin-Care-Advanced-Dark-Spot-Treatment-Package-i.46300234.9339308541", "https://shopee.co.id/Votre-Peau-Skin-Care-Advanced-Dark-Spot-Treatment-Package-i.46300234.9339308541")</f>
        <v>https://shopee.co.id/Votre-Peau-Skin-Care-Advanced-Dark-Spot-Treatment-Package-i.46300234.9339308541</v>
      </c>
      <c r="C1834" s="6" t="s">
        <v>999</v>
      </c>
      <c r="D1834" s="6" t="s">
        <v>472</v>
      </c>
      <c r="E1834" s="6" t="s">
        <v>12</v>
      </c>
      <c r="F1834" s="6" t="s">
        <v>13</v>
      </c>
      <c r="G1834" s="6" t="s">
        <v>98</v>
      </c>
      <c r="H1834" s="8" t="s">
        <v>2952</v>
      </c>
      <c r="I1834" s="9">
        <v>825000.0</v>
      </c>
      <c r="J1834" s="5" t="str">
        <f t="shared" ref="J1834:K1834" si="1834">SUBSTITUTE(H1834, ",", "")</f>
        <v>5</v>
      </c>
      <c r="K1834" s="5" t="str">
        <f t="shared" si="1834"/>
        <v>Rp825000</v>
      </c>
      <c r="L1834" s="5" t="str">
        <f t="shared" si="3"/>
        <v>825000</v>
      </c>
    </row>
    <row r="1835">
      <c r="A1835" s="6" t="s">
        <v>2994</v>
      </c>
      <c r="B1835" s="7" t="str">
        <f>HYPERLINK("https://shopee.co.id/Sbcskin-Mild-Exfoliating-Serum-Acne-Serum--i.229435322.8013694547", "https://shopee.co.id/Sbcskin-Mild-Exfoliating-Serum-Acne-Serum--i.229435322.8013694547")</f>
        <v>https://shopee.co.id/Sbcskin-Mild-Exfoliating-Serum-Acne-Serum--i.229435322.8013694547</v>
      </c>
      <c r="C1835" s="6" t="s">
        <v>1775</v>
      </c>
      <c r="D1835" s="6" t="s">
        <v>1776</v>
      </c>
      <c r="E1835" s="6" t="s">
        <v>12</v>
      </c>
      <c r="F1835" s="6" t="s">
        <v>13</v>
      </c>
      <c r="G1835" s="6" t="s">
        <v>1777</v>
      </c>
      <c r="H1835" s="8" t="s">
        <v>2952</v>
      </c>
      <c r="I1835" s="9">
        <v>825000.0</v>
      </c>
      <c r="J1835" s="5" t="str">
        <f t="shared" ref="J1835:K1835" si="1835">SUBSTITUTE(H1835, ",", "")</f>
        <v>5</v>
      </c>
      <c r="K1835" s="5" t="str">
        <f t="shared" si="1835"/>
        <v>Rp825000</v>
      </c>
      <c r="L1835" s="5" t="str">
        <f t="shared" si="3"/>
        <v>825000</v>
      </c>
    </row>
    <row r="1836">
      <c r="A1836" s="6" t="s">
        <v>2995</v>
      </c>
      <c r="B1836" s="7" t="str">
        <f>HYPERLINK("https://shopee.co.id/MSBB-True-To-Skin-Niacinamide-Brightening-Serum-i.288588702.8728398088", "https://shopee.co.id/MSBB-True-To-Skin-Niacinamide-Brightening-Serum-i.288588702.8728398088")</f>
        <v>https://shopee.co.id/MSBB-True-To-Skin-Niacinamide-Brightening-Serum-i.288588702.8728398088</v>
      </c>
      <c r="C1836" s="6" t="s">
        <v>666</v>
      </c>
      <c r="D1836" s="6" t="s">
        <v>79</v>
      </c>
      <c r="E1836" s="6" t="s">
        <v>12</v>
      </c>
      <c r="F1836" s="6" t="s">
        <v>13</v>
      </c>
      <c r="G1836" s="6" t="s">
        <v>80</v>
      </c>
      <c r="H1836" s="8" t="s">
        <v>2952</v>
      </c>
      <c r="I1836" s="9">
        <v>395000.0</v>
      </c>
      <c r="J1836" s="5" t="str">
        <f t="shared" ref="J1836:K1836" si="1836">SUBSTITUTE(H1836, ",", "")</f>
        <v>5</v>
      </c>
      <c r="K1836" s="5" t="str">
        <f t="shared" si="1836"/>
        <v>Rp395000</v>
      </c>
      <c r="L1836" s="5" t="str">
        <f t="shared" si="3"/>
        <v>395000</v>
      </c>
    </row>
    <row r="1837">
      <c r="A1837" s="6" t="s">
        <v>2996</v>
      </c>
      <c r="B1837" s="7" t="str">
        <f>HYPERLINK("https://shopee.co.id/Scarlett-Whitening-Brightly-to-Glow-Mini-Series-i.50948181.11724381461", "https://shopee.co.id/Scarlett-Whitening-Brightly-to-Glow-Mini-Series-i.50948181.11724381461")</f>
        <v>https://shopee.co.id/Scarlett-Whitening-Brightly-to-Glow-Mini-Series-i.50948181.11724381461</v>
      </c>
      <c r="C1837" s="6" t="s">
        <v>19</v>
      </c>
      <c r="D1837" s="6" t="s">
        <v>1129</v>
      </c>
      <c r="E1837" s="6" t="s">
        <v>12</v>
      </c>
      <c r="F1837" s="6" t="s">
        <v>13</v>
      </c>
      <c r="G1837" s="6" t="s">
        <v>1130</v>
      </c>
      <c r="H1837" s="8" t="s">
        <v>2952</v>
      </c>
      <c r="I1837" s="9">
        <v>1678325.0</v>
      </c>
      <c r="J1837" s="5" t="str">
        <f t="shared" ref="J1837:K1837" si="1837">SUBSTITUTE(H1837, ",", "")</f>
        <v>5</v>
      </c>
      <c r="K1837" s="5" t="str">
        <f t="shared" si="1837"/>
        <v>Rp1678325</v>
      </c>
      <c r="L1837" s="5" t="str">
        <f t="shared" si="3"/>
        <v>1678325</v>
      </c>
    </row>
    <row r="1838">
      <c r="A1838" s="6" t="s">
        <v>2997</v>
      </c>
      <c r="B1838" s="7" t="str">
        <f>HYPERLINK("https://shopee.co.id/NOOLA-Breezy-Willow-Moist-Serum-i.68111.8325988168", "https://shopee.co.id/NOOLA-Breezy-Willow-Moist-Serum-i.68111.8325988168")</f>
        <v>https://shopee.co.id/NOOLA-Breezy-Willow-Moist-Serum-i.68111.8325988168</v>
      </c>
      <c r="C1838" s="6" t="s">
        <v>2794</v>
      </c>
      <c r="D1838" s="6" t="s">
        <v>441</v>
      </c>
      <c r="E1838" s="6" t="s">
        <v>12</v>
      </c>
      <c r="F1838" s="6" t="s">
        <v>13</v>
      </c>
      <c r="G1838" s="6" t="s">
        <v>130</v>
      </c>
      <c r="H1838" s="8" t="s">
        <v>2952</v>
      </c>
      <c r="I1838" s="9">
        <v>800000.0</v>
      </c>
      <c r="J1838" s="5" t="str">
        <f t="shared" ref="J1838:K1838" si="1838">SUBSTITUTE(H1838, ",", "")</f>
        <v>5</v>
      </c>
      <c r="K1838" s="5" t="str">
        <f t="shared" si="1838"/>
        <v>Rp800000</v>
      </c>
      <c r="L1838" s="5" t="str">
        <f t="shared" si="3"/>
        <v>800000</v>
      </c>
    </row>
    <row r="1839">
      <c r="A1839" s="6" t="s">
        <v>2998</v>
      </c>
      <c r="B1839" s="7" t="str">
        <f>HYPERLINK("https://shopee.co.id/PLACENTOR-Travel-Kit-Travel-Size-Serum-Moisturizing-Cream-Suncream-Cleansing-Gel--i.304477244.6463366489", "https://shopee.co.id/PLACENTOR-Travel-Kit-Travel-Size-Serum-Moisturizing-Cream-Suncream-Cleansing-Gel--i.304477244.6463366489")</f>
        <v>https://shopee.co.id/PLACENTOR-Travel-Kit-Travel-Size-Serum-Moisturizing-Cream-Suncream-Cleansing-Gel--i.304477244.6463366489</v>
      </c>
      <c r="C1839" s="6" t="s">
        <v>2346</v>
      </c>
      <c r="D1839" s="6" t="s">
        <v>2347</v>
      </c>
      <c r="E1839" s="6" t="s">
        <v>12</v>
      </c>
      <c r="F1839" s="6" t="s">
        <v>13</v>
      </c>
      <c r="G1839" s="6" t="s">
        <v>532</v>
      </c>
      <c r="H1839" s="8" t="s">
        <v>2952</v>
      </c>
      <c r="I1839" s="9">
        <v>237500.0</v>
      </c>
      <c r="J1839" s="5" t="str">
        <f t="shared" ref="J1839:K1839" si="1839">SUBSTITUTE(H1839, ",", "")</f>
        <v>5</v>
      </c>
      <c r="K1839" s="5" t="str">
        <f t="shared" si="1839"/>
        <v>Rp237500</v>
      </c>
      <c r="L1839" s="5" t="str">
        <f t="shared" si="3"/>
        <v>237500</v>
      </c>
    </row>
    <row r="1840">
      <c r="A1840" s="6" t="s">
        <v>2999</v>
      </c>
      <c r="B1840" s="7" t="str">
        <f>HYPERLINK("https://shopee.co.id/Avoskin-Your-Skin-Bae-Serum-Vitamin-C-3-Niacinamide-2-Mandarin-Orange-Fruit-Extract-30ml-i.50948181.8876567928", "https://shopee.co.id/Avoskin-Your-Skin-Bae-Serum-Vitamin-C-3-Niacinamide-2-Mandarin-Orange-Fruit-Extract-30ml-i.50948181.8876567928")</f>
        <v>https://shopee.co.id/Avoskin-Your-Skin-Bae-Serum-Vitamin-C-3-Niacinamide-2-Mandarin-Orange-Fruit-Extract-30ml-i.50948181.8876567928</v>
      </c>
      <c r="C1840" s="6" t="s">
        <v>83</v>
      </c>
      <c r="D1840" s="6" t="s">
        <v>1129</v>
      </c>
      <c r="E1840" s="6" t="s">
        <v>12</v>
      </c>
      <c r="F1840" s="6" t="s">
        <v>13</v>
      </c>
      <c r="G1840" s="6" t="s">
        <v>1130</v>
      </c>
      <c r="H1840" s="8" t="s">
        <v>2952</v>
      </c>
      <c r="I1840" s="9">
        <v>1274000.0</v>
      </c>
      <c r="J1840" s="5" t="str">
        <f t="shared" ref="J1840:K1840" si="1840">SUBSTITUTE(H1840, ",", "")</f>
        <v>5</v>
      </c>
      <c r="K1840" s="5" t="str">
        <f t="shared" si="1840"/>
        <v>Rp1274000</v>
      </c>
      <c r="L1840" s="5" t="str">
        <f t="shared" si="3"/>
        <v>1274000</v>
      </c>
    </row>
    <row r="1841">
      <c r="A1841" s="6" t="s">
        <v>3000</v>
      </c>
      <c r="B1841" s="7" t="str">
        <f>HYPERLINK("https://shopee.co.id/Benton-Snail-Bee-High-Content-Essence-Lotion-Toner-i.136011044.5659266380", "https://shopee.co.id/Benton-Snail-Bee-High-Content-Essence-Lotion-Toner-i.136011044.5659266380")</f>
        <v>https://shopee.co.id/Benton-Snail-Bee-High-Content-Essence-Lotion-Toner-i.136011044.5659266380</v>
      </c>
      <c r="C1841" s="6" t="s">
        <v>456</v>
      </c>
      <c r="D1841" s="6" t="s">
        <v>632</v>
      </c>
      <c r="E1841" s="6" t="s">
        <v>12</v>
      </c>
      <c r="F1841" s="6" t="s">
        <v>13</v>
      </c>
      <c r="G1841" s="6" t="s">
        <v>21</v>
      </c>
      <c r="H1841" s="8" t="s">
        <v>2952</v>
      </c>
      <c r="I1841" s="9">
        <v>1490000.0</v>
      </c>
      <c r="J1841" s="5" t="str">
        <f t="shared" ref="J1841:K1841" si="1841">SUBSTITUTE(H1841, ",", "")</f>
        <v>5</v>
      </c>
      <c r="K1841" s="5" t="str">
        <f t="shared" si="1841"/>
        <v>Rp1490000</v>
      </c>
      <c r="L1841" s="5" t="str">
        <f t="shared" si="3"/>
        <v>1490000</v>
      </c>
    </row>
    <row r="1842">
      <c r="A1842" s="6" t="s">
        <v>3001</v>
      </c>
      <c r="B1842" s="7" t="str">
        <f>HYPERLINK("https://shopee.co.id/Sbcskin-Bundling-Sunscreen-Normal-Serum-Vit-C-i.229435322.4347396511", "https://shopee.co.id/Sbcskin-Bundling-Sunscreen-Normal-Serum-Vit-C-i.229435322.4347396511")</f>
        <v>https://shopee.co.id/Sbcskin-Bundling-Sunscreen-Normal-Serum-Vit-C-i.229435322.4347396511</v>
      </c>
      <c r="C1842" s="6" t="s">
        <v>1775</v>
      </c>
      <c r="D1842" s="6" t="s">
        <v>1776</v>
      </c>
      <c r="E1842" s="6" t="s">
        <v>12</v>
      </c>
      <c r="F1842" s="6" t="s">
        <v>13</v>
      </c>
      <c r="G1842" s="6" t="s">
        <v>1777</v>
      </c>
      <c r="H1842" s="8" t="s">
        <v>2952</v>
      </c>
      <c r="I1842" s="9">
        <v>437500.0</v>
      </c>
      <c r="J1842" s="5" t="str">
        <f t="shared" ref="J1842:K1842" si="1842">SUBSTITUTE(H1842, ",", "")</f>
        <v>5</v>
      </c>
      <c r="K1842" s="5" t="str">
        <f t="shared" si="1842"/>
        <v>Rp437500</v>
      </c>
      <c r="L1842" s="5" t="str">
        <f t="shared" si="3"/>
        <v>437500</v>
      </c>
    </row>
    <row r="1843">
      <c r="A1843" s="6" t="s">
        <v>3002</v>
      </c>
      <c r="B1843" s="7" t="str">
        <f>HYPERLINK("https://shopee.co.id/SOMETHINC-Hyaluronic-B5-40ml-i.30736001.9635357023", "https://shopee.co.id/SOMETHINC-Hyaluronic-B5-40ml-i.30736001.9635357023")</f>
        <v>https://shopee.co.id/SOMETHINC-Hyaluronic-B5-40ml-i.30736001.9635357023</v>
      </c>
      <c r="C1843" s="6" t="s">
        <v>45</v>
      </c>
      <c r="D1843" s="6" t="s">
        <v>335</v>
      </c>
      <c r="E1843" s="6" t="s">
        <v>12</v>
      </c>
      <c r="F1843" s="6" t="s">
        <v>13</v>
      </c>
      <c r="G1843" s="6" t="s">
        <v>36</v>
      </c>
      <c r="H1843" s="8" t="s">
        <v>2952</v>
      </c>
      <c r="I1843" s="9">
        <v>469000.0</v>
      </c>
      <c r="J1843" s="5" t="str">
        <f t="shared" ref="J1843:K1843" si="1843">SUBSTITUTE(H1843, ",", "")</f>
        <v>5</v>
      </c>
      <c r="K1843" s="5" t="str">
        <f t="shared" si="1843"/>
        <v>Rp469000</v>
      </c>
      <c r="L1843" s="5" t="str">
        <f t="shared" si="3"/>
        <v>469000</v>
      </c>
    </row>
    <row r="1844">
      <c r="A1844" s="6" t="s">
        <v>3003</v>
      </c>
      <c r="B1844" s="7" t="str">
        <f>HYPERLINK("https://shopee.co.id/Olay-Total-Effects-7-In-One-Serum-50-Ml-i.36998337.1315439929", "https://shopee.co.id/Olay-Total-Effects-7-In-One-Serum-50-Ml-i.36998337.1315439929")</f>
        <v>https://shopee.co.id/Olay-Total-Effects-7-In-One-Serum-50-Ml-i.36998337.1315439929</v>
      </c>
      <c r="C1844" s="6" t="s">
        <v>317</v>
      </c>
      <c r="D1844" s="6" t="s">
        <v>2449</v>
      </c>
      <c r="E1844" s="6" t="s">
        <v>12</v>
      </c>
      <c r="F1844" s="6" t="s">
        <v>13</v>
      </c>
      <c r="G1844" s="6" t="s">
        <v>98</v>
      </c>
      <c r="H1844" s="8" t="s">
        <v>2952</v>
      </c>
      <c r="I1844" s="9">
        <v>952000.0</v>
      </c>
      <c r="J1844" s="5" t="str">
        <f t="shared" ref="J1844:K1844" si="1844">SUBSTITUTE(H1844, ",", "")</f>
        <v>5</v>
      </c>
      <c r="K1844" s="5" t="str">
        <f t="shared" si="1844"/>
        <v>Rp952000</v>
      </c>
      <c r="L1844" s="5" t="str">
        <f t="shared" si="3"/>
        <v>952000</v>
      </c>
    </row>
    <row r="1845">
      <c r="A1845" s="6" t="s">
        <v>3004</v>
      </c>
      <c r="B1845" s="7" t="str">
        <f>HYPERLINK("https://shopee.co.id/Wardah-C-Defense-Serum-17-ml-i.24819895.5210206940", "https://shopee.co.id/Wardah-C-Defense-Serum-17-ml-i.24819895.5210206940")</f>
        <v>https://shopee.co.id/Wardah-C-Defense-Serum-17-ml-i.24819895.5210206940</v>
      </c>
      <c r="C1845" s="6" t="s">
        <v>169</v>
      </c>
      <c r="D1845" s="6" t="s">
        <v>2491</v>
      </c>
      <c r="E1845" s="6" t="s">
        <v>12</v>
      </c>
      <c r="F1845" s="6" t="s">
        <v>13</v>
      </c>
      <c r="G1845" s="6" t="s">
        <v>1085</v>
      </c>
      <c r="H1845" s="8" t="s">
        <v>2952</v>
      </c>
      <c r="I1845" s="9">
        <v>490000.0</v>
      </c>
      <c r="J1845" s="5" t="str">
        <f t="shared" ref="J1845:K1845" si="1845">SUBSTITUTE(H1845, ",", "")</f>
        <v>5</v>
      </c>
      <c r="K1845" s="5" t="str">
        <f t="shared" si="1845"/>
        <v>Rp490000</v>
      </c>
      <c r="L1845" s="5" t="str">
        <f t="shared" si="3"/>
        <v>490000</v>
      </c>
    </row>
    <row r="1846">
      <c r="A1846" s="6" t="s">
        <v>3005</v>
      </c>
      <c r="B1846" s="7" t="str">
        <f>HYPERLINK("https://shopee.co.id/Aura-Dermatology-Serum-Vitamin-C-i.312636195.3754278718", "https://shopee.co.id/Aura-Dermatology-Serum-Vitamin-C-i.312636195.3754278718")</f>
        <v>https://shopee.co.id/Aura-Dermatology-Serum-Vitamin-C-i.312636195.3754278718</v>
      </c>
      <c r="C1846" s="6" t="s">
        <v>3006</v>
      </c>
      <c r="D1846" s="6" t="s">
        <v>3007</v>
      </c>
      <c r="E1846" s="6" t="s">
        <v>12</v>
      </c>
      <c r="F1846" s="6" t="s">
        <v>13</v>
      </c>
      <c r="G1846" s="6" t="s">
        <v>241</v>
      </c>
      <c r="H1846" s="8" t="s">
        <v>2952</v>
      </c>
      <c r="I1846" s="9">
        <v>505750.0</v>
      </c>
      <c r="J1846" s="5" t="str">
        <f t="shared" ref="J1846:K1846" si="1846">SUBSTITUTE(H1846, ",", "")</f>
        <v>5</v>
      </c>
      <c r="K1846" s="5" t="str">
        <f t="shared" si="1846"/>
        <v>Rp505750</v>
      </c>
      <c r="L1846" s="5" t="str">
        <f t="shared" si="3"/>
        <v>505750</v>
      </c>
    </row>
    <row r="1847">
      <c r="A1847" s="6" t="s">
        <v>3008</v>
      </c>
      <c r="B1847" s="7" t="str">
        <f>HYPERLINK("https://shopee.co.id/Calysta-Serum-Pearl-Luminous-i.3188555.1878241619", "https://shopee.co.id/Calysta-Serum-Pearl-Luminous-i.3188555.1878241619")</f>
        <v>https://shopee.co.id/Calysta-Serum-Pearl-Luminous-i.3188555.1878241619</v>
      </c>
      <c r="C1847" s="6" t="s">
        <v>1691</v>
      </c>
      <c r="D1847" s="6" t="s">
        <v>1692</v>
      </c>
      <c r="E1847" s="6" t="s">
        <v>12</v>
      </c>
      <c r="F1847" s="6" t="s">
        <v>13</v>
      </c>
      <c r="G1847" s="6" t="s">
        <v>241</v>
      </c>
      <c r="H1847" s="8" t="s">
        <v>2952</v>
      </c>
      <c r="I1847" s="9">
        <v>1410750.0</v>
      </c>
      <c r="J1847" s="5" t="str">
        <f t="shared" ref="J1847:K1847" si="1847">SUBSTITUTE(H1847, ",", "")</f>
        <v>5</v>
      </c>
      <c r="K1847" s="5" t="str">
        <f t="shared" si="1847"/>
        <v>Rp1410750</v>
      </c>
      <c r="L1847" s="5" t="str">
        <f t="shared" si="3"/>
        <v>1410750</v>
      </c>
    </row>
    <row r="1848">
      <c r="A1848" s="6" t="s">
        <v>3009</v>
      </c>
      <c r="B1848" s="7" t="str">
        <f>HYPERLINK("https://shopee.co.id/MSBB-Skin-Game-Spot-Guard-Serum-30-gr-i.288588702.6185989497", "https://shopee.co.id/MSBB-Skin-Game-Spot-Guard-Serum-30-gr-i.288588702.6185989497")</f>
        <v>https://shopee.co.id/MSBB-Skin-Game-Spot-Guard-Serum-30-gr-i.288588702.6185989497</v>
      </c>
      <c r="C1848" s="6" t="s">
        <v>523</v>
      </c>
      <c r="D1848" s="6" t="s">
        <v>79</v>
      </c>
      <c r="E1848" s="6" t="s">
        <v>12</v>
      </c>
      <c r="F1848" s="6" t="s">
        <v>13</v>
      </c>
      <c r="G1848" s="6" t="s">
        <v>80</v>
      </c>
      <c r="H1848" s="8" t="s">
        <v>2952</v>
      </c>
      <c r="I1848" s="9">
        <v>679250.0</v>
      </c>
      <c r="J1848" s="5" t="str">
        <f t="shared" ref="J1848:K1848" si="1848">SUBSTITUTE(H1848, ",", "")</f>
        <v>5</v>
      </c>
      <c r="K1848" s="5" t="str">
        <f t="shared" si="1848"/>
        <v>Rp679250</v>
      </c>
      <c r="L1848" s="5" t="str">
        <f t="shared" si="3"/>
        <v>679250</v>
      </c>
    </row>
    <row r="1849">
      <c r="A1849" s="6" t="s">
        <v>3010</v>
      </c>
      <c r="B1849" s="7" t="str">
        <f>HYPERLINK("https://shopee.co.id/Dr-Ceuracle-Ac-Care-Solution-Blue-One-Size-50-ml-Edit-by-Sociolla-i.224957239.4533280631", "https://shopee.co.id/Dr-Ceuracle-Ac-Care-Solution-Blue-One-Size-50-ml-Edit-by-Sociolla-i.224957239.4533280631")</f>
        <v>https://shopee.co.id/Dr-Ceuracle-Ac-Care-Solution-Blue-One-Size-50-ml-Edit-by-Sociolla-i.224957239.4533280631</v>
      </c>
      <c r="C1849" s="6" t="s">
        <v>3011</v>
      </c>
      <c r="D1849" s="6" t="s">
        <v>492</v>
      </c>
      <c r="E1849" s="6" t="s">
        <v>12</v>
      </c>
      <c r="F1849" s="6" t="s">
        <v>13</v>
      </c>
      <c r="G1849" s="6" t="s">
        <v>21</v>
      </c>
      <c r="H1849" s="8" t="s">
        <v>2952</v>
      </c>
      <c r="I1849" s="9">
        <v>1559700.0</v>
      </c>
      <c r="J1849" s="5" t="str">
        <f t="shared" ref="J1849:K1849" si="1849">SUBSTITUTE(H1849, ",", "")</f>
        <v>5</v>
      </c>
      <c r="K1849" s="5" t="str">
        <f t="shared" si="1849"/>
        <v>Rp1559700</v>
      </c>
      <c r="L1849" s="5" t="str">
        <f t="shared" si="3"/>
        <v>1559700</v>
      </c>
    </row>
    <row r="1850">
      <c r="A1850" s="6" t="s">
        <v>3012</v>
      </c>
      <c r="B1850" s="7" t="str">
        <f>HYPERLINK("https://shopee.co.id/FIRST-LAB-Probiotic-REVERSE-Skin-Emulsion-100ml-i.109981258.5351939603", "https://shopee.co.id/FIRST-LAB-Probiotic-REVERSE-Skin-Emulsion-100ml-i.109981258.5351939603")</f>
        <v>https://shopee.co.id/FIRST-LAB-Probiotic-REVERSE-Skin-Emulsion-100ml-i.109981258.5351939603</v>
      </c>
      <c r="C1850" s="6" t="s">
        <v>1617</v>
      </c>
      <c r="D1850" s="6" t="s">
        <v>2576</v>
      </c>
      <c r="E1850" s="6" t="s">
        <v>12</v>
      </c>
      <c r="F1850" s="6" t="s">
        <v>13</v>
      </c>
      <c r="G1850" s="6" t="s">
        <v>21</v>
      </c>
      <c r="H1850" s="8" t="s">
        <v>2952</v>
      </c>
      <c r="I1850" s="9">
        <v>285000.0</v>
      </c>
      <c r="J1850" s="5" t="str">
        <f t="shared" ref="J1850:K1850" si="1850">SUBSTITUTE(H1850, ",", "")</f>
        <v>5</v>
      </c>
      <c r="K1850" s="5" t="str">
        <f t="shared" si="1850"/>
        <v>Rp285000</v>
      </c>
      <c r="L1850" s="5" t="str">
        <f t="shared" si="3"/>
        <v>285000</v>
      </c>
    </row>
    <row r="1851">
      <c r="A1851" s="6" t="s">
        <v>3013</v>
      </c>
      <c r="B1851" s="7" t="str">
        <f>HYPERLINK("https://shopee.co.id/NPURE-Face-Serum-Marigold-Calendula-Series-i.68111.5515242475", "https://shopee.co.id/NPURE-Face-Serum-Marigold-Calendula-Series-i.68111.5515242475")</f>
        <v>https://shopee.co.id/NPURE-Face-Serum-Marigold-Calendula-Series-i.68111.5515242475</v>
      </c>
      <c r="C1851" s="6" t="s">
        <v>266</v>
      </c>
      <c r="D1851" s="6" t="s">
        <v>441</v>
      </c>
      <c r="E1851" s="6" t="s">
        <v>12</v>
      </c>
      <c r="F1851" s="6" t="s">
        <v>13</v>
      </c>
      <c r="G1851" s="6" t="s">
        <v>130</v>
      </c>
      <c r="H1851" s="8" t="s">
        <v>2952</v>
      </c>
      <c r="I1851" s="9">
        <v>1225000.0</v>
      </c>
      <c r="J1851" s="5" t="str">
        <f t="shared" ref="J1851:K1851" si="1851">SUBSTITUTE(H1851, ",", "")</f>
        <v>5</v>
      </c>
      <c r="K1851" s="5" t="str">
        <f t="shared" si="1851"/>
        <v>Rp1225000</v>
      </c>
      <c r="L1851" s="5" t="str">
        <f t="shared" si="3"/>
        <v>1225000</v>
      </c>
    </row>
    <row r="1852">
      <c r="A1852" s="6" t="s">
        <v>3014</v>
      </c>
      <c r="B1852" s="7" t="str">
        <f>HYPERLINK("https://shopee.co.id/WARDAH-White-Secret-Intense-Brightening-Essence-i.24819895.1416684256", "https://shopee.co.id/WARDAH-White-Secret-Intense-Brightening-Essence-i.24819895.1416684256")</f>
        <v>https://shopee.co.id/WARDAH-White-Secret-Intense-Brightening-Essence-i.24819895.1416684256</v>
      </c>
      <c r="C1852" s="6" t="s">
        <v>169</v>
      </c>
      <c r="D1852" s="6" t="s">
        <v>2491</v>
      </c>
      <c r="E1852" s="6" t="s">
        <v>12</v>
      </c>
      <c r="F1852" s="6" t="s">
        <v>13</v>
      </c>
      <c r="G1852" s="6" t="s">
        <v>1085</v>
      </c>
      <c r="H1852" s="8" t="s">
        <v>2952</v>
      </c>
      <c r="I1852" s="9">
        <v>531000.0</v>
      </c>
      <c r="J1852" s="5" t="str">
        <f t="shared" ref="J1852:K1852" si="1852">SUBSTITUTE(H1852, ",", "")</f>
        <v>5</v>
      </c>
      <c r="K1852" s="5" t="str">
        <f t="shared" si="1852"/>
        <v>Rp531000</v>
      </c>
      <c r="L1852" s="5" t="str">
        <f t="shared" si="3"/>
        <v>531000</v>
      </c>
    </row>
    <row r="1853">
      <c r="A1853" s="6" t="s">
        <v>3015</v>
      </c>
      <c r="B1853" s="7" t="str">
        <f>HYPERLINK("https://shopee.co.id/-BPOM-LANBENA-Serum-Treatment-C-2pcs--i.397732085.8378885712", "https://shopee.co.id/-BPOM-LANBENA-Serum-Treatment-C-2pcs--i.397732085.8378885712")</f>
        <v>https://shopee.co.id/-BPOM-LANBENA-Serum-Treatment-C-2pcs--i.397732085.8378885712</v>
      </c>
      <c r="C1853" s="6" t="s">
        <v>1427</v>
      </c>
      <c r="D1853" s="6" t="s">
        <v>1428</v>
      </c>
      <c r="E1853" s="6" t="s">
        <v>12</v>
      </c>
      <c r="F1853" s="6" t="s">
        <v>13</v>
      </c>
      <c r="G1853" s="6" t="s">
        <v>532</v>
      </c>
      <c r="H1853" s="8" t="s">
        <v>2952</v>
      </c>
      <c r="I1853" s="9">
        <v>332500.0</v>
      </c>
      <c r="J1853" s="5" t="str">
        <f t="shared" ref="J1853:K1853" si="1853">SUBSTITUTE(H1853, ",", "")</f>
        <v>5</v>
      </c>
      <c r="K1853" s="5" t="str">
        <f t="shared" si="1853"/>
        <v>Rp332500</v>
      </c>
      <c r="L1853" s="5" t="str">
        <f t="shared" si="3"/>
        <v>332500</v>
      </c>
    </row>
    <row r="1854">
      <c r="A1854" s="6" t="s">
        <v>3016</v>
      </c>
      <c r="B1854" s="7" t="str">
        <f>HYPERLINK("https://shopee.co.id/MEDGLOW-CLINIC-Whitening-Dark-Spot-Serum-Aesthetic-Skincare-Serum-Penghilang-Noda-Flek-Hitam-BPOM-i.285885972.6949885461", "https://shopee.co.id/MEDGLOW-CLINIC-Whitening-Dark-Spot-Serum-Aesthetic-Skincare-Serum-Penghilang-Noda-Flek-Hitam-BPOM-i.285885972.6949885461")</f>
        <v>https://shopee.co.id/MEDGLOW-CLINIC-Whitening-Dark-Spot-Serum-Aesthetic-Skincare-Serum-Penghilang-Noda-Flek-Hitam-BPOM-i.285885972.6949885461</v>
      </c>
      <c r="C1854" s="6" t="s">
        <v>949</v>
      </c>
      <c r="D1854" s="6" t="s">
        <v>950</v>
      </c>
      <c r="E1854" s="6" t="s">
        <v>12</v>
      </c>
      <c r="F1854" s="6" t="s">
        <v>13</v>
      </c>
      <c r="G1854" s="6" t="s">
        <v>380</v>
      </c>
      <c r="H1854" s="8" t="s">
        <v>2952</v>
      </c>
      <c r="I1854" s="9">
        <v>272000.0</v>
      </c>
      <c r="J1854" s="5" t="str">
        <f t="shared" ref="J1854:K1854" si="1854">SUBSTITUTE(H1854, ",", "")</f>
        <v>5</v>
      </c>
      <c r="K1854" s="5" t="str">
        <f t="shared" si="1854"/>
        <v>Rp272000</v>
      </c>
      <c r="L1854" s="5" t="str">
        <f t="shared" si="3"/>
        <v>272000</v>
      </c>
    </row>
    <row r="1855">
      <c r="A1855" s="6" t="s">
        <v>3017</v>
      </c>
      <c r="B1855" s="7" t="str">
        <f>HYPERLINK("https://shopee.co.id/AZARINE-EYELUMINATE-FIRMING-SERUM-15-GR-i.50972887.3047386512", "https://shopee.co.id/AZARINE-EYELUMINATE-FIRMING-SERUM-15-GR-i.50972887.3047386512")</f>
        <v>https://shopee.co.id/AZARINE-EYELUMINATE-FIRMING-SERUM-15-GR-i.50972887.3047386512</v>
      </c>
      <c r="C1855" s="6" t="s">
        <v>233</v>
      </c>
      <c r="D1855" s="6" t="s">
        <v>552</v>
      </c>
      <c r="E1855" s="6" t="s">
        <v>12</v>
      </c>
      <c r="F1855" s="6" t="s">
        <v>13</v>
      </c>
      <c r="G1855" s="6" t="s">
        <v>61</v>
      </c>
      <c r="H1855" s="8" t="s">
        <v>2952</v>
      </c>
      <c r="I1855" s="9">
        <v>385000.0</v>
      </c>
      <c r="J1855" s="5" t="str">
        <f t="shared" ref="J1855:K1855" si="1855">SUBSTITUTE(H1855, ",", "")</f>
        <v>5</v>
      </c>
      <c r="K1855" s="5" t="str">
        <f t="shared" si="1855"/>
        <v>Rp385000</v>
      </c>
      <c r="L1855" s="5" t="str">
        <f t="shared" si="3"/>
        <v>385000</v>
      </c>
    </row>
    <row r="1856">
      <c r="A1856" s="6" t="s">
        <v>3018</v>
      </c>
      <c r="B1856" s="7" t="str">
        <f>HYPERLINK("https://shopee.co.id/Garnier-Sakura-White-Booster-Serum-15-ml-Sakura-Mask-5-pcs-Untuk-Kulit-Cerah-Merona--i.62583853.6579229043", "https://shopee.co.id/Garnier-Sakura-White-Booster-Serum-15-ml-Sakura-Mask-5-pcs-Untuk-Kulit-Cerah-Merona--i.62583853.6579229043")</f>
        <v>https://shopee.co.id/Garnier-Sakura-White-Booster-Serum-15-ml-Sakura-Mask-5-pcs-Untuk-Kulit-Cerah-Merona--i.62583853.6579229043</v>
      </c>
      <c r="C1856" s="6" t="s">
        <v>74</v>
      </c>
      <c r="D1856" s="6" t="s">
        <v>75</v>
      </c>
      <c r="E1856" s="6" t="s">
        <v>12</v>
      </c>
      <c r="F1856" s="6" t="s">
        <v>13</v>
      </c>
      <c r="G1856" s="6" t="s">
        <v>61</v>
      </c>
      <c r="H1856" s="8" t="s">
        <v>2952</v>
      </c>
      <c r="I1856" s="9">
        <v>552000.0</v>
      </c>
      <c r="J1856" s="5" t="str">
        <f t="shared" ref="J1856:K1856" si="1856">SUBSTITUTE(H1856, ",", "")</f>
        <v>5</v>
      </c>
      <c r="K1856" s="5" t="str">
        <f t="shared" si="1856"/>
        <v>Rp552000</v>
      </c>
      <c r="L1856" s="5" t="str">
        <f t="shared" si="3"/>
        <v>552000</v>
      </c>
    </row>
    <row r="1857">
      <c r="A1857" s="6" t="s">
        <v>3019</v>
      </c>
      <c r="B1857" s="7" t="str">
        <f>HYPERLINK("https://shopee.co.id/Somethinc-Criously-24-Gold-Essence-20ml-i.825870.8146197603", "https://shopee.co.id/Somethinc-Criously-24-Gold-Essence-20ml-i.825870.8146197603")</f>
        <v>https://shopee.co.id/Somethinc-Criously-24-Gold-Essence-20ml-i.825870.8146197603</v>
      </c>
      <c r="C1857" s="6" t="s">
        <v>45</v>
      </c>
      <c r="D1857" s="6" t="s">
        <v>1184</v>
      </c>
      <c r="E1857" s="6" t="s">
        <v>12</v>
      </c>
      <c r="F1857" s="6" t="s">
        <v>13</v>
      </c>
      <c r="G1857" s="6" t="s">
        <v>21</v>
      </c>
      <c r="H1857" s="8" t="s">
        <v>2952</v>
      </c>
      <c r="I1857" s="9">
        <v>593750.0</v>
      </c>
      <c r="J1857" s="5" t="str">
        <f t="shared" ref="J1857:K1857" si="1857">SUBSTITUTE(H1857, ",", "")</f>
        <v>5</v>
      </c>
      <c r="K1857" s="5" t="str">
        <f t="shared" si="1857"/>
        <v>Rp593750</v>
      </c>
      <c r="L1857" s="5" t="str">
        <f t="shared" si="3"/>
        <v>593750</v>
      </c>
    </row>
    <row r="1858">
      <c r="A1858" s="6" t="s">
        <v>759</v>
      </c>
      <c r="B1858" s="7" t="str">
        <f>HYPERLINK("https://shopee.co.id/Votre-Peau-Vitamin-C-Serum-30ml-i.10689.545069143", "https://shopee.co.id/Votre-Peau-Vitamin-C-Serum-30ml-i.10689.545069143")</f>
        <v>https://shopee.co.id/Votre-Peau-Vitamin-C-Serum-30ml-i.10689.545069143</v>
      </c>
      <c r="C1858" s="6" t="s">
        <v>471</v>
      </c>
      <c r="D1858" s="6" t="s">
        <v>745</v>
      </c>
      <c r="E1858" s="6" t="s">
        <v>12</v>
      </c>
      <c r="F1858" s="6" t="s">
        <v>13</v>
      </c>
      <c r="G1858" s="6" t="s">
        <v>61</v>
      </c>
      <c r="H1858" s="8" t="s">
        <v>2952</v>
      </c>
      <c r="I1858" s="9">
        <v>587500.0</v>
      </c>
      <c r="J1858" s="5" t="str">
        <f t="shared" ref="J1858:K1858" si="1858">SUBSTITUTE(H1858, ",", "")</f>
        <v>5</v>
      </c>
      <c r="K1858" s="5" t="str">
        <f t="shared" si="1858"/>
        <v>Rp587500</v>
      </c>
      <c r="L1858" s="5" t="str">
        <f t="shared" si="3"/>
        <v>587500</v>
      </c>
    </row>
    <row r="1859">
      <c r="A1859" s="6" t="s">
        <v>3020</v>
      </c>
      <c r="B1859" s="7" t="str">
        <f>HYPERLINK("https://shopee.co.id/SYB-Forte-Lightening-Gold-Serum-i.150222332.2277919882", "https://shopee.co.id/SYB-Forte-Lightening-Gold-Serum-i.150222332.2277919882")</f>
        <v>https://shopee.co.id/SYB-Forte-Lightening-Gold-Serum-i.150222332.2277919882</v>
      </c>
      <c r="C1859" s="6" t="s">
        <v>1736</v>
      </c>
      <c r="D1859" s="6" t="s">
        <v>1737</v>
      </c>
      <c r="E1859" s="6" t="s">
        <v>12</v>
      </c>
      <c r="F1859" s="6" t="s">
        <v>13</v>
      </c>
      <c r="G1859" s="6" t="s">
        <v>350</v>
      </c>
      <c r="H1859" s="8" t="s">
        <v>2952</v>
      </c>
      <c r="I1859" s="9">
        <v>805950.0</v>
      </c>
      <c r="J1859" s="5" t="str">
        <f t="shared" ref="J1859:K1859" si="1859">SUBSTITUTE(H1859, ",", "")</f>
        <v>5</v>
      </c>
      <c r="K1859" s="5" t="str">
        <f t="shared" si="1859"/>
        <v>Rp805950</v>
      </c>
      <c r="L1859" s="5" t="str">
        <f t="shared" si="3"/>
        <v>805950</v>
      </c>
    </row>
    <row r="1860">
      <c r="A1860" s="6" t="s">
        <v>3021</v>
      </c>
      <c r="B1860" s="7" t="str">
        <f>HYPERLINK("https://shopee.co.id/er-1-Natural-Glow-Apple-Phytocell-Serum-Serum-Pencerah-Wajah-Natural-Sensitif-by-dr-Erna-i.147564934.2496183859", "https://shopee.co.id/er-1-Natural-Glow-Apple-Phytocell-Serum-Serum-Pencerah-Wajah-Natural-Sensitif-by-dr-Erna-i.147564934.2496183859")</f>
        <v>https://shopee.co.id/er-1-Natural-Glow-Apple-Phytocell-Serum-Serum-Pencerah-Wajah-Natural-Sensitif-by-dr-Erna-i.147564934.2496183859</v>
      </c>
      <c r="C1860" s="6" t="s">
        <v>2222</v>
      </c>
      <c r="D1860" s="6" t="s">
        <v>2223</v>
      </c>
      <c r="E1860" s="6" t="s">
        <v>12</v>
      </c>
      <c r="F1860" s="6" t="s">
        <v>13</v>
      </c>
      <c r="G1860" s="6" t="s">
        <v>21</v>
      </c>
      <c r="H1860" s="8" t="s">
        <v>2952</v>
      </c>
      <c r="I1860" s="9">
        <v>2600000.0</v>
      </c>
      <c r="J1860" s="5" t="str">
        <f t="shared" ref="J1860:K1860" si="1860">SUBSTITUTE(H1860, ",", "")</f>
        <v>5</v>
      </c>
      <c r="K1860" s="5" t="str">
        <f t="shared" si="1860"/>
        <v>Rp2600000</v>
      </c>
      <c r="L1860" s="5" t="str">
        <f t="shared" si="3"/>
        <v>2600000</v>
      </c>
    </row>
    <row r="1861">
      <c r="A1861" s="6" t="s">
        <v>3022</v>
      </c>
      <c r="B1861" s="7" t="str">
        <f>HYPERLINK("https://shopee.co.id/Garnier-Light-Complete-Booster-Serum-15-ml-Light-Complete-Mask-5-pcs-Untuk-Kulit-Cerah-Cepat--i.62583853.9014722883", "https://shopee.co.id/Garnier-Light-Complete-Booster-Serum-15-ml-Light-Complete-Mask-5-pcs-Untuk-Kulit-Cerah-Cepat--i.62583853.9014722883")</f>
        <v>https://shopee.co.id/Garnier-Light-Complete-Booster-Serum-15-ml-Light-Complete-Mask-5-pcs-Untuk-Kulit-Cerah-Cepat--i.62583853.9014722883</v>
      </c>
      <c r="C1861" s="6" t="s">
        <v>74</v>
      </c>
      <c r="D1861" s="6" t="s">
        <v>75</v>
      </c>
      <c r="E1861" s="6" t="s">
        <v>12</v>
      </c>
      <c r="F1861" s="6" t="s">
        <v>13</v>
      </c>
      <c r="G1861" s="6" t="s">
        <v>61</v>
      </c>
      <c r="H1861" s="8" t="s">
        <v>2952</v>
      </c>
      <c r="I1861" s="9">
        <v>825000.0</v>
      </c>
      <c r="J1861" s="5" t="str">
        <f t="shared" ref="J1861:K1861" si="1861">SUBSTITUTE(H1861, ",", "")</f>
        <v>5</v>
      </c>
      <c r="K1861" s="5" t="str">
        <f t="shared" si="1861"/>
        <v>Rp825000</v>
      </c>
      <c r="L1861" s="5" t="str">
        <f t="shared" si="3"/>
        <v>825000</v>
      </c>
    </row>
    <row r="1862">
      <c r="A1862" s="6" t="s">
        <v>3023</v>
      </c>
      <c r="B1862" s="7" t="str">
        <f>HYPERLINK("https://shopee.co.id/Omniskin-Watermelon-Glow-Waterfull-Whitening-Serum-20ml-i.136011044.11626227035", "https://shopee.co.id/Omniskin-Watermelon-Glow-Waterfull-Whitening-Serum-20ml-i.136011044.11626227035")</f>
        <v>https://shopee.co.id/Omniskin-Watermelon-Glow-Waterfull-Whitening-Serum-20ml-i.136011044.11626227035</v>
      </c>
      <c r="C1862" s="6" t="s">
        <v>2268</v>
      </c>
      <c r="D1862" s="6" t="s">
        <v>632</v>
      </c>
      <c r="E1862" s="6" t="s">
        <v>12</v>
      </c>
      <c r="F1862" s="6" t="s">
        <v>13</v>
      </c>
      <c r="G1862" s="6" t="s">
        <v>21</v>
      </c>
      <c r="H1862" s="8" t="s">
        <v>2952</v>
      </c>
      <c r="I1862" s="9">
        <v>900000.0</v>
      </c>
      <c r="J1862" s="5" t="str">
        <f t="shared" ref="J1862:K1862" si="1862">SUBSTITUTE(H1862, ",", "")</f>
        <v>5</v>
      </c>
      <c r="K1862" s="5" t="str">
        <f t="shared" si="1862"/>
        <v>Rp900000</v>
      </c>
      <c r="L1862" s="5" t="str">
        <f t="shared" si="3"/>
        <v>900000</v>
      </c>
    </row>
    <row r="1863">
      <c r="A1863" s="6" t="s">
        <v>3024</v>
      </c>
      <c r="B1863" s="7" t="str">
        <f>HYPERLINK("https://shopee.co.id/TISHA-AC7-Spot-Serum-Phytosilica-15ml-SACHET-1g-x-3ea-i.283615589.7942147785", "https://shopee.co.id/TISHA-AC7-Spot-Serum-Phytosilica-15ml-SACHET-1g-x-3ea-i.283615589.7942147785")</f>
        <v>https://shopee.co.id/TISHA-AC7-Spot-Serum-Phytosilica-15ml-SACHET-1g-x-3ea-i.283615589.7942147785</v>
      </c>
      <c r="C1863" s="6" t="s">
        <v>3025</v>
      </c>
      <c r="D1863" s="6" t="s">
        <v>3026</v>
      </c>
      <c r="E1863" s="6" t="s">
        <v>12</v>
      </c>
      <c r="F1863" s="6" t="s">
        <v>13</v>
      </c>
      <c r="G1863" s="6" t="s">
        <v>3027</v>
      </c>
      <c r="H1863" s="8" t="s">
        <v>2952</v>
      </c>
      <c r="I1863" s="9">
        <v>731590.0</v>
      </c>
      <c r="J1863" s="5" t="str">
        <f t="shared" ref="J1863:K1863" si="1863">SUBSTITUTE(H1863, ",", "")</f>
        <v>5</v>
      </c>
      <c r="K1863" s="5" t="str">
        <f t="shared" si="1863"/>
        <v>Rp731590</v>
      </c>
      <c r="L1863" s="5" t="str">
        <f t="shared" si="3"/>
        <v>731590</v>
      </c>
    </row>
    <row r="1864">
      <c r="A1864" s="6" t="s">
        <v>3028</v>
      </c>
      <c r="B1864" s="7" t="str">
        <f>HYPERLINK("https://shopee.co.id/Holika-Holika-Honey-Royalactin-Serum-Mist-i.18856010.9844480919", "https://shopee.co.id/Holika-Holika-Honey-Royalactin-Serum-Mist-i.18856010.9844480919")</f>
        <v>https://shopee.co.id/Holika-Holika-Honey-Royalactin-Serum-Mist-i.18856010.9844480919</v>
      </c>
      <c r="C1864" s="6" t="s">
        <v>2265</v>
      </c>
      <c r="D1864" s="6" t="s">
        <v>2266</v>
      </c>
      <c r="E1864" s="6" t="s">
        <v>12</v>
      </c>
      <c r="F1864" s="6" t="s">
        <v>13</v>
      </c>
      <c r="G1864" s="6" t="s">
        <v>21</v>
      </c>
      <c r="H1864" s="8" t="s">
        <v>2952</v>
      </c>
      <c r="I1864" s="9">
        <v>597500.0</v>
      </c>
      <c r="J1864" s="5" t="str">
        <f t="shared" ref="J1864:K1864" si="1864">SUBSTITUTE(H1864, ",", "")</f>
        <v>5</v>
      </c>
      <c r="K1864" s="5" t="str">
        <f t="shared" si="1864"/>
        <v>Rp597500</v>
      </c>
      <c r="L1864" s="5" t="str">
        <f t="shared" si="3"/>
        <v>597500</v>
      </c>
    </row>
    <row r="1865">
      <c r="A1865" s="6" t="s">
        <v>3029</v>
      </c>
      <c r="B1865" s="7" t="str">
        <f>HYPERLINK("https://shopee.co.id/Bio-Essence-Bio-Gold-Night-Cream-40-gr-Radiant-Cleanser-100-gr-i.63822287.6032961718", "https://shopee.co.id/Bio-Essence-Bio-Gold-Night-Cream-40-gr-Radiant-Cleanser-100-gr-i.63822287.6032961718")</f>
        <v>https://shopee.co.id/Bio-Essence-Bio-Gold-Night-Cream-40-gr-Radiant-Cleanser-100-gr-i.63822287.6032961718</v>
      </c>
      <c r="C1865" s="6" t="s">
        <v>834</v>
      </c>
      <c r="D1865" s="6" t="s">
        <v>835</v>
      </c>
      <c r="E1865" s="6" t="s">
        <v>12</v>
      </c>
      <c r="F1865" s="6" t="s">
        <v>13</v>
      </c>
      <c r="G1865" s="6" t="s">
        <v>61</v>
      </c>
      <c r="H1865" s="8" t="s">
        <v>2952</v>
      </c>
      <c r="I1865" s="9">
        <v>1045000.0</v>
      </c>
      <c r="J1865" s="5" t="str">
        <f t="shared" ref="J1865:K1865" si="1865">SUBSTITUTE(H1865, ",", "")</f>
        <v>5</v>
      </c>
      <c r="K1865" s="5" t="str">
        <f t="shared" si="1865"/>
        <v>Rp1045000</v>
      </c>
      <c r="L1865" s="5" t="str">
        <f t="shared" si="3"/>
        <v>1045000</v>
      </c>
    </row>
    <row r="1866">
      <c r="A1866" s="6" t="s">
        <v>3030</v>
      </c>
      <c r="B1866" s="7" t="str">
        <f>HYPERLINK("https://shopee.co.id/-Isi-2-Hanasui-Vitamin-C-CollagenSerum-20ml-BIRU-Serum-Wajah-Pelembab-Wajah-i.114789399.2848673501", "https://shopee.co.id/-Isi-2-Hanasui-Vitamin-C-CollagenSerum-20ml-BIRU-Serum-Wajah-Pelembab-Wajah-i.114789399.2848673501")</f>
        <v>https://shopee.co.id/-Isi-2-Hanasui-Vitamin-C-CollagenSerum-20ml-BIRU-Serum-Wajah-Pelembab-Wajah-i.114789399.2848673501</v>
      </c>
      <c r="C1866" s="6" t="s">
        <v>784</v>
      </c>
      <c r="D1866" s="6" t="s">
        <v>2531</v>
      </c>
      <c r="E1866" s="6" t="s">
        <v>12</v>
      </c>
      <c r="F1866" s="6" t="s">
        <v>13</v>
      </c>
      <c r="G1866" s="6" t="s">
        <v>36</v>
      </c>
      <c r="H1866" s="8" t="s">
        <v>2952</v>
      </c>
      <c r="I1866" s="9">
        <v>1037400.0</v>
      </c>
      <c r="J1866" s="5" t="str">
        <f t="shared" ref="J1866:K1866" si="1866">SUBSTITUTE(H1866, ",", "")</f>
        <v>5</v>
      </c>
      <c r="K1866" s="5" t="str">
        <f t="shared" si="1866"/>
        <v>Rp1037400</v>
      </c>
      <c r="L1866" s="5" t="str">
        <f t="shared" si="3"/>
        <v>1037400</v>
      </c>
    </row>
    <row r="1867">
      <c r="A1867" s="6" t="s">
        <v>3031</v>
      </c>
      <c r="B1867" s="7" t="str">
        <f>HYPERLINK("https://shopee.co.id/MSBB-Kaley-Pineapple-c-Lightening-essence-serum-i.288588702.9079944204", "https://shopee.co.id/MSBB-Kaley-Pineapple-c-Lightening-essence-serum-i.288588702.9079944204")</f>
        <v>https://shopee.co.id/MSBB-Kaley-Pineapple-c-Lightening-essence-serum-i.288588702.9079944204</v>
      </c>
      <c r="C1867" s="6" t="s">
        <v>78</v>
      </c>
      <c r="D1867" s="6" t="s">
        <v>79</v>
      </c>
      <c r="E1867" s="6" t="s">
        <v>12</v>
      </c>
      <c r="F1867" s="6" t="s">
        <v>13</v>
      </c>
      <c r="G1867" s="6" t="s">
        <v>80</v>
      </c>
      <c r="H1867" s="8" t="s">
        <v>2952</v>
      </c>
      <c r="I1867" s="9">
        <v>1072500.0</v>
      </c>
      <c r="J1867" s="5" t="str">
        <f t="shared" ref="J1867:K1867" si="1867">SUBSTITUTE(H1867, ",", "")</f>
        <v>5</v>
      </c>
      <c r="K1867" s="5" t="str">
        <f t="shared" si="1867"/>
        <v>Rp1072500</v>
      </c>
      <c r="L1867" s="5" t="str">
        <f t="shared" si="3"/>
        <v>1072500</v>
      </c>
    </row>
    <row r="1868">
      <c r="A1868" s="6" t="s">
        <v>3032</v>
      </c>
      <c r="B1868" s="7" t="str">
        <f>HYPERLINK("https://shopee.co.id/Tuesbelle-SKIN-GAME-Focus-Acne-Combat-i.36872574.9185477277", "https://shopee.co.id/Tuesbelle-SKIN-GAME-Focus-Acne-Combat-i.36872574.9185477277")</f>
        <v>https://shopee.co.id/Tuesbelle-SKIN-GAME-Focus-Acne-Combat-i.36872574.9185477277</v>
      </c>
      <c r="C1868" s="6" t="s">
        <v>523</v>
      </c>
      <c r="D1868" s="6" t="s">
        <v>969</v>
      </c>
      <c r="E1868" s="6" t="s">
        <v>12</v>
      </c>
      <c r="F1868" s="6" t="s">
        <v>13</v>
      </c>
      <c r="G1868" s="6" t="s">
        <v>115</v>
      </c>
      <c r="H1868" s="8" t="s">
        <v>2952</v>
      </c>
      <c r="I1868" s="9">
        <v>977015.0</v>
      </c>
      <c r="J1868" s="5" t="str">
        <f t="shared" ref="J1868:K1868" si="1868">SUBSTITUTE(H1868, ",", "")</f>
        <v>5</v>
      </c>
      <c r="K1868" s="5" t="str">
        <f t="shared" si="1868"/>
        <v>Rp977015</v>
      </c>
      <c r="L1868" s="5" t="str">
        <f t="shared" si="3"/>
        <v>977015</v>
      </c>
    </row>
    <row r="1869">
      <c r="A1869" s="6" t="s">
        <v>3033</v>
      </c>
      <c r="B1869" s="7" t="str">
        <f>HYPERLINK("https://shopee.co.id/Whitelab-Hydrating-Face-Essence-60-mL-i.65323877.11619054572", "https://shopee.co.id/Whitelab-Hydrating-Face-Essence-60-mL-i.65323877.11619054572")</f>
        <v>https://shopee.co.id/Whitelab-Hydrating-Face-Essence-60-mL-i.65323877.11619054572</v>
      </c>
      <c r="C1869" s="6" t="s">
        <v>59</v>
      </c>
      <c r="D1869" s="6" t="s">
        <v>1600</v>
      </c>
      <c r="E1869" s="6" t="s">
        <v>12</v>
      </c>
      <c r="F1869" s="6" t="s">
        <v>13</v>
      </c>
      <c r="G1869" s="6" t="s">
        <v>296</v>
      </c>
      <c r="H1869" s="8" t="s">
        <v>2952</v>
      </c>
      <c r="I1869" s="9">
        <v>1068240.0</v>
      </c>
      <c r="J1869" s="5" t="str">
        <f t="shared" ref="J1869:K1869" si="1869">SUBSTITUTE(H1869, ",", "")</f>
        <v>5</v>
      </c>
      <c r="K1869" s="5" t="str">
        <f t="shared" si="1869"/>
        <v>Rp1068240</v>
      </c>
      <c r="L1869" s="5" t="str">
        <f t="shared" si="3"/>
        <v>1068240</v>
      </c>
    </row>
    <row r="1870">
      <c r="A1870" s="6" t="s">
        <v>3034</v>
      </c>
      <c r="B1870" s="7" t="str">
        <f>HYPERLINK("https://shopee.co.id/Some-By-Mi-AHA-BHA-PHA-30-Days-Miracle-Serum-50ml-i.825870.11213441350", "https://shopee.co.id/Some-By-Mi-AHA-BHA-PHA-30-Days-Miracle-Serum-50ml-i.825870.11213441350")</f>
        <v>https://shopee.co.id/Some-By-Mi-AHA-BHA-PHA-30-Days-Miracle-Serum-50ml-i.825870.11213441350</v>
      </c>
      <c r="C1870" s="6" t="s">
        <v>213</v>
      </c>
      <c r="D1870" s="6" t="s">
        <v>1184</v>
      </c>
      <c r="E1870" s="6" t="s">
        <v>12</v>
      </c>
      <c r="F1870" s="6" t="s">
        <v>13</v>
      </c>
      <c r="G1870" s="6" t="s">
        <v>21</v>
      </c>
      <c r="H1870" s="8" t="s">
        <v>2952</v>
      </c>
      <c r="I1870" s="9">
        <v>760000.0</v>
      </c>
      <c r="J1870" s="5" t="str">
        <f t="shared" ref="J1870:K1870" si="1870">SUBSTITUTE(H1870, ",", "")</f>
        <v>5</v>
      </c>
      <c r="K1870" s="5" t="str">
        <f t="shared" si="1870"/>
        <v>Rp760000</v>
      </c>
      <c r="L1870" s="5" t="str">
        <f t="shared" si="3"/>
        <v>760000</v>
      </c>
    </row>
    <row r="1871">
      <c r="A1871" s="6" t="s">
        <v>3035</v>
      </c>
      <c r="B1871" s="7" t="str">
        <f>HYPERLINK("https://shopee.co.id/SKEYNDOR-Uniqcure-Intensive-Hydrating-Concentrate-i.241089883.5025064942", "https://shopee.co.id/SKEYNDOR-Uniqcure-Intensive-Hydrating-Concentrate-i.241089883.5025064942")</f>
        <v>https://shopee.co.id/SKEYNDOR-Uniqcure-Intensive-Hydrating-Concentrate-i.241089883.5025064942</v>
      </c>
      <c r="C1871" s="6" t="s">
        <v>2215</v>
      </c>
      <c r="D1871" s="6" t="s">
        <v>2216</v>
      </c>
      <c r="E1871" s="6" t="s">
        <v>12</v>
      </c>
      <c r="F1871" s="6" t="s">
        <v>13</v>
      </c>
      <c r="G1871" s="6" t="s">
        <v>21</v>
      </c>
      <c r="H1871" s="8" t="s">
        <v>2952</v>
      </c>
      <c r="I1871" s="9">
        <v>683185.0</v>
      </c>
      <c r="J1871" s="5" t="str">
        <f t="shared" ref="J1871:K1871" si="1871">SUBSTITUTE(H1871, ",", "")</f>
        <v>5</v>
      </c>
      <c r="K1871" s="5" t="str">
        <f t="shared" si="1871"/>
        <v>Rp683185</v>
      </c>
      <c r="L1871" s="5" t="str">
        <f t="shared" si="3"/>
        <v>683185</v>
      </c>
    </row>
    <row r="1872">
      <c r="A1872" s="6" t="s">
        <v>3036</v>
      </c>
      <c r="B1872" s="7" t="str">
        <f>HYPERLINK("https://shopee.co.id/SKEYNDOR-Uniqcure-Redensifying-Filling-Concentrate-i.241089883.5425097124", "https://shopee.co.id/SKEYNDOR-Uniqcure-Redensifying-Filling-Concentrate-i.241089883.5425097124")</f>
        <v>https://shopee.co.id/SKEYNDOR-Uniqcure-Redensifying-Filling-Concentrate-i.241089883.5425097124</v>
      </c>
      <c r="C1872" s="6" t="s">
        <v>2215</v>
      </c>
      <c r="D1872" s="6" t="s">
        <v>2216</v>
      </c>
      <c r="E1872" s="6" t="s">
        <v>12</v>
      </c>
      <c r="F1872" s="6" t="s">
        <v>13</v>
      </c>
      <c r="G1872" s="6" t="s">
        <v>21</v>
      </c>
      <c r="H1872" s="8" t="s">
        <v>2952</v>
      </c>
      <c r="I1872" s="9">
        <v>938350.0</v>
      </c>
      <c r="J1872" s="5" t="str">
        <f t="shared" ref="J1872:K1872" si="1872">SUBSTITUTE(H1872, ",", "")</f>
        <v>5</v>
      </c>
      <c r="K1872" s="5" t="str">
        <f t="shared" si="1872"/>
        <v>Rp938350</v>
      </c>
      <c r="L1872" s="5" t="str">
        <f t="shared" si="3"/>
        <v>938350</v>
      </c>
    </row>
    <row r="1873">
      <c r="A1873" s="6" t="s">
        <v>3037</v>
      </c>
      <c r="B1873" s="7" t="str">
        <f>HYPERLINK("https://shopee.co.id/NACIFIC-Fresh-Herb-Origin-Simple-Set-i.125116082.8842447439", "https://shopee.co.id/NACIFIC-Fresh-Herb-Origin-Simple-Set-i.125116082.8842447439")</f>
        <v>https://shopee.co.id/NACIFIC-Fresh-Herb-Origin-Simple-Set-i.125116082.8842447439</v>
      </c>
      <c r="C1873" s="6" t="s">
        <v>344</v>
      </c>
      <c r="D1873" s="6" t="s">
        <v>713</v>
      </c>
      <c r="E1873" s="6" t="s">
        <v>12</v>
      </c>
      <c r="F1873" s="6" t="s">
        <v>13</v>
      </c>
      <c r="G1873" s="6" t="s">
        <v>61</v>
      </c>
      <c r="H1873" s="8" t="s">
        <v>2952</v>
      </c>
      <c r="I1873" s="9">
        <v>825000.0</v>
      </c>
      <c r="J1873" s="5" t="str">
        <f t="shared" ref="J1873:K1873" si="1873">SUBSTITUTE(H1873, ",", "")</f>
        <v>5</v>
      </c>
      <c r="K1873" s="5" t="str">
        <f t="shared" si="1873"/>
        <v>Rp825000</v>
      </c>
      <c r="L1873" s="5" t="str">
        <f t="shared" si="3"/>
        <v>825000</v>
      </c>
    </row>
    <row r="1874">
      <c r="A1874" s="6" t="s">
        <v>3038</v>
      </c>
      <c r="B1874" s="7" t="str">
        <f>HYPERLINK("https://shopee.co.id/True-to-Skin-Hyaluronic-Acid-Hydrating-Serum-Pure-Mini-HA-Vit-B5-Allantoin-20ml-i.50948181.9227561288", "https://shopee.co.id/True-to-Skin-Hyaluronic-Acid-Hydrating-Serum-Pure-Mini-HA-Vit-B5-Allantoin-20ml-i.50948181.9227561288")</f>
        <v>https://shopee.co.id/True-to-Skin-Hyaluronic-Acid-Hydrating-Serum-Pure-Mini-HA-Vit-B5-Allantoin-20ml-i.50948181.9227561288</v>
      </c>
      <c r="C1874" s="6" t="s">
        <v>666</v>
      </c>
      <c r="D1874" s="6" t="s">
        <v>1129</v>
      </c>
      <c r="E1874" s="6" t="s">
        <v>12</v>
      </c>
      <c r="F1874" s="6" t="s">
        <v>13</v>
      </c>
      <c r="G1874" s="6" t="s">
        <v>1130</v>
      </c>
      <c r="H1874" s="8" t="s">
        <v>2952</v>
      </c>
      <c r="I1874" s="9">
        <v>579600.0</v>
      </c>
      <c r="J1874" s="5" t="str">
        <f t="shared" ref="J1874:K1874" si="1874">SUBSTITUTE(H1874, ",", "")</f>
        <v>5</v>
      </c>
      <c r="K1874" s="5" t="str">
        <f t="shared" si="1874"/>
        <v>Rp579600</v>
      </c>
      <c r="L1874" s="5" t="str">
        <f t="shared" si="3"/>
        <v>579600</v>
      </c>
    </row>
    <row r="1875">
      <c r="A1875" s="6" t="s">
        <v>3039</v>
      </c>
      <c r="B1875" s="7" t="str">
        <f>HYPERLINK("https://shopee.co.id/Azarine-C-White-Eyeluminate-Firming-Serum-15ml-i.68111.6929766302", "https://shopee.co.id/Azarine-C-White-Eyeluminate-Firming-Serum-15ml-i.68111.6929766302")</f>
        <v>https://shopee.co.id/Azarine-C-White-Eyeluminate-Firming-Serum-15ml-i.68111.6929766302</v>
      </c>
      <c r="C1875" s="6" t="s">
        <v>233</v>
      </c>
      <c r="D1875" s="6" t="s">
        <v>441</v>
      </c>
      <c r="E1875" s="6" t="s">
        <v>12</v>
      </c>
      <c r="F1875" s="6" t="s">
        <v>13</v>
      </c>
      <c r="G1875" s="6" t="s">
        <v>130</v>
      </c>
      <c r="H1875" s="8" t="s">
        <v>2952</v>
      </c>
      <c r="I1875" s="9">
        <v>1191132.0</v>
      </c>
      <c r="J1875" s="5" t="str">
        <f t="shared" ref="J1875:K1875" si="1875">SUBSTITUTE(H1875, ",", "")</f>
        <v>5</v>
      </c>
      <c r="K1875" s="5" t="str">
        <f t="shared" si="1875"/>
        <v>Rp1191132</v>
      </c>
      <c r="L1875" s="5" t="str">
        <f t="shared" si="3"/>
        <v>1191132</v>
      </c>
    </row>
    <row r="1876">
      <c r="A1876" s="6" t="s">
        <v>3040</v>
      </c>
      <c r="B1876" s="7" t="str">
        <f>HYPERLINK("https://shopee.co.id/Wardah-Renew-You-Anti-Aging-Intensive-Serum-17-ml-i.24819895.5010207183", "https://shopee.co.id/Wardah-Renew-You-Anti-Aging-Intensive-Serum-17-ml-i.24819895.5010207183")</f>
        <v>https://shopee.co.id/Wardah-Renew-You-Anti-Aging-Intensive-Serum-17-ml-i.24819895.5010207183</v>
      </c>
      <c r="C1876" s="6" t="s">
        <v>169</v>
      </c>
      <c r="D1876" s="6" t="s">
        <v>2491</v>
      </c>
      <c r="E1876" s="6" t="s">
        <v>12</v>
      </c>
      <c r="F1876" s="6" t="s">
        <v>13</v>
      </c>
      <c r="G1876" s="6" t="s">
        <v>1085</v>
      </c>
      <c r="H1876" s="8" t="s">
        <v>2952</v>
      </c>
      <c r="I1876" s="9">
        <v>337500.0</v>
      </c>
      <c r="J1876" s="5" t="str">
        <f t="shared" ref="J1876:K1876" si="1876">SUBSTITUTE(H1876, ",", "")</f>
        <v>5</v>
      </c>
      <c r="K1876" s="5" t="str">
        <f t="shared" si="1876"/>
        <v>Rp337500</v>
      </c>
      <c r="L1876" s="5" t="str">
        <f t="shared" si="3"/>
        <v>337500</v>
      </c>
    </row>
    <row r="1877">
      <c r="A1877" s="6" t="s">
        <v>3041</v>
      </c>
      <c r="B1877" s="7" t="str">
        <f>HYPERLINK("https://shopee.co.id/Probeauty-Serum-New-Skin-Repair-Serum-Serum-Bopeng-i.9171679.1377607732", "https://shopee.co.id/Probeauty-Serum-New-Skin-Repair-Serum-Serum-Bopeng-i.9171679.1377607732")</f>
        <v>https://shopee.co.id/Probeauty-Serum-New-Skin-Repair-Serum-Serum-Bopeng-i.9171679.1377607732</v>
      </c>
      <c r="C1877" s="6" t="s">
        <v>2207</v>
      </c>
      <c r="D1877" s="6" t="s">
        <v>2208</v>
      </c>
      <c r="E1877" s="6" t="s">
        <v>12</v>
      </c>
      <c r="F1877" s="6" t="s">
        <v>13</v>
      </c>
      <c r="G1877" s="6" t="s">
        <v>2209</v>
      </c>
      <c r="H1877" s="8" t="s">
        <v>2952</v>
      </c>
      <c r="I1877" s="9">
        <v>1118600.0</v>
      </c>
      <c r="J1877" s="5" t="str">
        <f t="shared" ref="J1877:K1877" si="1877">SUBSTITUTE(H1877, ",", "")</f>
        <v>5</v>
      </c>
      <c r="K1877" s="5" t="str">
        <f t="shared" si="1877"/>
        <v>Rp1118600</v>
      </c>
      <c r="L1877" s="5" t="str">
        <f t="shared" si="3"/>
        <v>1118600</v>
      </c>
    </row>
    <row r="1878">
      <c r="A1878" s="6" t="s">
        <v>302</v>
      </c>
      <c r="B1878" s="7" t="str">
        <f>HYPERLINK("https://shopee.co.id/Azarine-Anti-Acne-Brightening-Serum-20ml-i.136011044.10919891457", "https://shopee.co.id/Azarine-Anti-Acne-Brightening-Serum-20ml-i.136011044.10919891457")</f>
        <v>https://shopee.co.id/Azarine-Anti-Acne-Brightening-Serum-20ml-i.136011044.10919891457</v>
      </c>
      <c r="C1878" s="6" t="s">
        <v>233</v>
      </c>
      <c r="D1878" s="6" t="s">
        <v>632</v>
      </c>
      <c r="E1878" s="6" t="s">
        <v>12</v>
      </c>
      <c r="F1878" s="6" t="s">
        <v>13</v>
      </c>
      <c r="G1878" s="6" t="s">
        <v>21</v>
      </c>
      <c r="H1878" s="8" t="s">
        <v>2952</v>
      </c>
      <c r="I1878" s="9">
        <v>2345300.0</v>
      </c>
      <c r="J1878" s="5" t="str">
        <f t="shared" ref="J1878:K1878" si="1878">SUBSTITUTE(H1878, ",", "")</f>
        <v>5</v>
      </c>
      <c r="K1878" s="5" t="str">
        <f t="shared" si="1878"/>
        <v>Rp2345300</v>
      </c>
      <c r="L1878" s="5" t="str">
        <f t="shared" si="3"/>
        <v>2345300</v>
      </c>
    </row>
    <row r="1879">
      <c r="A1879" s="6" t="s">
        <v>3042</v>
      </c>
      <c r="B1879" s="7" t="str">
        <f>HYPERLINK("https://shopee.co.id/RORO-MENDUT-Cica-Niacinamide-Zinc-Serum-i.87869551.3481845328", "https://shopee.co.id/RORO-MENDUT-Cica-Niacinamide-Zinc-Serum-i.87869551.3481845328")</f>
        <v>https://shopee.co.id/RORO-MENDUT-Cica-Niacinamide-Zinc-Serum-i.87869551.3481845328</v>
      </c>
      <c r="C1879" s="6" t="s">
        <v>1526</v>
      </c>
      <c r="D1879" s="6" t="s">
        <v>1527</v>
      </c>
      <c r="E1879" s="6" t="s">
        <v>12</v>
      </c>
      <c r="F1879" s="6" t="s">
        <v>13</v>
      </c>
      <c r="G1879" s="6" t="s">
        <v>380</v>
      </c>
      <c r="H1879" s="8" t="s">
        <v>2952</v>
      </c>
      <c r="I1879" s="9">
        <v>597500.0</v>
      </c>
      <c r="J1879" s="5" t="str">
        <f t="shared" ref="J1879:K1879" si="1879">SUBSTITUTE(H1879, ",", "")</f>
        <v>5</v>
      </c>
      <c r="K1879" s="5" t="str">
        <f t="shared" si="1879"/>
        <v>Rp597500</v>
      </c>
      <c r="L1879" s="5" t="str">
        <f t="shared" si="3"/>
        <v>597500</v>
      </c>
    </row>
    <row r="1880">
      <c r="A1880" s="6" t="s">
        <v>3043</v>
      </c>
      <c r="B1880" s="7" t="str">
        <f>HYPERLINK("https://shopee.co.id/AZARINE-EASY-WHITE-HERBAL-MOISTURIZER-SERUM-20-ml-i.110573301.4985908097", "https://shopee.co.id/AZARINE-EASY-WHITE-HERBAL-MOISTURIZER-SERUM-20-ml-i.110573301.4985908097")</f>
        <v>https://shopee.co.id/AZARINE-EASY-WHITE-HERBAL-MOISTURIZER-SERUM-20-ml-i.110573301.4985908097</v>
      </c>
      <c r="C1880" s="6" t="s">
        <v>233</v>
      </c>
      <c r="D1880" s="6" t="s">
        <v>227</v>
      </c>
      <c r="E1880" s="6" t="s">
        <v>12</v>
      </c>
      <c r="F1880" s="6" t="s">
        <v>13</v>
      </c>
      <c r="G1880" s="6" t="s">
        <v>61</v>
      </c>
      <c r="H1880" s="8" t="s">
        <v>2952</v>
      </c>
      <c r="I1880" s="9">
        <v>775000.0</v>
      </c>
      <c r="J1880" s="5" t="str">
        <f t="shared" ref="J1880:K1880" si="1880">SUBSTITUTE(H1880, ",", "")</f>
        <v>5</v>
      </c>
      <c r="K1880" s="5" t="str">
        <f t="shared" si="1880"/>
        <v>Rp775000</v>
      </c>
      <c r="L1880" s="5" t="str">
        <f t="shared" si="3"/>
        <v>775000</v>
      </c>
    </row>
    <row r="1881">
      <c r="A1881" s="6" t="s">
        <v>3044</v>
      </c>
      <c r="B1881" s="7" t="str">
        <f>HYPERLINK("https://shopee.co.id/Nusantics-Chamomile-Biome-Spray-Essence-i.156645962.2333076386", "https://shopee.co.id/Nusantics-Chamomile-Biome-Spray-Essence-i.156645962.2333076386")</f>
        <v>https://shopee.co.id/Nusantics-Chamomile-Biome-Spray-Essence-i.156645962.2333076386</v>
      </c>
      <c r="C1881" s="6" t="s">
        <v>2427</v>
      </c>
      <c r="D1881" s="6" t="s">
        <v>2428</v>
      </c>
      <c r="E1881" s="6" t="s">
        <v>12</v>
      </c>
      <c r="F1881" s="6" t="s">
        <v>13</v>
      </c>
      <c r="G1881" s="6" t="s">
        <v>98</v>
      </c>
      <c r="H1881" s="8" t="s">
        <v>2952</v>
      </c>
      <c r="I1881" s="9">
        <v>775000.0</v>
      </c>
      <c r="J1881" s="5" t="str">
        <f t="shared" ref="J1881:K1881" si="1881">SUBSTITUTE(H1881, ",", "")</f>
        <v>5</v>
      </c>
      <c r="K1881" s="5" t="str">
        <f t="shared" si="1881"/>
        <v>Rp775000</v>
      </c>
      <c r="L1881" s="5" t="str">
        <f t="shared" si="3"/>
        <v>775000</v>
      </c>
    </row>
    <row r="1882">
      <c r="A1882" s="6" t="s">
        <v>3045</v>
      </c>
      <c r="B1882" s="7" t="str">
        <f>HYPERLINK("https://shopee.co.id/Vavl-Pure-White-Glowing-Serum-15ml-i.50948181.11419666151", "https://shopee.co.id/Vavl-Pure-White-Glowing-Serum-15ml-i.50948181.11419666151")</f>
        <v>https://shopee.co.id/Vavl-Pure-White-Glowing-Serum-15ml-i.50948181.11419666151</v>
      </c>
      <c r="C1882" s="6" t="s">
        <v>1171</v>
      </c>
      <c r="D1882" s="6" t="s">
        <v>1129</v>
      </c>
      <c r="E1882" s="6" t="s">
        <v>12</v>
      </c>
      <c r="F1882" s="6" t="s">
        <v>13</v>
      </c>
      <c r="G1882" s="6" t="s">
        <v>1130</v>
      </c>
      <c r="H1882" s="8" t="s">
        <v>2952</v>
      </c>
      <c r="I1882" s="9">
        <v>775000.0</v>
      </c>
      <c r="J1882" s="5" t="str">
        <f t="shared" ref="J1882:K1882" si="1882">SUBSTITUTE(H1882, ",", "")</f>
        <v>5</v>
      </c>
      <c r="K1882" s="5" t="str">
        <f t="shared" si="1882"/>
        <v>Rp775000</v>
      </c>
      <c r="L1882" s="5" t="str">
        <f t="shared" si="3"/>
        <v>775000</v>
      </c>
    </row>
    <row r="1883">
      <c r="A1883" s="6" t="s">
        <v>3046</v>
      </c>
      <c r="B1883" s="7" t="str">
        <f>HYPERLINK("https://shopee.co.id/Garnier-Serum-Light-Complete-Vitamin-C-30x-Booster-Skin-Care-15-mL-i.65323877.9279219849", "https://shopee.co.id/Garnier-Serum-Light-Complete-Vitamin-C-30x-Booster-Skin-Care-15-mL-i.65323877.9279219849")</f>
        <v>https://shopee.co.id/Garnier-Serum-Light-Complete-Vitamin-C-30x-Booster-Skin-Care-15-mL-i.65323877.9279219849</v>
      </c>
      <c r="C1883" s="6" t="s">
        <v>74</v>
      </c>
      <c r="D1883" s="6" t="s">
        <v>1600</v>
      </c>
      <c r="E1883" s="6" t="s">
        <v>12</v>
      </c>
      <c r="F1883" s="6" t="s">
        <v>13</v>
      </c>
      <c r="G1883" s="6" t="s">
        <v>296</v>
      </c>
      <c r="H1883" s="8" t="s">
        <v>2952</v>
      </c>
      <c r="I1883" s="9">
        <v>7610800.0</v>
      </c>
      <c r="J1883" s="5" t="str">
        <f t="shared" ref="J1883:K1883" si="1883">SUBSTITUTE(H1883, ",", "")</f>
        <v>5</v>
      </c>
      <c r="K1883" s="5" t="str">
        <f t="shared" si="1883"/>
        <v>Rp7610800</v>
      </c>
      <c r="L1883" s="5" t="str">
        <f t="shared" si="3"/>
        <v>7610800</v>
      </c>
    </row>
    <row r="1884">
      <c r="A1884" s="6" t="s">
        <v>3047</v>
      </c>
      <c r="B1884" s="7" t="str">
        <f>HYPERLINK("https://shopee.co.id/KLEVERU-Vitamin-C-10-Ferulic-15ml-i.68111.2953584718", "https://shopee.co.id/KLEVERU-Vitamin-C-10-Ferulic-15ml-i.68111.2953584718")</f>
        <v>https://shopee.co.id/KLEVERU-Vitamin-C-10-Ferulic-15ml-i.68111.2953584718</v>
      </c>
      <c r="C1884" s="6" t="s">
        <v>2408</v>
      </c>
      <c r="D1884" s="6" t="s">
        <v>441</v>
      </c>
      <c r="E1884" s="6" t="s">
        <v>12</v>
      </c>
      <c r="F1884" s="6" t="s">
        <v>13</v>
      </c>
      <c r="G1884" s="6" t="s">
        <v>130</v>
      </c>
      <c r="H1884" s="8" t="s">
        <v>2952</v>
      </c>
      <c r="I1884" s="9">
        <v>5715900.0</v>
      </c>
      <c r="J1884" s="5" t="str">
        <f t="shared" ref="J1884:K1884" si="1884">SUBSTITUTE(H1884, ",", "")</f>
        <v>5</v>
      </c>
      <c r="K1884" s="5" t="str">
        <f t="shared" si="1884"/>
        <v>Rp5715900</v>
      </c>
      <c r="L1884" s="5" t="str">
        <f t="shared" si="3"/>
        <v>5715900</v>
      </c>
    </row>
    <row r="1885">
      <c r="A1885" s="6" t="s">
        <v>3048</v>
      </c>
      <c r="B1885" s="7" t="str">
        <f>HYPERLINK("https://shopee.co.id/-Official-Distributor-By-Wishtrend-Quad-Active-Boosting-Essence-100ml-i.438396149.5888359898", "https://shopee.co.id/-Official-Distributor-By-Wishtrend-Quad-Active-Boosting-Essence-100ml-i.438396149.5888359898")</f>
        <v>https://shopee.co.id/-Official-Distributor-By-Wishtrend-Quad-Active-Boosting-Essence-100ml-i.438396149.5888359898</v>
      </c>
      <c r="C1885" s="6" t="s">
        <v>2759</v>
      </c>
      <c r="D1885" s="6" t="s">
        <v>2760</v>
      </c>
      <c r="E1885" s="6" t="s">
        <v>12</v>
      </c>
      <c r="F1885" s="6" t="s">
        <v>13</v>
      </c>
      <c r="G1885" s="6" t="s">
        <v>21</v>
      </c>
      <c r="H1885" s="8" t="s">
        <v>2952</v>
      </c>
      <c r="I1885" s="9">
        <v>5072500.0</v>
      </c>
      <c r="J1885" s="5" t="str">
        <f t="shared" ref="J1885:K1885" si="1885">SUBSTITUTE(H1885, ",", "")</f>
        <v>5</v>
      </c>
      <c r="K1885" s="5" t="str">
        <f t="shared" si="1885"/>
        <v>Rp5072500</v>
      </c>
      <c r="L1885" s="5" t="str">
        <f t="shared" si="3"/>
        <v>5072500</v>
      </c>
    </row>
    <row r="1886">
      <c r="A1886" s="6" t="s">
        <v>3049</v>
      </c>
      <c r="B1886" s="7" t="str">
        <f>HYPERLINK("https://shopee.co.id/BIODERMA-Bioderma-Atoderm-Huille-de-Douche-24hr-Moist-200ml-i.30736001.3359218141", "https://shopee.co.id/BIODERMA-Bioderma-Atoderm-Huille-de-Douche-24hr-Moist-200ml-i.30736001.3359218141")</f>
        <v>https://shopee.co.id/BIODERMA-Bioderma-Atoderm-Huille-de-Douche-24hr-Moist-200ml-i.30736001.3359218141</v>
      </c>
      <c r="C1886" s="6" t="s">
        <v>1387</v>
      </c>
      <c r="D1886" s="6" t="s">
        <v>335</v>
      </c>
      <c r="E1886" s="6" t="s">
        <v>12</v>
      </c>
      <c r="F1886" s="6" t="s">
        <v>13</v>
      </c>
      <c r="G1886" s="6" t="s">
        <v>36</v>
      </c>
      <c r="H1886" s="8" t="s">
        <v>2952</v>
      </c>
      <c r="I1886" s="9">
        <v>420750.0</v>
      </c>
      <c r="J1886" s="5" t="str">
        <f t="shared" ref="J1886:K1886" si="1886">SUBSTITUTE(H1886, ",", "")</f>
        <v>5</v>
      </c>
      <c r="K1886" s="5" t="str">
        <f t="shared" si="1886"/>
        <v>Rp420750</v>
      </c>
      <c r="L1886" s="5" t="str">
        <f t="shared" si="3"/>
        <v>420750</v>
      </c>
    </row>
    <row r="1887">
      <c r="A1887" s="6" t="s">
        <v>3050</v>
      </c>
      <c r="B1887" s="7" t="str">
        <f>HYPERLINK("https://shopee.co.id/KEZIA-Skincare-Serum-Acne-15ml-i.193506655.4404573683", "https://shopee.co.id/KEZIA-Skincare-Serum-Acne-15ml-i.193506655.4404573683")</f>
        <v>https://shopee.co.id/KEZIA-Skincare-Serum-Acne-15ml-i.193506655.4404573683</v>
      </c>
      <c r="C1887" s="6" t="s">
        <v>2762</v>
      </c>
      <c r="D1887" s="6" t="s">
        <v>2763</v>
      </c>
      <c r="E1887" s="6" t="s">
        <v>12</v>
      </c>
      <c r="F1887" s="6" t="s">
        <v>13</v>
      </c>
      <c r="G1887" s="6" t="s">
        <v>532</v>
      </c>
      <c r="H1887" s="8" t="s">
        <v>2952</v>
      </c>
      <c r="I1887" s="9">
        <v>512300.0</v>
      </c>
      <c r="J1887" s="5" t="str">
        <f t="shared" ref="J1887:K1887" si="1887">SUBSTITUTE(H1887, ",", "")</f>
        <v>5</v>
      </c>
      <c r="K1887" s="5" t="str">
        <f t="shared" si="1887"/>
        <v>Rp512300</v>
      </c>
      <c r="L1887" s="5" t="str">
        <f t="shared" si="3"/>
        <v>512300</v>
      </c>
    </row>
    <row r="1888">
      <c r="A1888" s="6" t="s">
        <v>3051</v>
      </c>
      <c r="B1888" s="7" t="str">
        <f>HYPERLINK("https://shopee.co.id/d-Alba-White-Truffle-First-Spray-Serum-100ml-i.489174620.11446765625", "https://shopee.co.id/d-Alba-White-Truffle-First-Spray-Serum-100ml-i.489174620.11446765625")</f>
        <v>https://shopee.co.id/d-Alba-White-Truffle-First-Spray-Serum-100ml-i.489174620.11446765625</v>
      </c>
      <c r="C1888" s="6" t="s">
        <v>1694</v>
      </c>
      <c r="D1888" s="6" t="s">
        <v>3052</v>
      </c>
      <c r="E1888" s="6" t="s">
        <v>12</v>
      </c>
      <c r="F1888" s="6" t="s">
        <v>13</v>
      </c>
      <c r="G1888" s="6" t="s">
        <v>80</v>
      </c>
      <c r="H1888" s="8" t="s">
        <v>2952</v>
      </c>
      <c r="I1888" s="9">
        <v>1246000.0</v>
      </c>
      <c r="J1888" s="5" t="str">
        <f t="shared" ref="J1888:K1888" si="1888">SUBSTITUTE(H1888, ",", "")</f>
        <v>5</v>
      </c>
      <c r="K1888" s="5" t="str">
        <f t="shared" si="1888"/>
        <v>Rp1246000</v>
      </c>
      <c r="L1888" s="5" t="str">
        <f t="shared" si="3"/>
        <v>1246000</v>
      </c>
    </row>
    <row r="1889">
      <c r="A1889" s="6" t="s">
        <v>3053</v>
      </c>
      <c r="B1889" s="7" t="str">
        <f>HYPERLINK("https://shopee.co.id/DNI-Glowing-Snail-Serum-i.41174739.3820732365", "https://shopee.co.id/DNI-Glowing-Snail-Serum-i.41174739.3820732365")</f>
        <v>https://shopee.co.id/DNI-Glowing-Snail-Serum-i.41174739.3820732365</v>
      </c>
      <c r="C1889" s="6" t="s">
        <v>2382</v>
      </c>
      <c r="D1889" s="6" t="s">
        <v>2383</v>
      </c>
      <c r="E1889" s="6" t="s">
        <v>12</v>
      </c>
      <c r="F1889" s="6" t="s">
        <v>13</v>
      </c>
      <c r="G1889" s="6" t="s">
        <v>945</v>
      </c>
      <c r="H1889" s="8" t="s">
        <v>2952</v>
      </c>
      <c r="I1889" s="9">
        <v>445500.0</v>
      </c>
      <c r="J1889" s="5" t="str">
        <f t="shared" ref="J1889:K1889" si="1889">SUBSTITUTE(H1889, ",", "")</f>
        <v>5</v>
      </c>
      <c r="K1889" s="5" t="str">
        <f t="shared" si="1889"/>
        <v>Rp445500</v>
      </c>
      <c r="L1889" s="5" t="str">
        <f t="shared" si="3"/>
        <v>445500</v>
      </c>
    </row>
    <row r="1890">
      <c r="A1890" s="6" t="s">
        <v>3054</v>
      </c>
      <c r="B1890" s="7" t="str">
        <f>HYPERLINK("https://shopee.co.id/FSS-Hydrate-Hyaluronic-Acid-Serum-Concentrate-30ml-i.825870.1704080274", "https://shopee.co.id/FSS-Hydrate-Hyaluronic-Acid-Serum-Concentrate-30ml-i.825870.1704080274")</f>
        <v>https://shopee.co.id/FSS-Hydrate-Hyaluronic-Acid-Serum-Concentrate-30ml-i.825870.1704080274</v>
      </c>
      <c r="C1890" s="6" t="s">
        <v>2700</v>
      </c>
      <c r="D1890" s="6" t="s">
        <v>1184</v>
      </c>
      <c r="E1890" s="6" t="s">
        <v>12</v>
      </c>
      <c r="F1890" s="6" t="s">
        <v>13</v>
      </c>
      <c r="G1890" s="6" t="s">
        <v>21</v>
      </c>
      <c r="H1890" s="8" t="s">
        <v>2952</v>
      </c>
      <c r="I1890" s="9">
        <v>695830.0</v>
      </c>
      <c r="J1890" s="5" t="str">
        <f t="shared" ref="J1890:K1890" si="1890">SUBSTITUTE(H1890, ",", "")</f>
        <v>5</v>
      </c>
      <c r="K1890" s="5" t="str">
        <f t="shared" si="1890"/>
        <v>Rp695830</v>
      </c>
      <c r="L1890" s="5" t="str">
        <f t="shared" si="3"/>
        <v>695830</v>
      </c>
    </row>
    <row r="1891">
      <c r="A1891" s="6" t="s">
        <v>3055</v>
      </c>
      <c r="B1891" s="7" t="str">
        <f>HYPERLINK("https://shopee.co.id/Glowlabs-New-Game-Squad-HPR-Night-Serum-Gentle-Exfoliator-Essence-Acne-Prone-Moisturizer--i.336869851.3006395414", "https://shopee.co.id/Glowlabs-New-Game-Squad-HPR-Night-Serum-Gentle-Exfoliator-Essence-Acne-Prone-Moisturizer--i.336869851.3006395414")</f>
        <v>https://shopee.co.id/Glowlabs-New-Game-Squad-HPR-Night-Serum-Gentle-Exfoliator-Essence-Acne-Prone-Moisturizer--i.336869851.3006395414</v>
      </c>
      <c r="C1891" s="6" t="s">
        <v>407</v>
      </c>
      <c r="D1891" s="6" t="s">
        <v>408</v>
      </c>
      <c r="E1891" s="6" t="s">
        <v>12</v>
      </c>
      <c r="F1891" s="6" t="s">
        <v>13</v>
      </c>
      <c r="G1891" s="6" t="s">
        <v>409</v>
      </c>
      <c r="H1891" s="8" t="s">
        <v>2952</v>
      </c>
      <c r="I1891" s="9">
        <v>4224500.0</v>
      </c>
      <c r="J1891" s="5" t="str">
        <f t="shared" ref="J1891:K1891" si="1891">SUBSTITUTE(H1891, ",", "")</f>
        <v>5</v>
      </c>
      <c r="K1891" s="5" t="str">
        <f t="shared" si="1891"/>
        <v>Rp4224500</v>
      </c>
      <c r="L1891" s="5" t="str">
        <f t="shared" si="3"/>
        <v>4224500</v>
      </c>
    </row>
    <row r="1892">
      <c r="A1892" s="6" t="s">
        <v>3056</v>
      </c>
      <c r="B1892" s="7" t="str">
        <f>HYPERLINK("https://shopee.co.id/TABITHA-SKIN-WHITE-Dark-Spot-Serum-i.344192903.3377349946", "https://shopee.co.id/TABITHA-SKIN-WHITE-Dark-Spot-Serum-i.344192903.3377349946")</f>
        <v>https://shopee.co.id/TABITHA-SKIN-WHITE-Dark-Spot-Serum-i.344192903.3377349946</v>
      </c>
      <c r="C1892" s="6" t="s">
        <v>2211</v>
      </c>
      <c r="D1892" s="6" t="s">
        <v>2212</v>
      </c>
      <c r="E1892" s="6" t="s">
        <v>12</v>
      </c>
      <c r="F1892" s="6" t="s">
        <v>13</v>
      </c>
      <c r="G1892" s="6" t="s">
        <v>296</v>
      </c>
      <c r="H1892" s="8" t="s">
        <v>2952</v>
      </c>
      <c r="I1892" s="9">
        <v>760000.0</v>
      </c>
      <c r="J1892" s="5" t="str">
        <f t="shared" ref="J1892:K1892" si="1892">SUBSTITUTE(H1892, ",", "")</f>
        <v>5</v>
      </c>
      <c r="K1892" s="5" t="str">
        <f t="shared" si="1892"/>
        <v>Rp760000</v>
      </c>
      <c r="L1892" s="5" t="str">
        <f t="shared" si="3"/>
        <v>760000</v>
      </c>
    </row>
    <row r="1893">
      <c r="A1893" s="6" t="s">
        <v>3057</v>
      </c>
      <c r="B1893" s="7" t="str">
        <f>HYPERLINK("https://shopee.co.id/Duvaderm-Acne-Shot-5ml-i.825870.4683782423", "https://shopee.co.id/Duvaderm-Acne-Shot-5ml-i.825870.4683782423")</f>
        <v>https://shopee.co.id/Duvaderm-Acne-Shot-5ml-i.825870.4683782423</v>
      </c>
      <c r="C1893" s="6" t="s">
        <v>2752</v>
      </c>
      <c r="D1893" s="6" t="s">
        <v>1184</v>
      </c>
      <c r="E1893" s="6" t="s">
        <v>12</v>
      </c>
      <c r="F1893" s="6" t="s">
        <v>13</v>
      </c>
      <c r="G1893" s="6" t="s">
        <v>21</v>
      </c>
      <c r="H1893" s="8" t="s">
        <v>2952</v>
      </c>
      <c r="I1893" s="9">
        <v>1073190.0</v>
      </c>
      <c r="J1893" s="5" t="str">
        <f t="shared" ref="J1893:K1893" si="1893">SUBSTITUTE(H1893, ",", "")</f>
        <v>5</v>
      </c>
      <c r="K1893" s="5" t="str">
        <f t="shared" si="1893"/>
        <v>Rp1073190</v>
      </c>
      <c r="L1893" s="5" t="str">
        <f t="shared" si="3"/>
        <v>1073190</v>
      </c>
    </row>
    <row r="1894">
      <c r="A1894" s="6" t="s">
        <v>3058</v>
      </c>
      <c r="B1894" s="7" t="str">
        <f>HYPERLINK("https://shopee.co.id/Iunik-Black-Snail-Restore-Serum-50ml-i.270765534.4348931035", "https://shopee.co.id/Iunik-Black-Snail-Restore-Serum-50ml-i.270765534.4348931035")</f>
        <v>https://shopee.co.id/Iunik-Black-Snail-Restore-Serum-50ml-i.270765534.4348931035</v>
      </c>
      <c r="C1894" s="6" t="s">
        <v>1658</v>
      </c>
      <c r="D1894" s="6" t="s">
        <v>1659</v>
      </c>
      <c r="E1894" s="6" t="s">
        <v>12</v>
      </c>
      <c r="F1894" s="6" t="s">
        <v>13</v>
      </c>
      <c r="G1894" s="6" t="s">
        <v>21</v>
      </c>
      <c r="H1894" s="8" t="s">
        <v>2952</v>
      </c>
      <c r="I1894" s="9">
        <v>1256100.0</v>
      </c>
      <c r="J1894" s="5" t="str">
        <f t="shared" ref="J1894:K1894" si="1894">SUBSTITUTE(H1894, ",", "")</f>
        <v>5</v>
      </c>
      <c r="K1894" s="5" t="str">
        <f t="shared" si="1894"/>
        <v>Rp1256100</v>
      </c>
      <c r="L1894" s="5" t="str">
        <f t="shared" si="3"/>
        <v>1256100</v>
      </c>
    </row>
    <row r="1895">
      <c r="A1895" s="6" t="s">
        <v>3059</v>
      </c>
      <c r="B1895" s="7" t="str">
        <f>HYPERLINK("https://shopee.co.id/Dear-Me-Beauty-5-Inoceramide-Ceramide-Pomegranate-Extract-Face-Serum-32ml-i.270965687.11707221937", "https://shopee.co.id/Dear-Me-Beauty-5-Inoceramide-Ceramide-Pomegranate-Extract-Face-Serum-32ml-i.270965687.11707221937")</f>
        <v>https://shopee.co.id/Dear-Me-Beauty-5-Inoceramide-Ceramide-Pomegranate-Extract-Face-Serum-32ml-i.270965687.11707221937</v>
      </c>
      <c r="C1895" s="6" t="s">
        <v>70</v>
      </c>
      <c r="D1895" s="6" t="s">
        <v>379</v>
      </c>
      <c r="E1895" s="6" t="s">
        <v>12</v>
      </c>
      <c r="F1895" s="6" t="s">
        <v>13</v>
      </c>
      <c r="G1895" s="6" t="s">
        <v>380</v>
      </c>
      <c r="H1895" s="8" t="s">
        <v>2952</v>
      </c>
      <c r="I1895" s="9">
        <v>1211050.0</v>
      </c>
      <c r="J1895" s="5" t="str">
        <f t="shared" ref="J1895:K1895" si="1895">SUBSTITUTE(H1895, ",", "")</f>
        <v>5</v>
      </c>
      <c r="K1895" s="5" t="str">
        <f t="shared" si="1895"/>
        <v>Rp1211050</v>
      </c>
      <c r="L1895" s="5" t="str">
        <f t="shared" si="3"/>
        <v>1211050</v>
      </c>
    </row>
    <row r="1896">
      <c r="A1896" s="6" t="s">
        <v>3060</v>
      </c>
      <c r="B1896" s="7" t="str">
        <f>HYPERLINK("https://shopee.co.id/Whitelab-Hydrating-Face-Essence-60ml-i.136011044.9310321216", "https://shopee.co.id/Whitelab-Hydrating-Face-Essence-60ml-i.136011044.9310321216")</f>
        <v>https://shopee.co.id/Whitelab-Hydrating-Face-Essence-60ml-i.136011044.9310321216</v>
      </c>
      <c r="C1896" s="6" t="s">
        <v>59</v>
      </c>
      <c r="D1896" s="6" t="s">
        <v>632</v>
      </c>
      <c r="E1896" s="6" t="s">
        <v>12</v>
      </c>
      <c r="F1896" s="6" t="s">
        <v>13</v>
      </c>
      <c r="G1896" s="6" t="s">
        <v>21</v>
      </c>
      <c r="H1896" s="8" t="s">
        <v>2952</v>
      </c>
      <c r="I1896" s="9">
        <v>937500.0</v>
      </c>
      <c r="J1896" s="5" t="str">
        <f t="shared" ref="J1896:K1896" si="1896">SUBSTITUTE(H1896, ",", "")</f>
        <v>5</v>
      </c>
      <c r="K1896" s="5" t="str">
        <f t="shared" si="1896"/>
        <v>Rp937500</v>
      </c>
      <c r="L1896" s="5" t="str">
        <f t="shared" si="3"/>
        <v>937500</v>
      </c>
    </row>
    <row r="1897">
      <c r="A1897" s="6" t="s">
        <v>3061</v>
      </c>
      <c r="B1897" s="7" t="str">
        <f>HYPERLINK("https://shopee.co.id/Hiqween-Bundling-Basic-Skincare-i.481417149.9177571005", "https://shopee.co.id/Hiqween-Bundling-Basic-Skincare-i.481417149.9177571005")</f>
        <v>https://shopee.co.id/Hiqween-Bundling-Basic-Skincare-i.481417149.9177571005</v>
      </c>
      <c r="C1897" s="6" t="s">
        <v>2270</v>
      </c>
      <c r="D1897" s="6" t="s">
        <v>2271</v>
      </c>
      <c r="E1897" s="6" t="s">
        <v>12</v>
      </c>
      <c r="F1897" s="6" t="s">
        <v>13</v>
      </c>
      <c r="G1897" s="6" t="s">
        <v>350</v>
      </c>
      <c r="H1897" s="8" t="s">
        <v>2952</v>
      </c>
      <c r="I1897" s="9">
        <v>393750.0</v>
      </c>
      <c r="J1897" s="5" t="str">
        <f t="shared" ref="J1897:K1897" si="1897">SUBSTITUTE(H1897, ",", "")</f>
        <v>5</v>
      </c>
      <c r="K1897" s="5" t="str">
        <f t="shared" si="1897"/>
        <v>Rp393750</v>
      </c>
      <c r="L1897" s="5" t="str">
        <f t="shared" si="3"/>
        <v>393750</v>
      </c>
    </row>
    <row r="1898">
      <c r="A1898" s="6" t="s">
        <v>3062</v>
      </c>
      <c r="B1898" s="7" t="str">
        <f>HYPERLINK("https://shopee.co.id/Rovectin-Skin-Essentials-Aqua-Activating-Serum-i.125116082.4019170523", "https://shopee.co.id/Rovectin-Skin-Essentials-Aqua-Activating-Serum-i.125116082.4019170523")</f>
        <v>https://shopee.co.id/Rovectin-Skin-Essentials-Aqua-Activating-Serum-i.125116082.4019170523</v>
      </c>
      <c r="C1898" s="6" t="s">
        <v>3063</v>
      </c>
      <c r="D1898" s="6" t="s">
        <v>713</v>
      </c>
      <c r="E1898" s="6" t="s">
        <v>12</v>
      </c>
      <c r="F1898" s="6" t="s">
        <v>13</v>
      </c>
      <c r="G1898" s="6" t="s">
        <v>61</v>
      </c>
      <c r="H1898" s="8" t="s">
        <v>3064</v>
      </c>
      <c r="I1898" s="9">
        <v>250400.0</v>
      </c>
      <c r="J1898" s="5" t="str">
        <f t="shared" ref="J1898:K1898" si="1898">SUBSTITUTE(H1898, ",", "")</f>
        <v>4</v>
      </c>
      <c r="K1898" s="5" t="str">
        <f t="shared" si="1898"/>
        <v>Rp250400</v>
      </c>
      <c r="L1898" s="5" t="str">
        <f t="shared" si="3"/>
        <v>250400</v>
      </c>
    </row>
    <row r="1899">
      <c r="A1899" s="6" t="s">
        <v>3065</v>
      </c>
      <c r="B1899" s="7" t="str">
        <f>HYPERLINK("https://shopee.co.id/Power-Ampoule-Anti-Wrinkle-35ml-i.58386356.9519121617", "https://shopee.co.id/Power-Ampoule-Anti-Wrinkle-35ml-i.58386356.9519121617")</f>
        <v>https://shopee.co.id/Power-Ampoule-Anti-Wrinkle-35ml-i.58386356.9519121617</v>
      </c>
      <c r="C1899" s="6" t="s">
        <v>2339</v>
      </c>
      <c r="D1899" s="6" t="s">
        <v>2340</v>
      </c>
      <c r="E1899" s="6" t="s">
        <v>12</v>
      </c>
      <c r="F1899" s="6" t="s">
        <v>13</v>
      </c>
      <c r="G1899" s="6" t="s">
        <v>21</v>
      </c>
      <c r="H1899" s="8" t="s">
        <v>3064</v>
      </c>
      <c r="I1899" s="9">
        <v>417000.0</v>
      </c>
      <c r="J1899" s="5" t="str">
        <f t="shared" ref="J1899:K1899" si="1899">SUBSTITUTE(H1899, ",", "")</f>
        <v>4</v>
      </c>
      <c r="K1899" s="5" t="str">
        <f t="shared" si="1899"/>
        <v>Rp417000</v>
      </c>
      <c r="L1899" s="5" t="str">
        <f t="shared" si="3"/>
        <v>417000</v>
      </c>
    </row>
    <row r="1900">
      <c r="A1900" s="6" t="s">
        <v>3066</v>
      </c>
      <c r="B1900" s="7" t="str">
        <f>HYPERLINK("https://shopee.co.id/Irine-Beauty-Care-PLATINUM-ACNE-SERUM-mengandung-aloe-vera-vit-B3-A-C--i.154545935.2318203827", "https://shopee.co.id/Irine-Beauty-Care-PLATINUM-ACNE-SERUM-mengandung-aloe-vera-vit-B3-A-C--i.154545935.2318203827")</f>
        <v>https://shopee.co.id/Irine-Beauty-Care-PLATINUM-ACNE-SERUM-mengandung-aloe-vera-vit-B3-A-C--i.154545935.2318203827</v>
      </c>
      <c r="C1900" s="6" t="s">
        <v>2649</v>
      </c>
      <c r="D1900" s="6" t="s">
        <v>2650</v>
      </c>
      <c r="E1900" s="6" t="s">
        <v>12</v>
      </c>
      <c r="F1900" s="6" t="s">
        <v>13</v>
      </c>
      <c r="G1900" s="6" t="s">
        <v>130</v>
      </c>
      <c r="H1900" s="8" t="s">
        <v>3064</v>
      </c>
      <c r="I1900" s="9">
        <v>867600.0</v>
      </c>
      <c r="J1900" s="5" t="str">
        <f t="shared" ref="J1900:K1900" si="1900">SUBSTITUTE(H1900, ",", "")</f>
        <v>4</v>
      </c>
      <c r="K1900" s="5" t="str">
        <f t="shared" si="1900"/>
        <v>Rp867600</v>
      </c>
      <c r="L1900" s="5" t="str">
        <f t="shared" si="3"/>
        <v>867600</v>
      </c>
    </row>
    <row r="1901">
      <c r="A1901" s="6" t="s">
        <v>3067</v>
      </c>
      <c r="B1901" s="7" t="str">
        <f>HYPERLINK("https://shopee.co.id/KANEBO-Skin-Gloss-Oil-Water-50ML-i.169111593.5001801453", "https://shopee.co.id/KANEBO-Skin-Gloss-Oil-Water-50ML-i.169111593.5001801453")</f>
        <v>https://shopee.co.id/KANEBO-Skin-Gloss-Oil-Water-50ML-i.169111593.5001801453</v>
      </c>
      <c r="C1901" s="6" t="s">
        <v>1473</v>
      </c>
      <c r="D1901" s="6" t="s">
        <v>1474</v>
      </c>
      <c r="E1901" s="6" t="s">
        <v>12</v>
      </c>
      <c r="F1901" s="6" t="s">
        <v>13</v>
      </c>
      <c r="G1901" s="6" t="s">
        <v>532</v>
      </c>
      <c r="H1901" s="8" t="s">
        <v>3064</v>
      </c>
      <c r="I1901" s="9">
        <v>210400.0</v>
      </c>
      <c r="J1901" s="5" t="str">
        <f t="shared" ref="J1901:K1901" si="1901">SUBSTITUTE(H1901, ",", "")</f>
        <v>4</v>
      </c>
      <c r="K1901" s="5" t="str">
        <f t="shared" si="1901"/>
        <v>Rp210400</v>
      </c>
      <c r="L1901" s="5" t="str">
        <f t="shared" si="3"/>
        <v>210400</v>
      </c>
    </row>
    <row r="1902">
      <c r="A1902" s="6" t="s">
        <v>3068</v>
      </c>
      <c r="B1902" s="7" t="str">
        <f>HYPERLINK("https://shopee.co.id/AIZEN-Carnosine-Astaxanthin-4-Ultra-Ampoule-i.68111.8237242213", "https://shopee.co.id/AIZEN-Carnosine-Astaxanthin-4-Ultra-Ampoule-i.68111.8237242213")</f>
        <v>https://shopee.co.id/AIZEN-Carnosine-Astaxanthin-4-Ultra-Ampoule-i.68111.8237242213</v>
      </c>
      <c r="C1902" s="6" t="s">
        <v>1325</v>
      </c>
      <c r="D1902" s="6" t="s">
        <v>441</v>
      </c>
      <c r="E1902" s="6" t="s">
        <v>12</v>
      </c>
      <c r="F1902" s="6" t="s">
        <v>13</v>
      </c>
      <c r="G1902" s="6" t="s">
        <v>130</v>
      </c>
      <c r="H1902" s="8" t="s">
        <v>3064</v>
      </c>
      <c r="I1902" s="9">
        <v>164570.0</v>
      </c>
      <c r="J1902" s="5" t="str">
        <f t="shared" ref="J1902:K1902" si="1902">SUBSTITUTE(H1902, ",", "")</f>
        <v>4</v>
      </c>
      <c r="K1902" s="5" t="str">
        <f t="shared" si="1902"/>
        <v>Rp164570</v>
      </c>
      <c r="L1902" s="5" t="str">
        <f t="shared" si="3"/>
        <v>164570</v>
      </c>
    </row>
    <row r="1903">
      <c r="A1903" s="6" t="s">
        <v>3069</v>
      </c>
      <c r="B1903" s="7" t="str">
        <f>HYPERLINK("https://shopee.co.id/Jarkeen-Glow-Serum-Peach-i.147936010.2235726498", "https://shopee.co.id/Jarkeen-Glow-Serum-Peach-i.147936010.2235726498")</f>
        <v>https://shopee.co.id/Jarkeen-Glow-Serum-Peach-i.147936010.2235726498</v>
      </c>
      <c r="C1903" s="6" t="s">
        <v>738</v>
      </c>
      <c r="D1903" s="6" t="s">
        <v>739</v>
      </c>
      <c r="E1903" s="6" t="s">
        <v>12</v>
      </c>
      <c r="F1903" s="6" t="s">
        <v>13</v>
      </c>
      <c r="G1903" s="6" t="s">
        <v>241</v>
      </c>
      <c r="H1903" s="8" t="s">
        <v>3064</v>
      </c>
      <c r="I1903" s="9">
        <v>248000.0</v>
      </c>
      <c r="J1903" s="5" t="str">
        <f t="shared" ref="J1903:K1903" si="1903">SUBSTITUTE(H1903, ",", "")</f>
        <v>4</v>
      </c>
      <c r="K1903" s="5" t="str">
        <f t="shared" si="1903"/>
        <v>Rp248000</v>
      </c>
      <c r="L1903" s="5" t="str">
        <f t="shared" si="3"/>
        <v>248000</v>
      </c>
    </row>
    <row r="1904">
      <c r="A1904" s="6" t="s">
        <v>3070</v>
      </c>
      <c r="B1904" s="7" t="str">
        <f>HYPERLINK("https://shopee.co.id/Zalfa-Natural-Lightening-Concentrate-Intensive-Serum-i.182704428.6301931501", "https://shopee.co.id/Zalfa-Natural-Lightening-Concentrate-Intensive-Serum-i.182704428.6301931501")</f>
        <v>https://shopee.co.id/Zalfa-Natural-Lightening-Concentrate-Intensive-Serum-i.182704428.6301931501</v>
      </c>
      <c r="C1904" s="6" t="s">
        <v>3071</v>
      </c>
      <c r="D1904" s="6" t="s">
        <v>3072</v>
      </c>
      <c r="E1904" s="6" t="s">
        <v>12</v>
      </c>
      <c r="F1904" s="6" t="s">
        <v>13</v>
      </c>
      <c r="G1904" s="6" t="s">
        <v>1085</v>
      </c>
      <c r="H1904" s="8" t="s">
        <v>3064</v>
      </c>
      <c r="I1904" s="9">
        <v>536400.0</v>
      </c>
      <c r="J1904" s="5" t="str">
        <f t="shared" ref="J1904:K1904" si="1904">SUBSTITUTE(H1904, ",", "")</f>
        <v>4</v>
      </c>
      <c r="K1904" s="5" t="str">
        <f t="shared" si="1904"/>
        <v>Rp536400</v>
      </c>
      <c r="L1904" s="5" t="str">
        <f t="shared" si="3"/>
        <v>536400</v>
      </c>
    </row>
    <row r="1905">
      <c r="A1905" s="6" t="s">
        <v>658</v>
      </c>
      <c r="B1905" s="7" t="str">
        <f>HYPERLINK("https://shopee.co.id/Azarine-Easy-White-Herbal-Moisturizer-Serum-20ml-i.30736001.9952466842", "https://shopee.co.id/Azarine-Easy-White-Herbal-Moisturizer-Serum-20ml-i.30736001.9952466842")</f>
        <v>https://shopee.co.id/Azarine-Easy-White-Herbal-Moisturizer-Serum-20ml-i.30736001.9952466842</v>
      </c>
      <c r="C1905" s="6" t="s">
        <v>233</v>
      </c>
      <c r="D1905" s="6" t="s">
        <v>335</v>
      </c>
      <c r="E1905" s="6" t="s">
        <v>12</v>
      </c>
      <c r="F1905" s="6" t="s">
        <v>13</v>
      </c>
      <c r="G1905" s="6" t="s">
        <v>36</v>
      </c>
      <c r="H1905" s="8" t="s">
        <v>3064</v>
      </c>
      <c r="I1905" s="9">
        <v>4800000.0</v>
      </c>
      <c r="J1905" s="5" t="str">
        <f t="shared" ref="J1905:K1905" si="1905">SUBSTITUTE(H1905, ",", "")</f>
        <v>4</v>
      </c>
      <c r="K1905" s="5" t="str">
        <f t="shared" si="1905"/>
        <v>Rp4800000</v>
      </c>
      <c r="L1905" s="5" t="str">
        <f t="shared" si="3"/>
        <v>4800000</v>
      </c>
    </row>
    <row r="1906">
      <c r="A1906" s="6" t="s">
        <v>3073</v>
      </c>
      <c r="B1906" s="7" t="str">
        <f>HYPERLINK("https://shopee.co.id/Avoskin-Miraculous-Refining-Serum-30ml-i.50948181.7854650063", "https://shopee.co.id/Avoskin-Miraculous-Refining-Serum-30ml-i.50948181.7854650063")</f>
        <v>https://shopee.co.id/Avoskin-Miraculous-Refining-Serum-30ml-i.50948181.7854650063</v>
      </c>
      <c r="C1906" s="6" t="s">
        <v>83</v>
      </c>
      <c r="D1906" s="6" t="s">
        <v>1129</v>
      </c>
      <c r="E1906" s="6" t="s">
        <v>12</v>
      </c>
      <c r="F1906" s="6" t="s">
        <v>13</v>
      </c>
      <c r="G1906" s="6" t="s">
        <v>1130</v>
      </c>
      <c r="H1906" s="8" t="s">
        <v>3064</v>
      </c>
      <c r="I1906" s="9">
        <v>2047500.0</v>
      </c>
      <c r="J1906" s="5" t="str">
        <f t="shared" ref="J1906:K1906" si="1906">SUBSTITUTE(H1906, ",", "")</f>
        <v>4</v>
      </c>
      <c r="K1906" s="5" t="str">
        <f t="shared" si="1906"/>
        <v>Rp2047500</v>
      </c>
      <c r="L1906" s="5" t="str">
        <f t="shared" si="3"/>
        <v>2047500</v>
      </c>
    </row>
    <row r="1907">
      <c r="A1907" s="6" t="s">
        <v>3074</v>
      </c>
      <c r="B1907" s="7" t="str">
        <f>HYPERLINK("https://shopee.co.id/Azarine-AHA-BHA-Miraclear-Herbal-Peeling-Serum-20ml-i.50948181.3682563862", "https://shopee.co.id/Azarine-AHA-BHA-Miraclear-Herbal-Peeling-Serum-20ml-i.50948181.3682563862")</f>
        <v>https://shopee.co.id/Azarine-AHA-BHA-Miraclear-Herbal-Peeling-Serum-20ml-i.50948181.3682563862</v>
      </c>
      <c r="C1907" s="6" t="s">
        <v>233</v>
      </c>
      <c r="D1907" s="6" t="s">
        <v>1129</v>
      </c>
      <c r="E1907" s="6" t="s">
        <v>12</v>
      </c>
      <c r="F1907" s="6" t="s">
        <v>13</v>
      </c>
      <c r="G1907" s="6" t="s">
        <v>1130</v>
      </c>
      <c r="H1907" s="8" t="s">
        <v>3064</v>
      </c>
      <c r="I1907" s="9">
        <v>556000.0</v>
      </c>
      <c r="J1907" s="5" t="str">
        <f t="shared" ref="J1907:K1907" si="1907">SUBSTITUTE(H1907, ",", "")</f>
        <v>4</v>
      </c>
      <c r="K1907" s="5" t="str">
        <f t="shared" si="1907"/>
        <v>Rp556000</v>
      </c>
      <c r="L1907" s="5" t="str">
        <f t="shared" si="3"/>
        <v>556000</v>
      </c>
    </row>
    <row r="1908">
      <c r="A1908" s="6" t="s">
        <v>3075</v>
      </c>
      <c r="B1908" s="7" t="str">
        <f>HYPERLINK("https://shopee.co.id/NOX-X-Natasha-by-dr-Fredi-Setyawan-Coffee-Serum-i.40121814.919941284", "https://shopee.co.id/NOX-X-Natasha-by-dr-Fredi-Setyawan-Coffee-Serum-i.40121814.919941284")</f>
        <v>https://shopee.co.id/NOX-X-Natasha-by-dr-Fredi-Setyawan-Coffee-Serum-i.40121814.919941284</v>
      </c>
      <c r="C1908" s="6" t="s">
        <v>1752</v>
      </c>
      <c r="D1908" s="6" t="s">
        <v>794</v>
      </c>
      <c r="E1908" s="6" t="s">
        <v>12</v>
      </c>
      <c r="F1908" s="6" t="s">
        <v>13</v>
      </c>
      <c r="G1908" s="6" t="s">
        <v>380</v>
      </c>
      <c r="H1908" s="8" t="s">
        <v>3064</v>
      </c>
      <c r="I1908" s="9">
        <v>7350000.0</v>
      </c>
      <c r="J1908" s="5" t="str">
        <f t="shared" ref="J1908:K1908" si="1908">SUBSTITUTE(H1908, ",", "")</f>
        <v>4</v>
      </c>
      <c r="K1908" s="5" t="str">
        <f t="shared" si="1908"/>
        <v>Rp7350000</v>
      </c>
      <c r="L1908" s="5" t="str">
        <f t="shared" si="3"/>
        <v>7350000</v>
      </c>
    </row>
    <row r="1909">
      <c r="A1909" s="6" t="s">
        <v>3076</v>
      </c>
      <c r="B1909" s="7" t="str">
        <f>HYPERLINK("https://shopee.co.id/Wardah-Renew-You-Anti-Aging-Intensive-Serum-17-Ml-Guardian--i.186214521.4703973366", "https://shopee.co.id/Wardah-Renew-You-Anti-Aging-Intensive-Serum-17-Ml-Guardian--i.186214521.4703973366")</f>
        <v>https://shopee.co.id/Wardah-Renew-You-Anti-Aging-Intensive-Serum-17-Ml-Guardian--i.186214521.4703973366</v>
      </c>
      <c r="C1909" s="6" t="s">
        <v>169</v>
      </c>
      <c r="D1909" s="6" t="s">
        <v>2293</v>
      </c>
      <c r="E1909" s="6" t="s">
        <v>12</v>
      </c>
      <c r="F1909" s="6" t="s">
        <v>13</v>
      </c>
      <c r="G1909" s="6" t="s">
        <v>61</v>
      </c>
      <c r="H1909" s="8" t="s">
        <v>3064</v>
      </c>
      <c r="I1909" s="9">
        <v>516000.0</v>
      </c>
      <c r="J1909" s="5" t="str">
        <f t="shared" ref="J1909:K1909" si="1909">SUBSTITUTE(H1909, ",", "")</f>
        <v>4</v>
      </c>
      <c r="K1909" s="5" t="str">
        <f t="shared" si="1909"/>
        <v>Rp516000</v>
      </c>
      <c r="L1909" s="5" t="str">
        <f t="shared" si="3"/>
        <v>516000</v>
      </c>
    </row>
    <row r="1910">
      <c r="A1910" s="6" t="s">
        <v>3077</v>
      </c>
      <c r="B1910" s="7" t="str">
        <f>HYPERLINK("https://shopee.co.id/TISHA-AC7-Spot-Serum-Phytosilica-15ml-i.283615589.3154936793", "https://shopee.co.id/TISHA-AC7-Spot-Serum-Phytosilica-15ml-i.283615589.3154936793")</f>
        <v>https://shopee.co.id/TISHA-AC7-Spot-Serum-Phytosilica-15ml-i.283615589.3154936793</v>
      </c>
      <c r="C1910" s="6" t="s">
        <v>3025</v>
      </c>
      <c r="D1910" s="6" t="s">
        <v>3026</v>
      </c>
      <c r="E1910" s="6" t="s">
        <v>12</v>
      </c>
      <c r="F1910" s="6" t="s">
        <v>13</v>
      </c>
      <c r="G1910" s="6" t="s">
        <v>3027</v>
      </c>
      <c r="H1910" s="8" t="s">
        <v>3064</v>
      </c>
      <c r="I1910" s="9">
        <v>356400.0</v>
      </c>
      <c r="J1910" s="5" t="str">
        <f t="shared" ref="J1910:K1910" si="1910">SUBSTITUTE(H1910, ",", "")</f>
        <v>4</v>
      </c>
      <c r="K1910" s="5" t="str">
        <f t="shared" si="1910"/>
        <v>Rp356400</v>
      </c>
      <c r="L1910" s="5" t="str">
        <f t="shared" si="3"/>
        <v>356400</v>
      </c>
    </row>
    <row r="1911">
      <c r="A1911" s="6" t="s">
        <v>3078</v>
      </c>
      <c r="B1911" s="7" t="str">
        <f>HYPERLINK("https://shopee.co.id/SOME-BY-MI-Yuja-Niacin-Blemish-Care-Serum-Mask-i.125116082.8664344068", "https://shopee.co.id/SOME-BY-MI-Yuja-Niacin-Blemish-Care-Serum-Mask-i.125116082.8664344068")</f>
        <v>https://shopee.co.id/SOME-BY-MI-Yuja-Niacin-Blemish-Care-Serum-Mask-i.125116082.8664344068</v>
      </c>
      <c r="C1911" s="6" t="s">
        <v>213</v>
      </c>
      <c r="D1911" s="6" t="s">
        <v>713</v>
      </c>
      <c r="E1911" s="6" t="s">
        <v>12</v>
      </c>
      <c r="F1911" s="6" t="s">
        <v>13</v>
      </c>
      <c r="G1911" s="6" t="s">
        <v>61</v>
      </c>
      <c r="H1911" s="8" t="s">
        <v>3064</v>
      </c>
      <c r="I1911" s="9">
        <v>740000.0</v>
      </c>
      <c r="J1911" s="5" t="str">
        <f t="shared" ref="J1911:K1911" si="1911">SUBSTITUTE(H1911, ",", "")</f>
        <v>4</v>
      </c>
      <c r="K1911" s="5" t="str">
        <f t="shared" si="1911"/>
        <v>Rp740000</v>
      </c>
      <c r="L1911" s="5" t="str">
        <f t="shared" si="3"/>
        <v>740000</v>
      </c>
    </row>
    <row r="1912">
      <c r="A1912" s="6" t="s">
        <v>3079</v>
      </c>
      <c r="B1912" s="7" t="str">
        <f>HYPERLINK("https://shopee.co.id/SCARLETT-WHITENING-Glowtening-Serum-15ml-i.68111.10918218207", "https://shopee.co.id/SCARLETT-WHITENING-Glowtening-Serum-15ml-i.68111.10918218207")</f>
        <v>https://shopee.co.id/SCARLETT-WHITENING-Glowtening-Serum-15ml-i.68111.10918218207</v>
      </c>
      <c r="C1912" s="6" t="s">
        <v>19</v>
      </c>
      <c r="D1912" s="6" t="s">
        <v>441</v>
      </c>
      <c r="E1912" s="6" t="s">
        <v>12</v>
      </c>
      <c r="F1912" s="6" t="s">
        <v>13</v>
      </c>
      <c r="G1912" s="6" t="s">
        <v>130</v>
      </c>
      <c r="H1912" s="8" t="s">
        <v>3064</v>
      </c>
      <c r="I1912" s="9">
        <v>596000.0</v>
      </c>
      <c r="J1912" s="5" t="str">
        <f t="shared" ref="J1912:K1912" si="1912">SUBSTITUTE(H1912, ",", "")</f>
        <v>4</v>
      </c>
      <c r="K1912" s="5" t="str">
        <f t="shared" si="1912"/>
        <v>Rp596000</v>
      </c>
      <c r="L1912" s="5" t="str">
        <f t="shared" si="3"/>
        <v>596000</v>
      </c>
    </row>
    <row r="1913">
      <c r="A1913" s="6" t="s">
        <v>3080</v>
      </c>
      <c r="B1913" s="7" t="str">
        <f>HYPERLINK("https://shopee.co.id/-2-Pcs-Hanasui-Anti-Acne-Serum-20ml-i.121791179.5852974940", "https://shopee.co.id/-2-Pcs-Hanasui-Anti-Acne-Serum-20ml-i.121791179.5852974940")</f>
        <v>https://shopee.co.id/-2-Pcs-Hanasui-Anti-Acne-Serum-20ml-i.121791179.5852974940</v>
      </c>
      <c r="C1913" s="6" t="s">
        <v>784</v>
      </c>
      <c r="D1913" s="6" t="s">
        <v>1733</v>
      </c>
      <c r="E1913" s="6" t="s">
        <v>12</v>
      </c>
      <c r="F1913" s="6" t="s">
        <v>13</v>
      </c>
      <c r="G1913" s="6" t="s">
        <v>36</v>
      </c>
      <c r="H1913" s="8" t="s">
        <v>3064</v>
      </c>
      <c r="I1913" s="9">
        <v>556000.0</v>
      </c>
      <c r="J1913" s="5" t="str">
        <f t="shared" ref="J1913:K1913" si="1913">SUBSTITUTE(H1913, ",", "")</f>
        <v>4</v>
      </c>
      <c r="K1913" s="5" t="str">
        <f t="shared" si="1913"/>
        <v>Rp556000</v>
      </c>
      <c r="L1913" s="5" t="str">
        <f t="shared" si="3"/>
        <v>556000</v>
      </c>
    </row>
    <row r="1914">
      <c r="A1914" s="6" t="s">
        <v>3081</v>
      </c>
      <c r="B1914" s="7" t="str">
        <f>HYPERLINK("https://shopee.co.id/ELSHE-SKIN-Radiant-Supple-Serum-20ml-i.68111.9162186817", "https://shopee.co.id/ELSHE-SKIN-Radiant-Supple-Serum-20ml-i.68111.9162186817")</f>
        <v>https://shopee.co.id/ELSHE-SKIN-Radiant-Supple-Serum-20ml-i.68111.9162186817</v>
      </c>
      <c r="C1914" s="6" t="s">
        <v>135</v>
      </c>
      <c r="D1914" s="6" t="s">
        <v>441</v>
      </c>
      <c r="E1914" s="6" t="s">
        <v>12</v>
      </c>
      <c r="F1914" s="6" t="s">
        <v>13</v>
      </c>
      <c r="G1914" s="6" t="s">
        <v>130</v>
      </c>
      <c r="H1914" s="8" t="s">
        <v>3064</v>
      </c>
      <c r="I1914" s="9">
        <v>556000.0</v>
      </c>
      <c r="J1914" s="5" t="str">
        <f t="shared" ref="J1914:K1914" si="1914">SUBSTITUTE(H1914, ",", "")</f>
        <v>4</v>
      </c>
      <c r="K1914" s="5" t="str">
        <f t="shared" si="1914"/>
        <v>Rp556000</v>
      </c>
      <c r="L1914" s="5" t="str">
        <f t="shared" si="3"/>
        <v>556000</v>
      </c>
    </row>
    <row r="1915">
      <c r="A1915" s="6" t="s">
        <v>3082</v>
      </c>
      <c r="B1915" s="7" t="str">
        <f>HYPERLINK("https://shopee.co.id/POB-Serum-Vitamin-C-Serum-Lifting-Dan-Serum-Blemish-Wajah-Lebih-Glowing-Terawat-i.495355925.10437470028", "https://shopee.co.id/POB-Serum-Vitamin-C-Serum-Lifting-Dan-Serum-Blemish-Wajah-Lebih-Glowing-Terawat-i.495355925.10437470028")</f>
        <v>https://shopee.co.id/POB-Serum-Vitamin-C-Serum-Lifting-Dan-Serum-Blemish-Wajah-Lebih-Glowing-Terawat-i.495355925.10437470028</v>
      </c>
      <c r="C1915" s="6" t="s">
        <v>2719</v>
      </c>
      <c r="D1915" s="6" t="s">
        <v>2720</v>
      </c>
      <c r="E1915" s="6" t="s">
        <v>12</v>
      </c>
      <c r="F1915" s="6" t="s">
        <v>13</v>
      </c>
      <c r="G1915" s="6" t="s">
        <v>532</v>
      </c>
      <c r="H1915" s="8" t="s">
        <v>3064</v>
      </c>
      <c r="I1915" s="9">
        <v>358000.0</v>
      </c>
      <c r="J1915" s="5" t="str">
        <f t="shared" ref="J1915:K1915" si="1915">SUBSTITUTE(H1915, ",", "")</f>
        <v>4</v>
      </c>
      <c r="K1915" s="5" t="str">
        <f t="shared" si="1915"/>
        <v>Rp358000</v>
      </c>
      <c r="L1915" s="5" t="str">
        <f t="shared" si="3"/>
        <v>358000</v>
      </c>
    </row>
    <row r="1916">
      <c r="A1916" s="6" t="s">
        <v>3083</v>
      </c>
      <c r="B1916" s="7" t="str">
        <f>HYPERLINK("https://shopee.co.id/The-Ordinary-Hyaluronic-Acid-2-B5-30ml-i.270965687.8572727338", "https://shopee.co.id/The-Ordinary-Hyaluronic-Acid-2-B5-30ml-i.270965687.8572727338")</f>
        <v>https://shopee.co.id/The-Ordinary-Hyaluronic-Acid-2-B5-30ml-i.270965687.8572727338</v>
      </c>
      <c r="C1916" s="6" t="s">
        <v>1245</v>
      </c>
      <c r="D1916" s="6" t="s">
        <v>379</v>
      </c>
      <c r="E1916" s="6" t="s">
        <v>12</v>
      </c>
      <c r="F1916" s="6" t="s">
        <v>13</v>
      </c>
      <c r="G1916" s="6" t="s">
        <v>380</v>
      </c>
      <c r="H1916" s="8" t="s">
        <v>3064</v>
      </c>
      <c r="I1916" s="9">
        <v>210000.0</v>
      </c>
      <c r="J1916" s="5" t="str">
        <f t="shared" ref="J1916:K1916" si="1916">SUBSTITUTE(H1916, ",", "")</f>
        <v>4</v>
      </c>
      <c r="K1916" s="5" t="str">
        <f t="shared" si="1916"/>
        <v>Rp210000</v>
      </c>
      <c r="L1916" s="5" t="str">
        <f t="shared" si="3"/>
        <v>210000</v>
      </c>
    </row>
    <row r="1917">
      <c r="A1917" s="6" t="s">
        <v>3084</v>
      </c>
      <c r="B1917" s="7" t="str">
        <f>HYPERLINK("https://shopee.co.id/Smooto-Premium-Sunscreen-Extra-Whitening-Essence-i.65619901.1086920300", "https://shopee.co.id/Smooto-Premium-Sunscreen-Extra-Whitening-Essence-i.65619901.1086920300")</f>
        <v>https://shopee.co.id/Smooto-Premium-Sunscreen-Extra-Whitening-Essence-i.65619901.1086920300</v>
      </c>
      <c r="C1917" s="6" t="s">
        <v>2779</v>
      </c>
      <c r="D1917" s="6" t="s">
        <v>2780</v>
      </c>
      <c r="E1917" s="6" t="s">
        <v>12</v>
      </c>
      <c r="F1917" s="6" t="s">
        <v>13</v>
      </c>
      <c r="G1917" s="6" t="s">
        <v>85</v>
      </c>
      <c r="H1917" s="8" t="s">
        <v>3064</v>
      </c>
      <c r="I1917" s="9">
        <v>118000.0</v>
      </c>
      <c r="J1917" s="5" t="str">
        <f t="shared" ref="J1917:K1917" si="1917">SUBSTITUTE(H1917, ",", "")</f>
        <v>4</v>
      </c>
      <c r="K1917" s="5" t="str">
        <f t="shared" si="1917"/>
        <v>Rp118000</v>
      </c>
      <c r="L1917" s="5" t="str">
        <f t="shared" si="3"/>
        <v>118000</v>
      </c>
    </row>
    <row r="1918">
      <c r="A1918" s="6" t="s">
        <v>3085</v>
      </c>
      <c r="B1918" s="7" t="str">
        <f>HYPERLINK("https://shopee.co.id/MSBB-True-To-Skin-Hyaluronic-Acid-Hydrating-Serum-i.288588702.7082510448", "https://shopee.co.id/MSBB-True-To-Skin-Hyaluronic-Acid-Hydrating-Serum-i.288588702.7082510448")</f>
        <v>https://shopee.co.id/MSBB-True-To-Skin-Hyaluronic-Acid-Hydrating-Serum-i.288588702.7082510448</v>
      </c>
      <c r="C1918" s="6" t="s">
        <v>666</v>
      </c>
      <c r="D1918" s="6" t="s">
        <v>79</v>
      </c>
      <c r="E1918" s="6" t="s">
        <v>12</v>
      </c>
      <c r="F1918" s="6" t="s">
        <v>13</v>
      </c>
      <c r="G1918" s="6" t="s">
        <v>80</v>
      </c>
      <c r="H1918" s="8" t="s">
        <v>3064</v>
      </c>
      <c r="I1918" s="9">
        <v>166500.0</v>
      </c>
      <c r="J1918" s="5" t="str">
        <f t="shared" ref="J1918:K1918" si="1918">SUBSTITUTE(H1918, ",", "")</f>
        <v>4</v>
      </c>
      <c r="K1918" s="5" t="str">
        <f t="shared" si="1918"/>
        <v>Rp166500</v>
      </c>
      <c r="L1918" s="5" t="str">
        <f t="shared" si="3"/>
        <v>166500</v>
      </c>
    </row>
    <row r="1919">
      <c r="A1919" s="6" t="s">
        <v>3086</v>
      </c>
      <c r="B1919" s="7" t="str">
        <f>HYPERLINK("https://shopee.co.id/Dear-Me-Beauty-1-Bakuchiol-Blueberry-Extract-Face-Serum-i.270965687.11206242236", "https://shopee.co.id/Dear-Me-Beauty-1-Bakuchiol-Blueberry-Extract-Face-Serum-i.270965687.11206242236")</f>
        <v>https://shopee.co.id/Dear-Me-Beauty-1-Bakuchiol-Blueberry-Extract-Face-Serum-i.270965687.11206242236</v>
      </c>
      <c r="C1919" s="6" t="s">
        <v>70</v>
      </c>
      <c r="D1919" s="6" t="s">
        <v>379</v>
      </c>
      <c r="E1919" s="6" t="s">
        <v>12</v>
      </c>
      <c r="F1919" s="6" t="s">
        <v>13</v>
      </c>
      <c r="G1919" s="6" t="s">
        <v>380</v>
      </c>
      <c r="H1919" s="8" t="s">
        <v>3064</v>
      </c>
      <c r="I1919" s="9">
        <v>296250.0</v>
      </c>
      <c r="J1919" s="5" t="str">
        <f t="shared" ref="J1919:K1919" si="1919">SUBSTITUTE(H1919, ",", "")</f>
        <v>4</v>
      </c>
      <c r="K1919" s="5" t="str">
        <f t="shared" si="1919"/>
        <v>Rp296250</v>
      </c>
      <c r="L1919" s="5" t="str">
        <f t="shared" si="3"/>
        <v>296250</v>
      </c>
    </row>
    <row r="1920">
      <c r="A1920" s="6" t="s">
        <v>3087</v>
      </c>
      <c r="B1920" s="7" t="str">
        <f>HYPERLINK("https://shopee.co.id/COMMONLABS-Vitamin-B5-Moisture-Ampoule-18ml--i.240712269.8252449218", "https://shopee.co.id/COMMONLABS-Vitamin-B5-Moisture-Ampoule-18ml--i.240712269.8252449218")</f>
        <v>https://shopee.co.id/COMMONLABS-Vitamin-B5-Moisture-Ampoule-18ml--i.240712269.8252449218</v>
      </c>
      <c r="C1920" s="6" t="s">
        <v>3088</v>
      </c>
      <c r="D1920" s="6" t="s">
        <v>762</v>
      </c>
      <c r="E1920" s="6" t="s">
        <v>12</v>
      </c>
      <c r="F1920" s="6" t="s">
        <v>13</v>
      </c>
      <c r="G1920" s="6" t="s">
        <v>98</v>
      </c>
      <c r="H1920" s="8" t="s">
        <v>3064</v>
      </c>
      <c r="I1920" s="9">
        <v>2100000.0</v>
      </c>
      <c r="J1920" s="5" t="str">
        <f t="shared" ref="J1920:K1920" si="1920">SUBSTITUTE(H1920, ",", "")</f>
        <v>4</v>
      </c>
      <c r="K1920" s="5" t="str">
        <f t="shared" si="1920"/>
        <v>Rp2100000</v>
      </c>
      <c r="L1920" s="5" t="str">
        <f t="shared" si="3"/>
        <v>2100000</v>
      </c>
    </row>
    <row r="1921">
      <c r="A1921" s="6" t="s">
        <v>3089</v>
      </c>
      <c r="B1921" s="7" t="str">
        <f>HYPERLINK("https://shopee.co.id/Lacoco-Hydrating-Divine-Essence-50ml-i.825870.2142603267", "https://shopee.co.id/Lacoco-Hydrating-Divine-Essence-50ml-i.825870.2142603267")</f>
        <v>https://shopee.co.id/Lacoco-Hydrating-Divine-Essence-50ml-i.825870.2142603267</v>
      </c>
      <c r="C1921" s="6" t="s">
        <v>501</v>
      </c>
      <c r="D1921" s="6" t="s">
        <v>1184</v>
      </c>
      <c r="E1921" s="6" t="s">
        <v>12</v>
      </c>
      <c r="F1921" s="6" t="s">
        <v>13</v>
      </c>
      <c r="G1921" s="6" t="s">
        <v>21</v>
      </c>
      <c r="H1921" s="8" t="s">
        <v>3064</v>
      </c>
      <c r="I1921" s="9">
        <v>2100000.0</v>
      </c>
      <c r="J1921" s="5" t="str">
        <f t="shared" ref="J1921:K1921" si="1921">SUBSTITUTE(H1921, ",", "")</f>
        <v>4</v>
      </c>
      <c r="K1921" s="5" t="str">
        <f t="shared" si="1921"/>
        <v>Rp2100000</v>
      </c>
      <c r="L1921" s="5" t="str">
        <f t="shared" si="3"/>
        <v>2100000</v>
      </c>
    </row>
    <row r="1922">
      <c r="A1922" s="6" t="s">
        <v>3090</v>
      </c>
      <c r="B1922" s="7" t="str">
        <f>HYPERLINK("https://shopee.co.id/Nu-Aroma-Argan-Oil-Natural-Serum-Wajah-Serum-Kulit-Serum-Rambut--i.262175945.6855682291", "https://shopee.co.id/Nu-Aroma-Argan-Oil-Natural-Serum-Wajah-Serum-Kulit-Serum-Rambut--i.262175945.6855682291")</f>
        <v>https://shopee.co.id/Nu-Aroma-Argan-Oil-Natural-Serum-Wajah-Serum-Kulit-Serum-Rambut--i.262175945.6855682291</v>
      </c>
      <c r="C1922" s="6" t="s">
        <v>2863</v>
      </c>
      <c r="D1922" s="6" t="s">
        <v>2864</v>
      </c>
      <c r="E1922" s="6" t="s">
        <v>12</v>
      </c>
      <c r="F1922" s="6" t="s">
        <v>13</v>
      </c>
      <c r="G1922" s="6" t="s">
        <v>945</v>
      </c>
      <c r="H1922" s="8" t="s">
        <v>3064</v>
      </c>
      <c r="I1922" s="9">
        <v>149387.0</v>
      </c>
      <c r="J1922" s="5" t="str">
        <f t="shared" ref="J1922:K1922" si="1922">SUBSTITUTE(H1922, ",", "")</f>
        <v>4</v>
      </c>
      <c r="K1922" s="5" t="str">
        <f t="shared" si="1922"/>
        <v>Rp149387</v>
      </c>
      <c r="L1922" s="5" t="str">
        <f t="shared" si="3"/>
        <v>149387</v>
      </c>
    </row>
    <row r="1923">
      <c r="A1923" s="6" t="s">
        <v>3091</v>
      </c>
      <c r="B1923" s="7" t="str">
        <f>HYPERLINK("https://shopee.co.id/-LIMITED-BUNDLE-Aesthetic-Bluepin-AHA-BHA-Peeling-Solution-Skind-Rose-Drip-Clear-Serum-i.54874680.5796365461", "https://shopee.co.id/-LIMITED-BUNDLE-Aesthetic-Bluepin-AHA-BHA-Peeling-Solution-Skind-Rose-Drip-Clear-Serum-i.54874680.5796365461")</f>
        <v>https://shopee.co.id/-LIMITED-BUNDLE-Aesthetic-Bluepin-AHA-BHA-Peeling-Solution-Skind-Rose-Drip-Clear-Serum-i.54874680.5796365461</v>
      </c>
      <c r="C1923" s="6" t="s">
        <v>2921</v>
      </c>
      <c r="D1923" s="6" t="s">
        <v>1425</v>
      </c>
      <c r="E1923" s="6" t="s">
        <v>12</v>
      </c>
      <c r="F1923" s="6" t="s">
        <v>13</v>
      </c>
      <c r="G1923" s="6" t="s">
        <v>80</v>
      </c>
      <c r="H1923" s="8" t="s">
        <v>3064</v>
      </c>
      <c r="I1923" s="9">
        <v>1193550.0</v>
      </c>
      <c r="J1923" s="5" t="str">
        <f t="shared" ref="J1923:K1923" si="1923">SUBSTITUTE(H1923, ",", "")</f>
        <v>4</v>
      </c>
      <c r="K1923" s="5" t="str">
        <f t="shared" si="1923"/>
        <v>Rp1193550</v>
      </c>
      <c r="L1923" s="5" t="str">
        <f t="shared" si="3"/>
        <v>1193550</v>
      </c>
    </row>
    <row r="1924">
      <c r="A1924" s="6" t="s">
        <v>3092</v>
      </c>
      <c r="B1924" s="7" t="str">
        <f>HYPERLINK("https://shopee.co.id/Mediheal-Masking-Layering-Ampoule-Exceltoning-Shot-size-4-ml-3-Edit-by-Sociolla-i.224957239.6330893706", "https://shopee.co.id/Mediheal-Masking-Layering-Ampoule-Exceltoning-Shot-size-4-ml-3-Edit-by-Sociolla-i.224957239.6330893706")</f>
        <v>https://shopee.co.id/Mediheal-Masking-Layering-Ampoule-Exceltoning-Shot-size-4-ml-3-Edit-by-Sociolla-i.224957239.6330893706</v>
      </c>
      <c r="C1924" s="6" t="s">
        <v>2972</v>
      </c>
      <c r="D1924" s="6" t="s">
        <v>492</v>
      </c>
      <c r="E1924" s="6" t="s">
        <v>12</v>
      </c>
      <c r="F1924" s="6" t="s">
        <v>13</v>
      </c>
      <c r="G1924" s="6" t="s">
        <v>21</v>
      </c>
      <c r="H1924" s="8" t="s">
        <v>3064</v>
      </c>
      <c r="I1924" s="9">
        <v>1915300.0</v>
      </c>
      <c r="J1924" s="5" t="str">
        <f t="shared" ref="J1924:K1924" si="1924">SUBSTITUTE(H1924, ",", "")</f>
        <v>4</v>
      </c>
      <c r="K1924" s="5" t="str">
        <f t="shared" si="1924"/>
        <v>Rp1915300</v>
      </c>
      <c r="L1924" s="5" t="str">
        <f t="shared" si="3"/>
        <v>1915300</v>
      </c>
    </row>
    <row r="1925">
      <c r="A1925" s="6" t="s">
        <v>3093</v>
      </c>
      <c r="B1925" s="7" t="str">
        <f>HYPERLINK("https://shopee.co.id/Natasha-by-dr-Fredi-Setyawan-Bakuchiol-Glow-Serum-i.40121814.8581010887", "https://shopee.co.id/Natasha-by-dr-Fredi-Setyawan-Bakuchiol-Glow-Serum-i.40121814.8581010887")</f>
        <v>https://shopee.co.id/Natasha-by-dr-Fredi-Setyawan-Bakuchiol-Glow-Serum-i.40121814.8581010887</v>
      </c>
      <c r="C1925" s="6" t="s">
        <v>793</v>
      </c>
      <c r="D1925" s="6" t="s">
        <v>794</v>
      </c>
      <c r="E1925" s="6" t="s">
        <v>12</v>
      </c>
      <c r="F1925" s="6" t="s">
        <v>13</v>
      </c>
      <c r="G1925" s="6" t="s">
        <v>380</v>
      </c>
      <c r="H1925" s="8" t="s">
        <v>3064</v>
      </c>
      <c r="I1925" s="9">
        <v>259600.0</v>
      </c>
      <c r="J1925" s="5" t="str">
        <f t="shared" ref="J1925:K1925" si="1925">SUBSTITUTE(H1925, ",", "")</f>
        <v>4</v>
      </c>
      <c r="K1925" s="5" t="str">
        <f t="shared" si="1925"/>
        <v>Rp259600</v>
      </c>
      <c r="L1925" s="5" t="str">
        <f t="shared" si="3"/>
        <v>259600</v>
      </c>
    </row>
    <row r="1926">
      <c r="A1926" s="6" t="s">
        <v>3094</v>
      </c>
      <c r="B1926" s="7" t="str">
        <f>HYPERLINK("https://shopee.co.id/Holika-Holika-Bundling-Aloe-Soothing-Essence-i.18856010.2002147817", "https://shopee.co.id/Holika-Holika-Bundling-Aloe-Soothing-Essence-i.18856010.2002147817")</f>
        <v>https://shopee.co.id/Holika-Holika-Bundling-Aloe-Soothing-Essence-i.18856010.2002147817</v>
      </c>
      <c r="C1926" s="6" t="s">
        <v>2265</v>
      </c>
      <c r="D1926" s="6" t="s">
        <v>2266</v>
      </c>
      <c r="E1926" s="6" t="s">
        <v>12</v>
      </c>
      <c r="F1926" s="6" t="s">
        <v>13</v>
      </c>
      <c r="G1926" s="6" t="s">
        <v>21</v>
      </c>
      <c r="H1926" s="8" t="s">
        <v>3064</v>
      </c>
      <c r="I1926" s="9">
        <v>508400.0</v>
      </c>
      <c r="J1926" s="5" t="str">
        <f t="shared" ref="J1926:K1926" si="1926">SUBSTITUTE(H1926, ",", "")</f>
        <v>4</v>
      </c>
      <c r="K1926" s="5" t="str">
        <f t="shared" si="1926"/>
        <v>Rp508400</v>
      </c>
      <c r="L1926" s="5" t="str">
        <f t="shared" si="3"/>
        <v>508400</v>
      </c>
    </row>
    <row r="1927">
      <c r="A1927" s="6" t="s">
        <v>3095</v>
      </c>
      <c r="B1927" s="7" t="str">
        <f>HYPERLINK("https://shopee.co.id/Votre-Peau-Vitamin-C-Maharis-Clinic-30ml-i.825870.2424401777", "https://shopee.co.id/Votre-Peau-Vitamin-C-Maharis-Clinic-30ml-i.825870.2424401777")</f>
        <v>https://shopee.co.id/Votre-Peau-Vitamin-C-Maharis-Clinic-30ml-i.825870.2424401777</v>
      </c>
      <c r="C1927" s="6" t="s">
        <v>471</v>
      </c>
      <c r="D1927" s="6" t="s">
        <v>1184</v>
      </c>
      <c r="E1927" s="6" t="s">
        <v>12</v>
      </c>
      <c r="F1927" s="6" t="s">
        <v>13</v>
      </c>
      <c r="G1927" s="6" t="s">
        <v>21</v>
      </c>
      <c r="H1927" s="8" t="s">
        <v>3064</v>
      </c>
      <c r="I1927" s="9">
        <v>354200.0</v>
      </c>
      <c r="J1927" s="5" t="str">
        <f t="shared" ref="J1927:K1927" si="1927">SUBSTITUTE(H1927, ",", "")</f>
        <v>4</v>
      </c>
      <c r="K1927" s="5" t="str">
        <f t="shared" si="1927"/>
        <v>Rp354200</v>
      </c>
      <c r="L1927" s="5" t="str">
        <f t="shared" si="3"/>
        <v>354200</v>
      </c>
    </row>
    <row r="1928">
      <c r="A1928" s="6" t="s">
        <v>3096</v>
      </c>
      <c r="B1928" s="7" t="str">
        <f>HYPERLINK("https://shopee.co.id/Laneige-PR-Youth-Emulsion-100ml-OL21--i.52917348.2916611706", "https://shopee.co.id/Laneige-PR-Youth-Emulsion-100ml-OL21--i.52917348.2916611706")</f>
        <v>https://shopee.co.id/Laneige-PR-Youth-Emulsion-100ml-OL21--i.52917348.2916611706</v>
      </c>
      <c r="C1928" s="6" t="s">
        <v>364</v>
      </c>
      <c r="D1928" s="6" t="s">
        <v>365</v>
      </c>
      <c r="E1928" s="6" t="s">
        <v>12</v>
      </c>
      <c r="F1928" s="6" t="s">
        <v>13</v>
      </c>
      <c r="G1928" s="6" t="s">
        <v>61</v>
      </c>
      <c r="H1928" s="8" t="s">
        <v>3064</v>
      </c>
      <c r="I1928" s="9">
        <v>376680.0</v>
      </c>
      <c r="J1928" s="5" t="str">
        <f t="shared" ref="J1928:K1928" si="1928">SUBSTITUTE(H1928, ",", "")</f>
        <v>4</v>
      </c>
      <c r="K1928" s="5" t="str">
        <f t="shared" si="1928"/>
        <v>Rp376680</v>
      </c>
      <c r="L1928" s="5" t="str">
        <f t="shared" si="3"/>
        <v>376680</v>
      </c>
    </row>
    <row r="1929">
      <c r="A1929" s="6" t="s">
        <v>3097</v>
      </c>
      <c r="B1929" s="7" t="str">
        <f>HYPERLINK("https://shopee.co.id/FIRST-LAB-Travel-Size-FIRST-LAB-Probiotic-Serum-10ml-i.109981258.7451921353", "https://shopee.co.id/FIRST-LAB-Travel-Size-FIRST-LAB-Probiotic-Serum-10ml-i.109981258.7451921353")</f>
        <v>https://shopee.co.id/FIRST-LAB-Travel-Size-FIRST-LAB-Probiotic-Serum-10ml-i.109981258.7451921353</v>
      </c>
      <c r="C1929" s="6" t="s">
        <v>1617</v>
      </c>
      <c r="D1929" s="6" t="s">
        <v>2576</v>
      </c>
      <c r="E1929" s="6" t="s">
        <v>12</v>
      </c>
      <c r="F1929" s="6" t="s">
        <v>13</v>
      </c>
      <c r="G1929" s="6" t="s">
        <v>21</v>
      </c>
      <c r="H1929" s="8" t="s">
        <v>3064</v>
      </c>
      <c r="I1929" s="9">
        <v>855700.0</v>
      </c>
      <c r="J1929" s="5" t="str">
        <f t="shared" ref="J1929:K1929" si="1929">SUBSTITUTE(H1929, ",", "")</f>
        <v>4</v>
      </c>
      <c r="K1929" s="5" t="str">
        <f t="shared" si="1929"/>
        <v>Rp855700</v>
      </c>
      <c r="L1929" s="5" t="str">
        <f t="shared" si="3"/>
        <v>855700</v>
      </c>
    </row>
    <row r="1930">
      <c r="A1930" s="6" t="s">
        <v>3098</v>
      </c>
      <c r="B1930" s="7" t="str">
        <f>HYPERLINK("https://shopee.co.id/Nacific-Fresh-Herb-Origin-Serum-50ml-i.825870.1800299137", "https://shopee.co.id/Nacific-Fresh-Herb-Origin-Serum-50ml-i.825870.1800299137")</f>
        <v>https://shopee.co.id/Nacific-Fresh-Herb-Origin-Serum-50ml-i.825870.1800299137</v>
      </c>
      <c r="C1930" s="6" t="s">
        <v>344</v>
      </c>
      <c r="D1930" s="6" t="s">
        <v>1184</v>
      </c>
      <c r="E1930" s="6" t="s">
        <v>12</v>
      </c>
      <c r="F1930" s="6" t="s">
        <v>13</v>
      </c>
      <c r="G1930" s="6" t="s">
        <v>21</v>
      </c>
      <c r="H1930" s="8" t="s">
        <v>3064</v>
      </c>
      <c r="I1930" s="9">
        <v>1009650.0</v>
      </c>
      <c r="J1930" s="5" t="str">
        <f t="shared" ref="J1930:K1930" si="1930">SUBSTITUTE(H1930, ",", "")</f>
        <v>4</v>
      </c>
      <c r="K1930" s="5" t="str">
        <f t="shared" si="1930"/>
        <v>Rp1009650</v>
      </c>
      <c r="L1930" s="5" t="str">
        <f t="shared" si="3"/>
        <v>1009650</v>
      </c>
    </row>
    <row r="1931">
      <c r="A1931" s="6" t="s">
        <v>3099</v>
      </c>
      <c r="B1931" s="7" t="str">
        <f>HYPERLINK("https://shopee.co.id/Bio-Essence-Bio-Gold-Golden-Ratio-Double-Serum-36-gr-Twinpack-Special-i.63822287.4284994941", "https://shopee.co.id/Bio-Essence-Bio-Gold-Golden-Ratio-Double-Serum-36-gr-Twinpack-Special-i.63822287.4284994941")</f>
        <v>https://shopee.co.id/Bio-Essence-Bio-Gold-Golden-Ratio-Double-Serum-36-gr-Twinpack-Special-i.63822287.4284994941</v>
      </c>
      <c r="C1931" s="6" t="s">
        <v>834</v>
      </c>
      <c r="D1931" s="6" t="s">
        <v>835</v>
      </c>
      <c r="E1931" s="6" t="s">
        <v>12</v>
      </c>
      <c r="F1931" s="6" t="s">
        <v>13</v>
      </c>
      <c r="G1931" s="6" t="s">
        <v>61</v>
      </c>
      <c r="H1931" s="8" t="s">
        <v>3064</v>
      </c>
      <c r="I1931" s="9">
        <v>1036000.0</v>
      </c>
      <c r="J1931" s="5" t="str">
        <f t="shared" ref="J1931:K1931" si="1931">SUBSTITUTE(H1931, ",", "")</f>
        <v>4</v>
      </c>
      <c r="K1931" s="5" t="str">
        <f t="shared" si="1931"/>
        <v>Rp1036000</v>
      </c>
      <c r="L1931" s="5" t="str">
        <f t="shared" si="3"/>
        <v>1036000</v>
      </c>
    </row>
    <row r="1932">
      <c r="A1932" s="6" t="s">
        <v>3100</v>
      </c>
      <c r="B1932" s="7" t="str">
        <f>HYPERLINK("https://shopee.co.id/Neutrogena-Hydro-Boost-Capsule-in-Serum-30-Ml-Serum-Pelembab-Kulit-Wajah-Antioksidan-i.50972887.5356189600", "https://shopee.co.id/Neutrogena-Hydro-Boost-Capsule-in-Serum-30-Ml-Serum-Pelembab-Kulit-Wajah-Antioksidan-i.50972887.5356189600")</f>
        <v>https://shopee.co.id/Neutrogena-Hydro-Boost-Capsule-in-Serum-30-Ml-Serum-Pelembab-Kulit-Wajah-Antioksidan-i.50972887.5356189600</v>
      </c>
      <c r="C1932" s="6" t="s">
        <v>1499</v>
      </c>
      <c r="D1932" s="6" t="s">
        <v>552</v>
      </c>
      <c r="E1932" s="6" t="s">
        <v>12</v>
      </c>
      <c r="F1932" s="6" t="s">
        <v>13</v>
      </c>
      <c r="G1932" s="6" t="s">
        <v>61</v>
      </c>
      <c r="H1932" s="8" t="s">
        <v>3064</v>
      </c>
      <c r="I1932" s="9">
        <v>284400.0</v>
      </c>
      <c r="J1932" s="5" t="str">
        <f t="shared" ref="J1932:K1932" si="1932">SUBSTITUTE(H1932, ",", "")</f>
        <v>4</v>
      </c>
      <c r="K1932" s="5" t="str">
        <f t="shared" si="1932"/>
        <v>Rp284400</v>
      </c>
      <c r="L1932" s="5" t="str">
        <f t="shared" si="3"/>
        <v>284400</v>
      </c>
    </row>
    <row r="1933">
      <c r="A1933" s="6" t="s">
        <v>3101</v>
      </c>
      <c r="B1933" s="7" t="str">
        <f>HYPERLINK("https://shopee.co.id/GLOWINC-POTION-GENTLE-Soothing-Serum-i.487788169.11832257035", "https://shopee.co.id/GLOWINC-POTION-GENTLE-Soothing-Serum-i.487788169.11832257035")</f>
        <v>https://shopee.co.id/GLOWINC-POTION-GENTLE-Soothing-Serum-i.487788169.11832257035</v>
      </c>
      <c r="C1933" s="6" t="s">
        <v>1898</v>
      </c>
      <c r="D1933" s="6" t="s">
        <v>1899</v>
      </c>
      <c r="E1933" s="6" t="s">
        <v>12</v>
      </c>
      <c r="F1933" s="6" t="s">
        <v>13</v>
      </c>
      <c r="G1933" s="6" t="s">
        <v>21</v>
      </c>
      <c r="H1933" s="8" t="s">
        <v>3064</v>
      </c>
      <c r="I1933" s="9">
        <v>296000.0</v>
      </c>
      <c r="J1933" s="5" t="str">
        <f t="shared" ref="J1933:K1933" si="1933">SUBSTITUTE(H1933, ",", "")</f>
        <v>4</v>
      </c>
      <c r="K1933" s="5" t="str">
        <f t="shared" si="1933"/>
        <v>Rp296000</v>
      </c>
      <c r="L1933" s="5" t="str">
        <f t="shared" si="3"/>
        <v>296000</v>
      </c>
    </row>
    <row r="1934">
      <c r="A1934" s="6" t="s">
        <v>3102</v>
      </c>
      <c r="B1934" s="7" t="str">
        <f>HYPERLINK("https://shopee.co.id/Yoqueen-Beauty-Light-Booster-Serum-30ml-Buy-1-Get-1--i.48380572.10516489582", "https://shopee.co.id/Yoqueen-Beauty-Light-Booster-Serum-30ml-Buy-1-Get-1--i.48380572.10516489582")</f>
        <v>https://shopee.co.id/Yoqueen-Beauty-Light-Booster-Serum-30ml-Buy-1-Get-1--i.48380572.10516489582</v>
      </c>
      <c r="C1934" s="6" t="s">
        <v>3103</v>
      </c>
      <c r="D1934" s="6" t="s">
        <v>2119</v>
      </c>
      <c r="E1934" s="6" t="s">
        <v>12</v>
      </c>
      <c r="F1934" s="6" t="s">
        <v>13</v>
      </c>
      <c r="G1934" s="6" t="s">
        <v>2120</v>
      </c>
      <c r="H1934" s="8" t="s">
        <v>3064</v>
      </c>
      <c r="I1934" s="9">
        <v>672000.0</v>
      </c>
      <c r="J1934" s="5" t="str">
        <f t="shared" ref="J1934:K1934" si="1934">SUBSTITUTE(H1934, ",", "")</f>
        <v>4</v>
      </c>
      <c r="K1934" s="5" t="str">
        <f t="shared" si="1934"/>
        <v>Rp672000</v>
      </c>
      <c r="L1934" s="5" t="str">
        <f t="shared" si="3"/>
        <v>672000</v>
      </c>
    </row>
    <row r="1935">
      <c r="A1935" s="6" t="s">
        <v>3104</v>
      </c>
      <c r="B1935" s="7" t="str">
        <f>HYPERLINK("https://shopee.co.id/The-Lab-by-Blanc-Doux-Oligo-Hyaluronic-Acid-7-Multi-Formula-Pad-5ml-1pcs--i.385039113.8381756654", "https://shopee.co.id/The-Lab-by-Blanc-Doux-Oligo-Hyaluronic-Acid-7-Multi-Formula-Pad-5ml-1pcs--i.385039113.8381756654")</f>
        <v>https://shopee.co.id/The-Lab-by-Blanc-Doux-Oligo-Hyaluronic-Acid-7-Multi-Formula-Pad-5ml-1pcs--i.385039113.8381756654</v>
      </c>
      <c r="C1935" s="6" t="s">
        <v>2835</v>
      </c>
      <c r="D1935" s="6" t="s">
        <v>2836</v>
      </c>
      <c r="E1935" s="6" t="s">
        <v>12</v>
      </c>
      <c r="F1935" s="6" t="s">
        <v>13</v>
      </c>
      <c r="G1935" s="6" t="s">
        <v>98</v>
      </c>
      <c r="H1935" s="8" t="s">
        <v>3064</v>
      </c>
      <c r="I1935" s="9">
        <v>493750.0</v>
      </c>
      <c r="J1935" s="5" t="str">
        <f t="shared" ref="J1935:K1935" si="1935">SUBSTITUTE(H1935, ",", "")</f>
        <v>4</v>
      </c>
      <c r="K1935" s="5" t="str">
        <f t="shared" si="1935"/>
        <v>Rp493750</v>
      </c>
      <c r="L1935" s="5" t="str">
        <f t="shared" si="3"/>
        <v>493750</v>
      </c>
    </row>
    <row r="1936">
      <c r="A1936" s="6" t="s">
        <v>3105</v>
      </c>
      <c r="B1936" s="7" t="str">
        <f>HYPERLINK("https://shopee.co.id/HAUM-BUNDLING-C-LCID-i.344731863.6282375378", "https://shopee.co.id/HAUM-BUNDLING-C-LCID-i.344731863.6282375378")</f>
        <v>https://shopee.co.id/HAUM-BUNDLING-C-LCID-i.344731863.6282375378</v>
      </c>
      <c r="C1936" s="6" t="s">
        <v>1144</v>
      </c>
      <c r="D1936" s="6" t="s">
        <v>1145</v>
      </c>
      <c r="E1936" s="6" t="s">
        <v>12</v>
      </c>
      <c r="F1936" s="6" t="s">
        <v>13</v>
      </c>
      <c r="G1936" s="6" t="s">
        <v>98</v>
      </c>
      <c r="H1936" s="8" t="s">
        <v>3064</v>
      </c>
      <c r="I1936" s="9">
        <v>1036200.0</v>
      </c>
      <c r="J1936" s="5" t="str">
        <f t="shared" ref="J1936:K1936" si="1936">SUBSTITUTE(H1936, ",", "")</f>
        <v>4</v>
      </c>
      <c r="K1936" s="5" t="str">
        <f t="shared" si="1936"/>
        <v>Rp1036200</v>
      </c>
      <c r="L1936" s="5" t="str">
        <f t="shared" si="3"/>
        <v>1036200</v>
      </c>
    </row>
    <row r="1937">
      <c r="A1937" s="6" t="s">
        <v>3106</v>
      </c>
      <c r="B1937" s="7" t="str">
        <f>HYPERLINK("https://shopee.co.id/POND-S-Bright-Beauty-Perfect-Potion-Essence-50-mL-i.65323877.8677786286", "https://shopee.co.id/POND-S-Bright-Beauty-Perfect-Potion-Essence-50-mL-i.65323877.8677786286")</f>
        <v>https://shopee.co.id/POND-S-Bright-Beauty-Perfect-Potion-Essence-50-mL-i.65323877.8677786286</v>
      </c>
      <c r="C1937" s="6" t="s">
        <v>325</v>
      </c>
      <c r="D1937" s="6" t="s">
        <v>1600</v>
      </c>
      <c r="E1937" s="6" t="s">
        <v>12</v>
      </c>
      <c r="F1937" s="6" t="s">
        <v>13</v>
      </c>
      <c r="G1937" s="6" t="s">
        <v>296</v>
      </c>
      <c r="H1937" s="8" t="s">
        <v>3064</v>
      </c>
      <c r="I1937" s="9">
        <v>236000.0</v>
      </c>
      <c r="J1937" s="5" t="str">
        <f t="shared" ref="J1937:K1937" si="1937">SUBSTITUTE(H1937, ",", "")</f>
        <v>4</v>
      </c>
      <c r="K1937" s="5" t="str">
        <f t="shared" si="1937"/>
        <v>Rp236000</v>
      </c>
      <c r="L1937" s="5" t="str">
        <f t="shared" si="3"/>
        <v>236000</v>
      </c>
    </row>
    <row r="1938">
      <c r="A1938" s="6" t="s">
        <v>3107</v>
      </c>
      <c r="B1938" s="7" t="str">
        <f>HYPERLINK("https://shopee.co.id/Scarlett-Whitening-Acne-to-Glow-Mini-Series-i.50948181.11924381101", "https://shopee.co.id/Scarlett-Whitening-Acne-to-Glow-Mini-Series-i.50948181.11924381101")</f>
        <v>https://shopee.co.id/Scarlett-Whitening-Acne-to-Glow-Mini-Series-i.50948181.11924381101</v>
      </c>
      <c r="C1938" s="6" t="s">
        <v>19</v>
      </c>
      <c r="D1938" s="6" t="s">
        <v>1129</v>
      </c>
      <c r="E1938" s="6" t="s">
        <v>12</v>
      </c>
      <c r="F1938" s="6" t="s">
        <v>13</v>
      </c>
      <c r="G1938" s="6" t="s">
        <v>1130</v>
      </c>
      <c r="H1938" s="8" t="s">
        <v>3064</v>
      </c>
      <c r="I1938" s="9">
        <v>559600.0</v>
      </c>
      <c r="J1938" s="5" t="str">
        <f t="shared" ref="J1938:K1938" si="1938">SUBSTITUTE(H1938, ",", "")</f>
        <v>4</v>
      </c>
      <c r="K1938" s="5" t="str">
        <f t="shared" si="1938"/>
        <v>Rp559600</v>
      </c>
      <c r="L1938" s="5" t="str">
        <f t="shared" si="3"/>
        <v>559600</v>
      </c>
    </row>
    <row r="1939">
      <c r="A1939" s="6" t="s">
        <v>3108</v>
      </c>
      <c r="B1939" s="7" t="str">
        <f>HYPERLINK("https://shopee.co.id/Ahc-The-Aesthe-Youth-Emulsion-120ml-i.30736001.10912077435", "https://shopee.co.id/Ahc-The-Aesthe-Youth-Emulsion-120ml-i.30736001.10912077435")</f>
        <v>https://shopee.co.id/Ahc-The-Aesthe-Youth-Emulsion-120ml-i.30736001.10912077435</v>
      </c>
      <c r="C1939" s="6" t="s">
        <v>2053</v>
      </c>
      <c r="D1939" s="6" t="s">
        <v>335</v>
      </c>
      <c r="E1939" s="6" t="s">
        <v>12</v>
      </c>
      <c r="F1939" s="6" t="s">
        <v>13</v>
      </c>
      <c r="G1939" s="6" t="s">
        <v>36</v>
      </c>
      <c r="H1939" s="8" t="s">
        <v>3064</v>
      </c>
      <c r="I1939" s="9">
        <v>367400.0</v>
      </c>
      <c r="J1939" s="5" t="str">
        <f t="shared" ref="J1939:K1939" si="1939">SUBSTITUTE(H1939, ",", "")</f>
        <v>4</v>
      </c>
      <c r="K1939" s="5" t="str">
        <f t="shared" si="1939"/>
        <v>Rp367400</v>
      </c>
      <c r="L1939" s="5" t="str">
        <f t="shared" si="3"/>
        <v>367400</v>
      </c>
    </row>
    <row r="1940">
      <c r="A1940" s="6" t="s">
        <v>3109</v>
      </c>
      <c r="B1940" s="7" t="str">
        <f>HYPERLINK("https://shopee.co.id/Safi-White-Expert-Ultima-Essence-20ml-i.30736001.1016516918", "https://shopee.co.id/Safi-White-Expert-Ultima-Essence-20ml-i.30736001.1016516918")</f>
        <v>https://shopee.co.id/Safi-White-Expert-Ultima-Essence-20ml-i.30736001.1016516918</v>
      </c>
      <c r="C1940" s="6" t="s">
        <v>1210</v>
      </c>
      <c r="D1940" s="6" t="s">
        <v>335</v>
      </c>
      <c r="E1940" s="6" t="s">
        <v>12</v>
      </c>
      <c r="F1940" s="6" t="s">
        <v>13</v>
      </c>
      <c r="G1940" s="6" t="s">
        <v>36</v>
      </c>
      <c r="H1940" s="8" t="s">
        <v>3064</v>
      </c>
      <c r="I1940" s="9">
        <v>500000.0</v>
      </c>
      <c r="J1940" s="5" t="str">
        <f t="shared" ref="J1940:K1940" si="1940">SUBSTITUTE(H1940, ",", "")</f>
        <v>4</v>
      </c>
      <c r="K1940" s="5" t="str">
        <f t="shared" si="1940"/>
        <v>Rp500000</v>
      </c>
      <c r="L1940" s="5" t="str">
        <f t="shared" si="3"/>
        <v>500000</v>
      </c>
    </row>
    <row r="1941">
      <c r="A1941" s="6" t="s">
        <v>3110</v>
      </c>
      <c r="B1941" s="7" t="str">
        <f>HYPERLINK("https://shopee.co.id/TISHA-AC7-Spot-Serum-Phytosilica-15ml-15ml-i.283615589.6842153345", "https://shopee.co.id/TISHA-AC7-Spot-Serum-Phytosilica-15ml-15ml-i.283615589.6842153345")</f>
        <v>https://shopee.co.id/TISHA-AC7-Spot-Serum-Phytosilica-15ml-15ml-i.283615589.6842153345</v>
      </c>
      <c r="C1941" s="6" t="s">
        <v>3025</v>
      </c>
      <c r="D1941" s="6" t="s">
        <v>3026</v>
      </c>
      <c r="E1941" s="6" t="s">
        <v>12</v>
      </c>
      <c r="F1941" s="6" t="s">
        <v>13</v>
      </c>
      <c r="G1941" s="6" t="s">
        <v>3027</v>
      </c>
      <c r="H1941" s="8" t="s">
        <v>3064</v>
      </c>
      <c r="I1941" s="9">
        <v>316000.0</v>
      </c>
      <c r="J1941" s="5" t="str">
        <f t="shared" ref="J1941:K1941" si="1941">SUBSTITUTE(H1941, ",", "")</f>
        <v>4</v>
      </c>
      <c r="K1941" s="5" t="str">
        <f t="shared" si="1941"/>
        <v>Rp316000</v>
      </c>
      <c r="L1941" s="5" t="str">
        <f t="shared" si="3"/>
        <v>316000</v>
      </c>
    </row>
    <row r="1942">
      <c r="A1942" s="6" t="s">
        <v>3111</v>
      </c>
      <c r="B1942" s="7" t="str">
        <f>HYPERLINK("https://shopee.co.id/Troiareuke-Healing-Cocktail-i.267449546.4235519697", "https://shopee.co.id/Troiareuke-Healing-Cocktail-i.267449546.4235519697")</f>
        <v>https://shopee.co.id/Troiareuke-Healing-Cocktail-i.267449546.4235519697</v>
      </c>
      <c r="C1942" s="6" t="s">
        <v>3112</v>
      </c>
      <c r="D1942" s="6" t="s">
        <v>3113</v>
      </c>
      <c r="E1942" s="6" t="s">
        <v>12</v>
      </c>
      <c r="F1942" s="6" t="s">
        <v>13</v>
      </c>
      <c r="G1942" s="6" t="s">
        <v>469</v>
      </c>
      <c r="H1942" s="8" t="s">
        <v>3064</v>
      </c>
      <c r="I1942" s="9">
        <v>1363200.0</v>
      </c>
      <c r="J1942" s="5" t="str">
        <f t="shared" ref="J1942:K1942" si="1942">SUBSTITUTE(H1942, ",", "")</f>
        <v>4</v>
      </c>
      <c r="K1942" s="5" t="str">
        <f t="shared" si="1942"/>
        <v>Rp1363200</v>
      </c>
      <c r="L1942" s="5" t="str">
        <f t="shared" si="3"/>
        <v>1363200</v>
      </c>
    </row>
    <row r="1943">
      <c r="A1943" s="6" t="s">
        <v>3114</v>
      </c>
      <c r="B1943" s="7" t="str">
        <f>HYPERLINK("https://shopee.co.id/MSBB-Dear-Me-Beauty-1-Bakuchiol-Blueberry-Extract-Face-Serum-12Ml-i.288588702.3395781846", "https://shopee.co.id/MSBB-Dear-Me-Beauty-1-Bakuchiol-Blueberry-Extract-Face-Serum-12Ml-i.288588702.3395781846")</f>
        <v>https://shopee.co.id/MSBB-Dear-Me-Beauty-1-Bakuchiol-Blueberry-Extract-Face-Serum-12Ml-i.288588702.3395781846</v>
      </c>
      <c r="C1943" s="6" t="s">
        <v>78</v>
      </c>
      <c r="D1943" s="6" t="s">
        <v>79</v>
      </c>
      <c r="E1943" s="6" t="s">
        <v>12</v>
      </c>
      <c r="F1943" s="6" t="s">
        <v>13</v>
      </c>
      <c r="G1943" s="6" t="s">
        <v>80</v>
      </c>
      <c r="H1943" s="8" t="s">
        <v>3064</v>
      </c>
      <c r="I1943" s="9">
        <v>471250.0</v>
      </c>
      <c r="J1943" s="5" t="str">
        <f t="shared" ref="J1943:K1943" si="1943">SUBSTITUTE(H1943, ",", "")</f>
        <v>4</v>
      </c>
      <c r="K1943" s="5" t="str">
        <f t="shared" si="1943"/>
        <v>Rp471250</v>
      </c>
      <c r="L1943" s="5" t="str">
        <f t="shared" si="3"/>
        <v>471250</v>
      </c>
    </row>
    <row r="1944">
      <c r="A1944" s="6" t="s">
        <v>3115</v>
      </c>
      <c r="B1944" s="7" t="str">
        <f>HYPERLINK("https://shopee.co.id/AZARINE-Miraclear-Herbal-Peeling-Serum-20ml-i.68111.3450766008", "https://shopee.co.id/AZARINE-Miraclear-Herbal-Peeling-Serum-20ml-i.68111.3450766008")</f>
        <v>https://shopee.co.id/AZARINE-Miraclear-Herbal-Peeling-Serum-20ml-i.68111.3450766008</v>
      </c>
      <c r="C1944" s="6" t="s">
        <v>233</v>
      </c>
      <c r="D1944" s="6" t="s">
        <v>441</v>
      </c>
      <c r="E1944" s="6" t="s">
        <v>12</v>
      </c>
      <c r="F1944" s="6" t="s">
        <v>13</v>
      </c>
      <c r="G1944" s="6" t="s">
        <v>130</v>
      </c>
      <c r="H1944" s="8" t="s">
        <v>3064</v>
      </c>
      <c r="I1944" s="9">
        <v>556000.0</v>
      </c>
      <c r="J1944" s="5" t="str">
        <f t="shared" ref="J1944:K1944" si="1944">SUBSTITUTE(H1944, ",", "")</f>
        <v>4</v>
      </c>
      <c r="K1944" s="5" t="str">
        <f t="shared" si="1944"/>
        <v>Rp556000</v>
      </c>
      <c r="L1944" s="5" t="str">
        <f t="shared" si="3"/>
        <v>556000</v>
      </c>
    </row>
    <row r="1945">
      <c r="A1945" s="6" t="s">
        <v>3116</v>
      </c>
      <c r="B1945" s="7" t="str">
        <f>HYPERLINK("https://shopee.co.id/-2-Pcs-Hanasui-Vitamin-C-Collagen-Serum-20ml-i.121791179.4752977402", "https://shopee.co.id/-2-Pcs-Hanasui-Vitamin-C-Collagen-Serum-20ml-i.121791179.4752977402")</f>
        <v>https://shopee.co.id/-2-Pcs-Hanasui-Vitamin-C-Collagen-Serum-20ml-i.121791179.4752977402</v>
      </c>
      <c r="C1945" s="6" t="s">
        <v>784</v>
      </c>
      <c r="D1945" s="6" t="s">
        <v>1733</v>
      </c>
      <c r="E1945" s="6" t="s">
        <v>12</v>
      </c>
      <c r="F1945" s="6" t="s">
        <v>13</v>
      </c>
      <c r="G1945" s="6" t="s">
        <v>36</v>
      </c>
      <c r="H1945" s="8" t="s">
        <v>3064</v>
      </c>
      <c r="I1945" s="9">
        <v>108000.0</v>
      </c>
      <c r="J1945" s="5" t="str">
        <f t="shared" ref="J1945:K1945" si="1945">SUBSTITUTE(H1945, ",", "")</f>
        <v>4</v>
      </c>
      <c r="K1945" s="5" t="str">
        <f t="shared" si="1945"/>
        <v>Rp108000</v>
      </c>
      <c r="L1945" s="5" t="str">
        <f t="shared" si="3"/>
        <v>108000</v>
      </c>
    </row>
    <row r="1946">
      <c r="A1946" s="6" t="s">
        <v>3117</v>
      </c>
      <c r="B1946" s="7" t="str">
        <f>HYPERLINK("https://shopee.co.id/DR-Tisha-Sachet-TISHA-AC7-SPOT-SERUM-Sachet-3pc-1g--i.68111.1885568739", "https://shopee.co.id/DR-Tisha-Sachet-TISHA-AC7-SPOT-SERUM-Sachet-3pc-1g--i.68111.1885568739")</f>
        <v>https://shopee.co.id/DR-Tisha-Sachet-TISHA-AC7-SPOT-SERUM-Sachet-3pc-1g--i.68111.1885568739</v>
      </c>
      <c r="C1946" s="6" t="s">
        <v>3025</v>
      </c>
      <c r="D1946" s="6" t="s">
        <v>441</v>
      </c>
      <c r="E1946" s="6" t="s">
        <v>12</v>
      </c>
      <c r="F1946" s="6" t="s">
        <v>13</v>
      </c>
      <c r="G1946" s="6" t="s">
        <v>130</v>
      </c>
      <c r="H1946" s="8" t="s">
        <v>3064</v>
      </c>
      <c r="I1946" s="9">
        <v>100800.0</v>
      </c>
      <c r="J1946" s="5" t="str">
        <f t="shared" ref="J1946:K1946" si="1946">SUBSTITUTE(H1946, ",", "")</f>
        <v>4</v>
      </c>
      <c r="K1946" s="5" t="str">
        <f t="shared" si="1946"/>
        <v>Rp100800</v>
      </c>
      <c r="L1946" s="5" t="str">
        <f t="shared" si="3"/>
        <v>100800</v>
      </c>
    </row>
    <row r="1947">
      <c r="A1947" s="6" t="s">
        <v>3118</v>
      </c>
      <c r="B1947" s="7" t="str">
        <f>HYPERLINK("https://shopee.co.id/MS-Glow-Acne-Serum-Original-Serum-Wajah-Berjerawat-Isi-15ml-Ampuh-Menghilangkan-Jerawat-Bopeng-BPOM-i.287975332.11627860393", "https://shopee.co.id/MS-Glow-Acne-Serum-Original-Serum-Wajah-Berjerawat-Isi-15ml-Ampuh-Menghilangkan-Jerawat-Bopeng-BPOM-i.287975332.11627860393")</f>
        <v>https://shopee.co.id/MS-Glow-Acne-Serum-Original-Serum-Wajah-Berjerawat-Isi-15ml-Ampuh-Menghilangkan-Jerawat-Bopeng-BPOM-i.287975332.11627860393</v>
      </c>
      <c r="C1947" s="6" t="s">
        <v>96</v>
      </c>
      <c r="D1947" s="6" t="s">
        <v>349</v>
      </c>
      <c r="E1947" s="6" t="s">
        <v>12</v>
      </c>
      <c r="F1947" s="6" t="s">
        <v>13</v>
      </c>
      <c r="G1947" s="6" t="s">
        <v>350</v>
      </c>
      <c r="H1947" s="8" t="s">
        <v>3064</v>
      </c>
      <c r="I1947" s="9">
        <v>1065600.0</v>
      </c>
      <c r="J1947" s="5" t="str">
        <f t="shared" ref="J1947:K1947" si="1947">SUBSTITUTE(H1947, ",", "")</f>
        <v>4</v>
      </c>
      <c r="K1947" s="5" t="str">
        <f t="shared" si="1947"/>
        <v>Rp1065600</v>
      </c>
      <c r="L1947" s="5" t="str">
        <f t="shared" si="3"/>
        <v>1065600</v>
      </c>
    </row>
    <row r="1948">
      <c r="A1948" s="6" t="s">
        <v>3119</v>
      </c>
      <c r="B1948" s="7" t="str">
        <f>HYPERLINK("https://shopee.co.id/THE-POTIONS-Hyaluronic-Acid-Ampoule-20ml-i.379239733.5178474031", "https://shopee.co.id/THE-POTIONS-Hyaluronic-Acid-Ampoule-20ml-i.379239733.5178474031")</f>
        <v>https://shopee.co.id/THE-POTIONS-Hyaluronic-Acid-Ampoule-20ml-i.379239733.5178474031</v>
      </c>
      <c r="C1948" s="6" t="s">
        <v>2245</v>
      </c>
      <c r="D1948" s="6" t="s">
        <v>2246</v>
      </c>
      <c r="E1948" s="6" t="s">
        <v>12</v>
      </c>
      <c r="F1948" s="6" t="s">
        <v>13</v>
      </c>
      <c r="G1948" s="6" t="s">
        <v>130</v>
      </c>
      <c r="H1948" s="8" t="s">
        <v>3064</v>
      </c>
      <c r="I1948" s="9">
        <v>592000.0</v>
      </c>
      <c r="J1948" s="5" t="str">
        <f t="shared" ref="J1948:K1948" si="1948">SUBSTITUTE(H1948, ",", "")</f>
        <v>4</v>
      </c>
      <c r="K1948" s="5" t="str">
        <f t="shared" si="1948"/>
        <v>Rp592000</v>
      </c>
      <c r="L1948" s="5" t="str">
        <f t="shared" si="3"/>
        <v>592000</v>
      </c>
    </row>
    <row r="1949">
      <c r="A1949" s="6" t="s">
        <v>3120</v>
      </c>
      <c r="B1949" s="7" t="str">
        <f>HYPERLINK("https://shopee.co.id/Garnier-Light-Complete-White-Speed-Serum-Cream-Extra-SPF19-PA-50-ml-i.30736001.664800082", "https://shopee.co.id/Garnier-Light-Complete-White-Speed-Serum-Cream-Extra-SPF19-PA-50-ml-i.30736001.664800082")</f>
        <v>https://shopee.co.id/Garnier-Light-Complete-White-Speed-Serum-Cream-Extra-SPF19-PA-50-ml-i.30736001.664800082</v>
      </c>
      <c r="C1949" s="6" t="s">
        <v>74</v>
      </c>
      <c r="D1949" s="6" t="s">
        <v>335</v>
      </c>
      <c r="E1949" s="6" t="s">
        <v>12</v>
      </c>
      <c r="F1949" s="6" t="s">
        <v>13</v>
      </c>
      <c r="G1949" s="6" t="s">
        <v>36</v>
      </c>
      <c r="H1949" s="8" t="s">
        <v>3064</v>
      </c>
      <c r="I1949" s="9">
        <v>362600.0</v>
      </c>
      <c r="J1949" s="5" t="str">
        <f t="shared" ref="J1949:K1949" si="1949">SUBSTITUTE(H1949, ",", "")</f>
        <v>4</v>
      </c>
      <c r="K1949" s="5" t="str">
        <f t="shared" si="1949"/>
        <v>Rp362600</v>
      </c>
      <c r="L1949" s="5" t="str">
        <f t="shared" si="3"/>
        <v>362600</v>
      </c>
    </row>
    <row r="1950">
      <c r="A1950" s="6" t="s">
        <v>3121</v>
      </c>
      <c r="B1950" s="7" t="str">
        <f>HYPERLINK("https://shopee.co.id/Garnier-Bundle-Sakura-White-Serum-Day-Cream-Night-Cream-i.65323877.8079914969", "https://shopee.co.id/Garnier-Bundle-Sakura-White-Serum-Day-Cream-Night-Cream-i.65323877.8079914969")</f>
        <v>https://shopee.co.id/Garnier-Bundle-Sakura-White-Serum-Day-Cream-Night-Cream-i.65323877.8079914969</v>
      </c>
      <c r="C1950" s="6" t="s">
        <v>74</v>
      </c>
      <c r="D1950" s="6" t="s">
        <v>1600</v>
      </c>
      <c r="E1950" s="6" t="s">
        <v>12</v>
      </c>
      <c r="F1950" s="6" t="s">
        <v>13</v>
      </c>
      <c r="G1950" s="6" t="s">
        <v>296</v>
      </c>
      <c r="H1950" s="8" t="s">
        <v>3064</v>
      </c>
      <c r="I1950" s="9">
        <v>932950.0</v>
      </c>
      <c r="J1950" s="5" t="str">
        <f t="shared" ref="J1950:K1950" si="1950">SUBSTITUTE(H1950, ",", "")</f>
        <v>4</v>
      </c>
      <c r="K1950" s="5" t="str">
        <f t="shared" si="1950"/>
        <v>Rp932950</v>
      </c>
      <c r="L1950" s="5" t="str">
        <f t="shared" si="3"/>
        <v>932950</v>
      </c>
    </row>
    <row r="1951">
      <c r="A1951" s="6" t="s">
        <v>3122</v>
      </c>
      <c r="B1951" s="7" t="str">
        <f>HYPERLINK("https://shopee.co.id/MSBB-Somethinc-Criously-24K-Gold-Essence-20-Ml-i.288588702.8577335079", "https://shopee.co.id/MSBB-Somethinc-Criously-24K-Gold-Essence-20-Ml-i.288588702.8577335079")</f>
        <v>https://shopee.co.id/MSBB-Somethinc-Criously-24K-Gold-Essence-20-Ml-i.288588702.8577335079</v>
      </c>
      <c r="C1951" s="6" t="s">
        <v>45</v>
      </c>
      <c r="D1951" s="6" t="s">
        <v>79</v>
      </c>
      <c r="E1951" s="6" t="s">
        <v>12</v>
      </c>
      <c r="F1951" s="6" t="s">
        <v>13</v>
      </c>
      <c r="G1951" s="6" t="s">
        <v>80</v>
      </c>
      <c r="H1951" s="8" t="s">
        <v>3064</v>
      </c>
      <c r="I1951" s="9">
        <v>1310350.0</v>
      </c>
      <c r="J1951" s="5" t="str">
        <f t="shared" ref="J1951:K1951" si="1951">SUBSTITUTE(H1951, ",", "")</f>
        <v>4</v>
      </c>
      <c r="K1951" s="5" t="str">
        <f t="shared" si="1951"/>
        <v>Rp1310350</v>
      </c>
      <c r="L1951" s="5" t="str">
        <f t="shared" si="3"/>
        <v>1310350</v>
      </c>
    </row>
    <row r="1952">
      <c r="A1952" s="6" t="s">
        <v>3123</v>
      </c>
      <c r="B1952" s="7" t="str">
        <f>HYPERLINK("https://shopee.co.id/Somethinc-Criously-24K-Gold-Essence-20ml-40ml-i.136011044.5948994229", "https://shopee.co.id/Somethinc-Criously-24K-Gold-Essence-20ml-40ml-i.136011044.5948994229")</f>
        <v>https://shopee.co.id/Somethinc-Criously-24K-Gold-Essence-20ml-40ml-i.136011044.5948994229</v>
      </c>
      <c r="C1952" s="6" t="s">
        <v>45</v>
      </c>
      <c r="D1952" s="6" t="s">
        <v>632</v>
      </c>
      <c r="E1952" s="6" t="s">
        <v>12</v>
      </c>
      <c r="F1952" s="6" t="s">
        <v>13</v>
      </c>
      <c r="G1952" s="6" t="s">
        <v>21</v>
      </c>
      <c r="H1952" s="8" t="s">
        <v>3064</v>
      </c>
      <c r="I1952" s="9">
        <v>825550.0</v>
      </c>
      <c r="J1952" s="5" t="str">
        <f t="shared" ref="J1952:K1952" si="1952">SUBSTITUTE(H1952, ",", "")</f>
        <v>4</v>
      </c>
      <c r="K1952" s="5" t="str">
        <f t="shared" si="1952"/>
        <v>Rp825550</v>
      </c>
      <c r="L1952" s="5" t="str">
        <f t="shared" si="3"/>
        <v>825550</v>
      </c>
    </row>
    <row r="1953">
      <c r="A1953" s="6" t="s">
        <v>3124</v>
      </c>
      <c r="B1953" s="7" t="str">
        <f>HYPERLINK("https://shopee.co.id/MSBB-Somethinc-10-Niacinamide-Barrier-Serum-40Ml-i.288588702.8175261414", "https://shopee.co.id/MSBB-Somethinc-10-Niacinamide-Barrier-Serum-40Ml-i.288588702.8175261414")</f>
        <v>https://shopee.co.id/MSBB-Somethinc-10-Niacinamide-Barrier-Serum-40Ml-i.288588702.8175261414</v>
      </c>
      <c r="C1953" s="6" t="s">
        <v>45</v>
      </c>
      <c r="D1953" s="6" t="s">
        <v>79</v>
      </c>
      <c r="E1953" s="6" t="s">
        <v>12</v>
      </c>
      <c r="F1953" s="6" t="s">
        <v>13</v>
      </c>
      <c r="G1953" s="6" t="s">
        <v>80</v>
      </c>
      <c r="H1953" s="8" t="s">
        <v>3064</v>
      </c>
      <c r="I1953" s="9">
        <v>814000.0</v>
      </c>
      <c r="J1953" s="5" t="str">
        <f t="shared" ref="J1953:K1953" si="1953">SUBSTITUTE(H1953, ",", "")</f>
        <v>4</v>
      </c>
      <c r="K1953" s="5" t="str">
        <f t="shared" si="1953"/>
        <v>Rp814000</v>
      </c>
      <c r="L1953" s="5" t="str">
        <f t="shared" si="3"/>
        <v>814000</v>
      </c>
    </row>
    <row r="1954">
      <c r="A1954" s="6" t="s">
        <v>3125</v>
      </c>
      <c r="B1954" s="7" t="str">
        <f>HYPERLINK("https://shopee.co.id/Somethinc-Hyaluronic9-Advanced-B5-Serum-40ml-i.825870.8978438706", "https://shopee.co.id/Somethinc-Hyaluronic9-Advanced-B5-Serum-40ml-i.825870.8978438706")</f>
        <v>https://shopee.co.id/Somethinc-Hyaluronic9-Advanced-B5-Serum-40ml-i.825870.8978438706</v>
      </c>
      <c r="C1954" s="6" t="s">
        <v>45</v>
      </c>
      <c r="D1954" s="6" t="s">
        <v>1184</v>
      </c>
      <c r="E1954" s="6" t="s">
        <v>12</v>
      </c>
      <c r="F1954" s="6" t="s">
        <v>13</v>
      </c>
      <c r="G1954" s="6" t="s">
        <v>21</v>
      </c>
      <c r="H1954" s="8" t="s">
        <v>3064</v>
      </c>
      <c r="I1954" s="9">
        <v>665000.0</v>
      </c>
      <c r="J1954" s="5" t="str">
        <f t="shared" ref="J1954:K1954" si="1954">SUBSTITUTE(H1954, ",", "")</f>
        <v>4</v>
      </c>
      <c r="K1954" s="5" t="str">
        <f t="shared" si="1954"/>
        <v>Rp665000</v>
      </c>
      <c r="L1954" s="5" t="str">
        <f t="shared" si="3"/>
        <v>665000</v>
      </c>
    </row>
    <row r="1955">
      <c r="A1955" s="6" t="s">
        <v>3126</v>
      </c>
      <c r="B1955" s="7" t="str">
        <f>HYPERLINK("https://shopee.co.id/Avoskin-Your-Skin-Bae-Azeclair-10-Kombucha-3-Nia-2-5-Serum-30ml-i.825870.9678276132", "https://shopee.co.id/Avoskin-Your-Skin-Bae-Azeclair-10-Kombucha-3-Nia-2-5-Serum-30ml-i.825870.9678276132")</f>
        <v>https://shopee.co.id/Avoskin-Your-Skin-Bae-Azeclair-10-Kombucha-3-Nia-2-5-Serum-30ml-i.825870.9678276132</v>
      </c>
      <c r="C1955" s="6" t="s">
        <v>83</v>
      </c>
      <c r="D1955" s="6" t="s">
        <v>1184</v>
      </c>
      <c r="E1955" s="6" t="s">
        <v>12</v>
      </c>
      <c r="F1955" s="6" t="s">
        <v>13</v>
      </c>
      <c r="G1955" s="6" t="s">
        <v>21</v>
      </c>
      <c r="H1955" s="8" t="s">
        <v>3064</v>
      </c>
      <c r="I1955" s="9">
        <v>1011200.0</v>
      </c>
      <c r="J1955" s="5" t="str">
        <f t="shared" ref="J1955:K1955" si="1955">SUBSTITUTE(H1955, ",", "")</f>
        <v>4</v>
      </c>
      <c r="K1955" s="5" t="str">
        <f t="shared" si="1955"/>
        <v>Rp1011200</v>
      </c>
      <c r="L1955" s="5" t="str">
        <f t="shared" si="3"/>
        <v>1011200</v>
      </c>
    </row>
    <row r="1956">
      <c r="A1956" s="6" t="s">
        <v>3127</v>
      </c>
      <c r="B1956" s="7" t="str">
        <f>HYPERLINK("https://shopee.co.id/Somethinc-5-Niacinamide-Moisture-Sabi-Beet-Serum-40ml-i.825870.9726261432", "https://shopee.co.id/Somethinc-5-Niacinamide-Moisture-Sabi-Beet-Serum-40ml-i.825870.9726261432")</f>
        <v>https://shopee.co.id/Somethinc-5-Niacinamide-Moisture-Sabi-Beet-Serum-40ml-i.825870.9726261432</v>
      </c>
      <c r="C1956" s="6" t="s">
        <v>45</v>
      </c>
      <c r="D1956" s="6" t="s">
        <v>1184</v>
      </c>
      <c r="E1956" s="6" t="s">
        <v>12</v>
      </c>
      <c r="F1956" s="6" t="s">
        <v>13</v>
      </c>
      <c r="G1956" s="6" t="s">
        <v>21</v>
      </c>
      <c r="H1956" s="8" t="s">
        <v>3064</v>
      </c>
      <c r="I1956" s="9">
        <v>394800.0</v>
      </c>
      <c r="J1956" s="5" t="str">
        <f t="shared" ref="J1956:K1956" si="1956">SUBSTITUTE(H1956, ",", "")</f>
        <v>4</v>
      </c>
      <c r="K1956" s="5" t="str">
        <f t="shared" si="1956"/>
        <v>Rp394800</v>
      </c>
      <c r="L1956" s="5" t="str">
        <f t="shared" si="3"/>
        <v>394800</v>
      </c>
    </row>
    <row r="1957">
      <c r="A1957" s="6" t="s">
        <v>3128</v>
      </c>
      <c r="B1957" s="7" t="str">
        <f>HYPERLINK("https://shopee.co.id/FABIL-Intensive-Acne-Care-Serum-with-Bidara-12-5ml-EXP-11-21--i.3990192.2666082518", "https://shopee.co.id/FABIL-Intensive-Acne-Care-Serum-with-Bidara-12-5ml-EXP-11-21--i.3990192.2666082518")</f>
        <v>https://shopee.co.id/FABIL-Intensive-Acne-Care-Serum-with-Bidara-12-5ml-EXP-11-21--i.3990192.2666082518</v>
      </c>
      <c r="C1957" s="6" t="s">
        <v>2579</v>
      </c>
      <c r="D1957" s="6" t="s">
        <v>2580</v>
      </c>
      <c r="E1957" s="6" t="s">
        <v>12</v>
      </c>
      <c r="F1957" s="6" t="s">
        <v>13</v>
      </c>
      <c r="G1957" s="6" t="s">
        <v>1085</v>
      </c>
      <c r="H1957" s="8" t="s">
        <v>3064</v>
      </c>
      <c r="I1957" s="9">
        <v>672000.0</v>
      </c>
      <c r="J1957" s="5" t="str">
        <f t="shared" ref="J1957:K1957" si="1957">SUBSTITUTE(H1957, ",", "")</f>
        <v>4</v>
      </c>
      <c r="K1957" s="5" t="str">
        <f t="shared" si="1957"/>
        <v>Rp672000</v>
      </c>
      <c r="L1957" s="5" t="str">
        <f t="shared" si="3"/>
        <v>672000</v>
      </c>
    </row>
    <row r="1958">
      <c r="A1958" s="6" t="s">
        <v>3129</v>
      </c>
      <c r="B1958" s="7" t="str">
        <f>HYPERLINK("https://shopee.co.id/L-Oreal-Paris-Revitalift-Crystal-Micro-Essence-Water-Serum-Skin-Care-22-ml-x-6-pcs-LEBIH-HEMAT--i.62579622.11402994178", "https://shopee.co.id/L-Oreal-Paris-Revitalift-Crystal-Micro-Essence-Water-Serum-Skin-Care-22-ml-x-6-pcs-LEBIH-HEMAT--i.62579622.11402994178")</f>
        <v>https://shopee.co.id/L-Oreal-Paris-Revitalift-Crystal-Micro-Essence-Water-Serum-Skin-Care-22-ml-x-6-pcs-LEBIH-HEMAT--i.62579622.11402994178</v>
      </c>
      <c r="C1958" s="6" t="s">
        <v>105</v>
      </c>
      <c r="D1958" s="6" t="s">
        <v>106</v>
      </c>
      <c r="E1958" s="6" t="s">
        <v>12</v>
      </c>
      <c r="F1958" s="6" t="s">
        <v>13</v>
      </c>
      <c r="G1958" s="6" t="s">
        <v>61</v>
      </c>
      <c r="H1958" s="8" t="s">
        <v>3064</v>
      </c>
      <c r="I1958" s="9">
        <v>392000.0</v>
      </c>
      <c r="J1958" s="5" t="str">
        <f t="shared" ref="J1958:K1958" si="1958">SUBSTITUTE(H1958, ",", "")</f>
        <v>4</v>
      </c>
      <c r="K1958" s="5" t="str">
        <f t="shared" si="1958"/>
        <v>Rp392000</v>
      </c>
      <c r="L1958" s="5" t="str">
        <f t="shared" si="3"/>
        <v>392000</v>
      </c>
    </row>
    <row r="1959">
      <c r="A1959" s="6" t="s">
        <v>3130</v>
      </c>
      <c r="B1959" s="7" t="str">
        <f>HYPERLINK("https://shopee.co.id/MEDGLOW-CLINIC-Collagen-Serum-Aesthetic-Skincare-Anti-Aging-Firming-Lifting-Pengencangan-BPOM-i.285885972.3349982842", "https://shopee.co.id/MEDGLOW-CLINIC-Collagen-Serum-Aesthetic-Skincare-Anti-Aging-Firming-Lifting-Pengencangan-BPOM-i.285885972.3349982842")</f>
        <v>https://shopee.co.id/MEDGLOW-CLINIC-Collagen-Serum-Aesthetic-Skincare-Anti-Aging-Firming-Lifting-Pengencangan-BPOM-i.285885972.3349982842</v>
      </c>
      <c r="C1959" s="6" t="s">
        <v>949</v>
      </c>
      <c r="D1959" s="6" t="s">
        <v>950</v>
      </c>
      <c r="E1959" s="6" t="s">
        <v>12</v>
      </c>
      <c r="F1959" s="6" t="s">
        <v>13</v>
      </c>
      <c r="G1959" s="6" t="s">
        <v>380</v>
      </c>
      <c r="H1959" s="8" t="s">
        <v>3064</v>
      </c>
      <c r="I1959" s="9">
        <v>340000.0</v>
      </c>
      <c r="J1959" s="5" t="str">
        <f t="shared" ref="J1959:K1959" si="1959">SUBSTITUTE(H1959, ",", "")</f>
        <v>4</v>
      </c>
      <c r="K1959" s="5" t="str">
        <f t="shared" si="1959"/>
        <v>Rp340000</v>
      </c>
      <c r="L1959" s="5" t="str">
        <f t="shared" si="3"/>
        <v>340000</v>
      </c>
    </row>
    <row r="1960">
      <c r="A1960" s="6" t="s">
        <v>3131</v>
      </c>
      <c r="B1960" s="7" t="str">
        <f>HYPERLINK("https://shopee.co.id/HAUM-LCID-Salicylic-Acid-2-Serum-wajah-sensitif--i.119338790.6744055444", "https://shopee.co.id/HAUM-LCID-Salicylic-Acid-2-Serum-wajah-sensitif--i.119338790.6744055444")</f>
        <v>https://shopee.co.id/HAUM-LCID-Salicylic-Acid-2-Serum-wajah-sensitif--i.119338790.6744055444</v>
      </c>
      <c r="C1960" s="6" t="s">
        <v>1144</v>
      </c>
      <c r="D1960" s="6" t="s">
        <v>2905</v>
      </c>
      <c r="E1960" s="6" t="s">
        <v>12</v>
      </c>
      <c r="F1960" s="6" t="s">
        <v>13</v>
      </c>
      <c r="G1960" s="6" t="s">
        <v>532</v>
      </c>
      <c r="H1960" s="8" t="s">
        <v>3064</v>
      </c>
      <c r="I1960" s="9">
        <v>660000.0</v>
      </c>
      <c r="J1960" s="5" t="str">
        <f t="shared" ref="J1960:K1960" si="1960">SUBSTITUTE(H1960, ",", "")</f>
        <v>4</v>
      </c>
      <c r="K1960" s="5" t="str">
        <f t="shared" si="1960"/>
        <v>Rp660000</v>
      </c>
      <c r="L1960" s="5" t="str">
        <f t="shared" si="3"/>
        <v>660000</v>
      </c>
    </row>
    <row r="1961">
      <c r="A1961" s="6" t="s">
        <v>3132</v>
      </c>
      <c r="B1961" s="7" t="str">
        <f>HYPERLINK("https://shopee.co.id/Raiku-Water-Essence-30ml-2Pcs--i.82041605.8623292704", "https://shopee.co.id/Raiku-Water-Essence-30ml-2Pcs--i.82041605.8623292704")</f>
        <v>https://shopee.co.id/Raiku-Water-Essence-30ml-2Pcs--i.82041605.8623292704</v>
      </c>
      <c r="C1961" s="6" t="s">
        <v>2281</v>
      </c>
      <c r="D1961" s="6" t="s">
        <v>2282</v>
      </c>
      <c r="E1961" s="6" t="s">
        <v>12</v>
      </c>
      <c r="F1961" s="6" t="s">
        <v>13</v>
      </c>
      <c r="G1961" s="6" t="s">
        <v>21</v>
      </c>
      <c r="H1961" s="8" t="s">
        <v>3064</v>
      </c>
      <c r="I1961" s="9">
        <v>487500.0</v>
      </c>
      <c r="J1961" s="5" t="str">
        <f t="shared" ref="J1961:K1961" si="1961">SUBSTITUTE(H1961, ",", "")</f>
        <v>4</v>
      </c>
      <c r="K1961" s="5" t="str">
        <f t="shared" si="1961"/>
        <v>Rp487500</v>
      </c>
      <c r="L1961" s="5" t="str">
        <f t="shared" si="3"/>
        <v>487500</v>
      </c>
    </row>
    <row r="1962">
      <c r="A1962" s="6" t="s">
        <v>3133</v>
      </c>
      <c r="B1962" s="7" t="str">
        <f>HYPERLINK("https://shopee.co.id/Bhumi-HPR-Retinol-Serum-30ml-i.825870.4469556831", "https://shopee.co.id/Bhumi-HPR-Retinol-Serum-30ml-i.825870.4469556831")</f>
        <v>https://shopee.co.id/Bhumi-HPR-Retinol-Serum-30ml-i.825870.4469556831</v>
      </c>
      <c r="C1962" s="6" t="s">
        <v>753</v>
      </c>
      <c r="D1962" s="6" t="s">
        <v>1184</v>
      </c>
      <c r="E1962" s="6" t="s">
        <v>12</v>
      </c>
      <c r="F1962" s="6" t="s">
        <v>13</v>
      </c>
      <c r="G1962" s="6" t="s">
        <v>21</v>
      </c>
      <c r="H1962" s="8" t="s">
        <v>3064</v>
      </c>
      <c r="I1962" s="9">
        <v>1655500.0</v>
      </c>
      <c r="J1962" s="5" t="str">
        <f t="shared" ref="J1962:K1962" si="1962">SUBSTITUTE(H1962, ",", "")</f>
        <v>4</v>
      </c>
      <c r="K1962" s="5" t="str">
        <f t="shared" si="1962"/>
        <v>Rp1655500</v>
      </c>
      <c r="L1962" s="5" t="str">
        <f t="shared" si="3"/>
        <v>1655500</v>
      </c>
    </row>
    <row r="1963">
      <c r="A1963" s="6" t="s">
        <v>3134</v>
      </c>
      <c r="B1963" s="7" t="str">
        <f>HYPERLINK("https://shopee.co.id/THE-AUBREE-Ginseng-Renewing-First-Serum-30ml-i.270965687.4077464335", "https://shopee.co.id/THE-AUBREE-Ginseng-Renewing-First-Serum-30ml-i.270965687.4077464335")</f>
        <v>https://shopee.co.id/THE-AUBREE-Ginseng-Renewing-First-Serum-30ml-i.270965687.4077464335</v>
      </c>
      <c r="C1963" s="6" t="s">
        <v>772</v>
      </c>
      <c r="D1963" s="6" t="s">
        <v>379</v>
      </c>
      <c r="E1963" s="6" t="s">
        <v>12</v>
      </c>
      <c r="F1963" s="6" t="s">
        <v>13</v>
      </c>
      <c r="G1963" s="6" t="s">
        <v>380</v>
      </c>
      <c r="H1963" s="8" t="s">
        <v>3064</v>
      </c>
      <c r="I1963" s="9">
        <v>514800.0</v>
      </c>
      <c r="J1963" s="5" t="str">
        <f t="shared" ref="J1963:K1963" si="1963">SUBSTITUTE(H1963, ",", "")</f>
        <v>4</v>
      </c>
      <c r="K1963" s="5" t="str">
        <f t="shared" si="1963"/>
        <v>Rp514800</v>
      </c>
      <c r="L1963" s="5" t="str">
        <f t="shared" si="3"/>
        <v>514800</v>
      </c>
    </row>
    <row r="1964">
      <c r="A1964" s="6" t="s">
        <v>3135</v>
      </c>
      <c r="B1964" s="7" t="str">
        <f>HYPERLINK("https://shopee.co.id/NACIFIC-Glow-Intensive-Essence-45ml-i.238604292.4221825540", "https://shopee.co.id/NACIFIC-Glow-Intensive-Essence-45ml-i.238604292.4221825540")</f>
        <v>https://shopee.co.id/NACIFIC-Glow-Intensive-Essence-45ml-i.238604292.4221825540</v>
      </c>
      <c r="C1964" s="6" t="s">
        <v>344</v>
      </c>
      <c r="D1964" s="6" t="s">
        <v>918</v>
      </c>
      <c r="E1964" s="6" t="s">
        <v>12</v>
      </c>
      <c r="F1964" s="6" t="s">
        <v>13</v>
      </c>
      <c r="G1964" s="6" t="s">
        <v>80</v>
      </c>
      <c r="H1964" s="8" t="s">
        <v>3064</v>
      </c>
      <c r="I1964" s="9">
        <v>925000.0</v>
      </c>
      <c r="J1964" s="5" t="str">
        <f t="shared" ref="J1964:K1964" si="1964">SUBSTITUTE(H1964, ",", "")</f>
        <v>4</v>
      </c>
      <c r="K1964" s="5" t="str">
        <f t="shared" si="1964"/>
        <v>Rp925000</v>
      </c>
      <c r="L1964" s="5" t="str">
        <f t="shared" si="3"/>
        <v>925000</v>
      </c>
    </row>
    <row r="1965">
      <c r="A1965" s="6" t="s">
        <v>3136</v>
      </c>
      <c r="B1965" s="7" t="str">
        <f>HYPERLINK("https://shopee.co.id/POB-SERUM-VITAMIN-C-BPOM-MENCERAHKAN-WAJAH-KARENA-POLUSI-i.495355925.9583078457", "https://shopee.co.id/POB-SERUM-VITAMIN-C-BPOM-MENCERAHKAN-WAJAH-KARENA-POLUSI-i.495355925.9583078457")</f>
        <v>https://shopee.co.id/POB-SERUM-VITAMIN-C-BPOM-MENCERAHKAN-WAJAH-KARENA-POLUSI-i.495355925.9583078457</v>
      </c>
      <c r="C1965" s="6" t="s">
        <v>2719</v>
      </c>
      <c r="D1965" s="6" t="s">
        <v>2720</v>
      </c>
      <c r="E1965" s="6" t="s">
        <v>12</v>
      </c>
      <c r="F1965" s="6" t="s">
        <v>13</v>
      </c>
      <c r="G1965" s="6" t="s">
        <v>532</v>
      </c>
      <c r="H1965" s="8" t="s">
        <v>3064</v>
      </c>
      <c r="I1965" s="9">
        <v>848000.0</v>
      </c>
      <c r="J1965" s="5" t="str">
        <f t="shared" ref="J1965:K1965" si="1965">SUBSTITUTE(H1965, ",", "")</f>
        <v>4</v>
      </c>
      <c r="K1965" s="5" t="str">
        <f t="shared" si="1965"/>
        <v>Rp848000</v>
      </c>
      <c r="L1965" s="5" t="str">
        <f t="shared" si="3"/>
        <v>848000</v>
      </c>
    </row>
    <row r="1966">
      <c r="A1966" s="6" t="s">
        <v>3137</v>
      </c>
      <c r="B1966" s="7" t="str">
        <f>HYPERLINK("https://shopee.co.id/MEDGLOW-CLINIC-Gold-Gamat-Serum-Aesthetic-Skincare-Serum-Anti-Aging-Penuaan-Kerutan-Wrinkle-BPOM-i.285885972.5549884913", "https://shopee.co.id/MEDGLOW-CLINIC-Gold-Gamat-Serum-Aesthetic-Skincare-Serum-Anti-Aging-Penuaan-Kerutan-Wrinkle-BPOM-i.285885972.5549884913")</f>
        <v>https://shopee.co.id/MEDGLOW-CLINIC-Gold-Gamat-Serum-Aesthetic-Skincare-Serum-Anti-Aging-Penuaan-Kerutan-Wrinkle-BPOM-i.285885972.5549884913</v>
      </c>
      <c r="C1966" s="6" t="s">
        <v>949</v>
      </c>
      <c r="D1966" s="6" t="s">
        <v>950</v>
      </c>
      <c r="E1966" s="6" t="s">
        <v>12</v>
      </c>
      <c r="F1966" s="6" t="s">
        <v>13</v>
      </c>
      <c r="G1966" s="6" t="s">
        <v>380</v>
      </c>
      <c r="H1966" s="8" t="s">
        <v>3064</v>
      </c>
      <c r="I1966" s="9">
        <v>1760000.0</v>
      </c>
      <c r="J1966" s="5" t="str">
        <f t="shared" ref="J1966:K1966" si="1966">SUBSTITUTE(H1966, ",", "")</f>
        <v>4</v>
      </c>
      <c r="K1966" s="5" t="str">
        <f t="shared" si="1966"/>
        <v>Rp1760000</v>
      </c>
      <c r="L1966" s="5" t="str">
        <f t="shared" si="3"/>
        <v>1760000</v>
      </c>
    </row>
    <row r="1967">
      <c r="A1967" s="6" t="s">
        <v>3138</v>
      </c>
      <c r="B1967" s="7" t="str">
        <f>HYPERLINK("https://shopee.co.id/Everwhite-Cica-Soothing-Serum-30ml-Centella-Asiatica-Acne-Care-Acne-Series-i.136011044.8242155076", "https://shopee.co.id/Everwhite-Cica-Soothing-Serum-30ml-Centella-Asiatica-Acne-Care-Acne-Series-i.136011044.8242155076")</f>
        <v>https://shopee.co.id/Everwhite-Cica-Soothing-Serum-30ml-Centella-Asiatica-Acne-Care-Acne-Series-i.136011044.8242155076</v>
      </c>
      <c r="C1967" s="6" t="s">
        <v>157</v>
      </c>
      <c r="D1967" s="6" t="s">
        <v>632</v>
      </c>
      <c r="E1967" s="6" t="s">
        <v>12</v>
      </c>
      <c r="F1967" s="6" t="s">
        <v>13</v>
      </c>
      <c r="G1967" s="6" t="s">
        <v>21</v>
      </c>
      <c r="H1967" s="8" t="s">
        <v>3064</v>
      </c>
      <c r="I1967" s="9">
        <v>1552200.0</v>
      </c>
      <c r="J1967" s="5" t="str">
        <f t="shared" ref="J1967:K1967" si="1967">SUBSTITUTE(H1967, ",", "")</f>
        <v>4</v>
      </c>
      <c r="K1967" s="5" t="str">
        <f t="shared" si="1967"/>
        <v>Rp1552200</v>
      </c>
      <c r="L1967" s="5" t="str">
        <f t="shared" si="3"/>
        <v>1552200</v>
      </c>
    </row>
    <row r="1968">
      <c r="A1968" s="6" t="s">
        <v>3139</v>
      </c>
      <c r="B1968" s="7" t="str">
        <f>HYPERLINK("https://shopee.co.id/Raiku-Bright-Radiance-Serum-30ml-i.82041605.6183121640", "https://shopee.co.id/Raiku-Bright-Radiance-Serum-30ml-i.82041605.6183121640")</f>
        <v>https://shopee.co.id/Raiku-Bright-Radiance-Serum-30ml-i.82041605.6183121640</v>
      </c>
      <c r="C1968" s="6" t="s">
        <v>2281</v>
      </c>
      <c r="D1968" s="6" t="s">
        <v>2282</v>
      </c>
      <c r="E1968" s="6" t="s">
        <v>12</v>
      </c>
      <c r="F1968" s="6" t="s">
        <v>13</v>
      </c>
      <c r="G1968" s="6" t="s">
        <v>21</v>
      </c>
      <c r="H1968" s="8" t="s">
        <v>3064</v>
      </c>
      <c r="I1968" s="9">
        <v>378000.0</v>
      </c>
      <c r="J1968" s="5" t="str">
        <f t="shared" ref="J1968:K1968" si="1968">SUBSTITUTE(H1968, ",", "")</f>
        <v>4</v>
      </c>
      <c r="K1968" s="5" t="str">
        <f t="shared" si="1968"/>
        <v>Rp378000</v>
      </c>
      <c r="L1968" s="5" t="str">
        <f t="shared" si="3"/>
        <v>378000</v>
      </c>
    </row>
    <row r="1969">
      <c r="A1969" s="6" t="s">
        <v>3140</v>
      </c>
      <c r="B1969" s="7" t="str">
        <f>HYPERLINK("https://shopee.co.id/True-to-Skin-Niacinamide-Brigthening-Serum-Niacinamide-Zinc-Allantoin-20ml-i.50948181.6982299980", "https://shopee.co.id/True-to-Skin-Niacinamide-Brigthening-Serum-Niacinamide-Zinc-Allantoin-20ml-i.50948181.6982299980")</f>
        <v>https://shopee.co.id/True-to-Skin-Niacinamide-Brigthening-Serum-Niacinamide-Zinc-Allantoin-20ml-i.50948181.6982299980</v>
      </c>
      <c r="C1969" s="6" t="s">
        <v>666</v>
      </c>
      <c r="D1969" s="6" t="s">
        <v>1129</v>
      </c>
      <c r="E1969" s="6" t="s">
        <v>12</v>
      </c>
      <c r="F1969" s="6" t="s">
        <v>13</v>
      </c>
      <c r="G1969" s="6" t="s">
        <v>1130</v>
      </c>
      <c r="H1969" s="8" t="s">
        <v>3064</v>
      </c>
      <c r="I1969" s="9">
        <v>896550.0</v>
      </c>
      <c r="J1969" s="5" t="str">
        <f t="shared" ref="J1969:K1969" si="1969">SUBSTITUTE(H1969, ",", "")</f>
        <v>4</v>
      </c>
      <c r="K1969" s="5" t="str">
        <f t="shared" si="1969"/>
        <v>Rp896550</v>
      </c>
      <c r="L1969" s="5" t="str">
        <f t="shared" si="3"/>
        <v>896550</v>
      </c>
    </row>
    <row r="1970">
      <c r="A1970" s="6" t="s">
        <v>3141</v>
      </c>
      <c r="B1970" s="7" t="str">
        <f>HYPERLINK("https://shopee.co.id/Benton-Snail-Bee-Ultimate-Serum-35ml-i.825870.2033101127", "https://shopee.co.id/Benton-Snail-Bee-Ultimate-Serum-35ml-i.825870.2033101127")</f>
        <v>https://shopee.co.id/Benton-Snail-Bee-Ultimate-Serum-35ml-i.825870.2033101127</v>
      </c>
      <c r="C1970" s="6" t="s">
        <v>456</v>
      </c>
      <c r="D1970" s="6" t="s">
        <v>1184</v>
      </c>
      <c r="E1970" s="6" t="s">
        <v>12</v>
      </c>
      <c r="F1970" s="6" t="s">
        <v>13</v>
      </c>
      <c r="G1970" s="6" t="s">
        <v>21</v>
      </c>
      <c r="H1970" s="8" t="s">
        <v>3064</v>
      </c>
      <c r="I1970" s="9">
        <v>468750.0</v>
      </c>
      <c r="J1970" s="5" t="str">
        <f t="shared" ref="J1970:K1970" si="1970">SUBSTITUTE(H1970, ",", "")</f>
        <v>4</v>
      </c>
      <c r="K1970" s="5" t="str">
        <f t="shared" si="1970"/>
        <v>Rp468750</v>
      </c>
      <c r="L1970" s="5" t="str">
        <f t="shared" si="3"/>
        <v>468750</v>
      </c>
    </row>
    <row r="1971">
      <c r="A1971" s="6" t="s">
        <v>3142</v>
      </c>
      <c r="B1971" s="7" t="str">
        <f>HYPERLINK("https://shopee.co.id/CLINELLE-Special-Bundling-Caviar-Gold-Firming-Eye-Serum-Caviar-Gold-Firming-Serum-i.173963911.2813887368", "https://shopee.co.id/CLINELLE-Special-Bundling-Caviar-Gold-Firming-Eye-Serum-Caviar-Gold-Firming-Serum-i.173963911.2813887368")</f>
        <v>https://shopee.co.id/CLINELLE-Special-Bundling-Caviar-Gold-Firming-Eye-Serum-Caviar-Gold-Firming-Serum-i.173963911.2813887368</v>
      </c>
      <c r="C1971" s="6" t="s">
        <v>1456</v>
      </c>
      <c r="D1971" s="6" t="s">
        <v>1457</v>
      </c>
      <c r="E1971" s="6" t="s">
        <v>12</v>
      </c>
      <c r="F1971" s="6" t="s">
        <v>13</v>
      </c>
      <c r="G1971" s="6" t="s">
        <v>21</v>
      </c>
      <c r="H1971" s="8" t="s">
        <v>3064</v>
      </c>
      <c r="I1971" s="9">
        <v>636800.0</v>
      </c>
      <c r="J1971" s="5" t="str">
        <f t="shared" ref="J1971:K1971" si="1971">SUBSTITUTE(H1971, ",", "")</f>
        <v>4</v>
      </c>
      <c r="K1971" s="5" t="str">
        <f t="shared" si="1971"/>
        <v>Rp636800</v>
      </c>
      <c r="L1971" s="5" t="str">
        <f t="shared" si="3"/>
        <v>636800</v>
      </c>
    </row>
    <row r="1972">
      <c r="A1972" s="6" t="s">
        <v>3143</v>
      </c>
      <c r="B1972" s="7" t="str">
        <f>HYPERLINK("https://shopee.co.id/Daneen-Whip-Acne-Serum-10ml-i.328329669.5279300338", "https://shopee.co.id/Daneen-Whip-Acne-Serum-10ml-i.328329669.5279300338")</f>
        <v>https://shopee.co.id/Daneen-Whip-Acne-Serum-10ml-i.328329669.5279300338</v>
      </c>
      <c r="C1972" s="6" t="s">
        <v>2675</v>
      </c>
      <c r="D1972" s="6" t="s">
        <v>2676</v>
      </c>
      <c r="E1972" s="6" t="s">
        <v>12</v>
      </c>
      <c r="F1972" s="6" t="s">
        <v>13</v>
      </c>
      <c r="G1972" s="6" t="s">
        <v>36</v>
      </c>
      <c r="H1972" s="8" t="s">
        <v>3064</v>
      </c>
      <c r="I1972" s="9">
        <v>1196000.0</v>
      </c>
      <c r="J1972" s="5" t="str">
        <f t="shared" ref="J1972:K1972" si="1972">SUBSTITUTE(H1972, ",", "")</f>
        <v>4</v>
      </c>
      <c r="K1972" s="5" t="str">
        <f t="shared" si="1972"/>
        <v>Rp1196000</v>
      </c>
      <c r="L1972" s="5" t="str">
        <f t="shared" si="3"/>
        <v>1196000</v>
      </c>
    </row>
    <row r="1973">
      <c r="A1973" s="6" t="s">
        <v>3144</v>
      </c>
      <c r="B1973" s="7" t="str">
        <f>HYPERLINK("https://shopee.co.id/Mireya-Anti-Blemish-Boost-Serum-Very-Berry-Acne-i.101578297.8985412623", "https://shopee.co.id/Mireya-Anti-Blemish-Boost-Serum-Very-Berry-Acne-i.101578297.8985412623")</f>
        <v>https://shopee.co.id/Mireya-Anti-Blemish-Boost-Serum-Very-Berry-Acne-i.101578297.8985412623</v>
      </c>
      <c r="C1973" s="6" t="s">
        <v>2430</v>
      </c>
      <c r="D1973" s="6" t="s">
        <v>2431</v>
      </c>
      <c r="E1973" s="6" t="s">
        <v>12</v>
      </c>
      <c r="F1973" s="6" t="s">
        <v>13</v>
      </c>
      <c r="G1973" s="6" t="s">
        <v>21</v>
      </c>
      <c r="H1973" s="8" t="s">
        <v>3064</v>
      </c>
      <c r="I1973" s="9">
        <v>391600.0</v>
      </c>
      <c r="J1973" s="5" t="str">
        <f t="shared" ref="J1973:K1973" si="1973">SUBSTITUTE(H1973, ",", "")</f>
        <v>4</v>
      </c>
      <c r="K1973" s="5" t="str">
        <f t="shared" si="1973"/>
        <v>Rp391600</v>
      </c>
      <c r="L1973" s="5" t="str">
        <f t="shared" si="3"/>
        <v>391600</v>
      </c>
    </row>
    <row r="1974">
      <c r="A1974" s="6" t="s">
        <v>3145</v>
      </c>
      <c r="B1974" s="7" t="str">
        <f>HYPERLINK("https://shopee.co.id/RORO-MENDUT-Spirulina-Salicylic-Acid-B5-Serum-i.87869551.8225248693", "https://shopee.co.id/RORO-MENDUT-Spirulina-Salicylic-Acid-B5-Serum-i.87869551.8225248693")</f>
        <v>https://shopee.co.id/RORO-MENDUT-Spirulina-Salicylic-Acid-B5-Serum-i.87869551.8225248693</v>
      </c>
      <c r="C1974" s="6" t="s">
        <v>1526</v>
      </c>
      <c r="D1974" s="6" t="s">
        <v>1527</v>
      </c>
      <c r="E1974" s="6" t="s">
        <v>12</v>
      </c>
      <c r="F1974" s="6" t="s">
        <v>13</v>
      </c>
      <c r="G1974" s="6" t="s">
        <v>380</v>
      </c>
      <c r="H1974" s="8" t="s">
        <v>3064</v>
      </c>
      <c r="I1974" s="9">
        <v>36000.0</v>
      </c>
      <c r="J1974" s="5" t="str">
        <f t="shared" ref="J1974:K1974" si="1974">SUBSTITUTE(H1974, ",", "")</f>
        <v>4</v>
      </c>
      <c r="K1974" s="5" t="str">
        <f t="shared" si="1974"/>
        <v>Rp36000</v>
      </c>
      <c r="L1974" s="5" t="str">
        <f t="shared" si="3"/>
        <v>36000</v>
      </c>
    </row>
    <row r="1975">
      <c r="A1975" s="6" t="s">
        <v>3146</v>
      </c>
      <c r="B1975" s="7" t="str">
        <f>HYPERLINK("https://shopee.co.id/Cosrx-Advanced-Snail-96-Mucin-Power-Essence-100ml-i.30736001.13910241006", "https://shopee.co.id/Cosrx-Advanced-Snail-96-Mucin-Power-Essence-100ml-i.30736001.13910241006")</f>
        <v>https://shopee.co.id/Cosrx-Advanced-Snail-96-Mucin-Power-Essence-100ml-i.30736001.13910241006</v>
      </c>
      <c r="C1975" s="6" t="s">
        <v>305</v>
      </c>
      <c r="D1975" s="6" t="s">
        <v>335</v>
      </c>
      <c r="E1975" s="6" t="s">
        <v>12</v>
      </c>
      <c r="F1975" s="6" t="s">
        <v>13</v>
      </c>
      <c r="G1975" s="6" t="s">
        <v>36</v>
      </c>
      <c r="H1975" s="8" t="s">
        <v>3064</v>
      </c>
      <c r="I1975" s="9">
        <v>600000.0</v>
      </c>
      <c r="J1975" s="5" t="str">
        <f t="shared" ref="J1975:K1975" si="1975">SUBSTITUTE(H1975, ",", "")</f>
        <v>4</v>
      </c>
      <c r="K1975" s="5" t="str">
        <f t="shared" si="1975"/>
        <v>Rp600000</v>
      </c>
      <c r="L1975" s="5" t="str">
        <f t="shared" si="3"/>
        <v>600000</v>
      </c>
    </row>
    <row r="1976">
      <c r="A1976" s="6" t="s">
        <v>3147</v>
      </c>
      <c r="B1976" s="7" t="str">
        <f>HYPERLINK("https://shopee.co.id/Probeauty-Serum-Vit-C-Serum-whitening-with-vitamin-C-alpha-arbutin-i.9171679.1235042654", "https://shopee.co.id/Probeauty-Serum-Vit-C-Serum-whitening-with-vitamin-C-alpha-arbutin-i.9171679.1235042654")</f>
        <v>https://shopee.co.id/Probeauty-Serum-Vit-C-Serum-whitening-with-vitamin-C-alpha-arbutin-i.9171679.1235042654</v>
      </c>
      <c r="C1976" s="6" t="s">
        <v>2207</v>
      </c>
      <c r="D1976" s="6" t="s">
        <v>2208</v>
      </c>
      <c r="E1976" s="6" t="s">
        <v>12</v>
      </c>
      <c r="F1976" s="6" t="s">
        <v>13</v>
      </c>
      <c r="G1976" s="6" t="s">
        <v>2209</v>
      </c>
      <c r="H1976" s="8" t="s">
        <v>3064</v>
      </c>
      <c r="I1976" s="9">
        <v>527850.0</v>
      </c>
      <c r="J1976" s="5" t="str">
        <f t="shared" ref="J1976:K1976" si="1976">SUBSTITUTE(H1976, ",", "")</f>
        <v>4</v>
      </c>
      <c r="K1976" s="5" t="str">
        <f t="shared" si="1976"/>
        <v>Rp527850</v>
      </c>
      <c r="L1976" s="5" t="str">
        <f t="shared" si="3"/>
        <v>527850</v>
      </c>
    </row>
    <row r="1977">
      <c r="A1977" s="6" t="s">
        <v>3148</v>
      </c>
      <c r="B1977" s="7" t="str">
        <f>HYPERLINK("https://shopee.co.id/Probeauty-Neck-Serum-Serum-Leher-Serum-Whitening-Anti-Aging-Untuk-Leher-i.9171679.3254639631", "https://shopee.co.id/Probeauty-Neck-Serum-Serum-Leher-Serum-Whitening-Anti-Aging-Untuk-Leher-i.9171679.3254639631")</f>
        <v>https://shopee.co.id/Probeauty-Neck-Serum-Serum-Leher-Serum-Whitening-Anti-Aging-Untuk-Leher-i.9171679.3254639631</v>
      </c>
      <c r="C1977" s="6" t="s">
        <v>2207</v>
      </c>
      <c r="D1977" s="6" t="s">
        <v>2208</v>
      </c>
      <c r="E1977" s="6" t="s">
        <v>12</v>
      </c>
      <c r="F1977" s="6" t="s">
        <v>13</v>
      </c>
      <c r="G1977" s="6" t="s">
        <v>2209</v>
      </c>
      <c r="H1977" s="8" t="s">
        <v>3064</v>
      </c>
      <c r="I1977" s="9">
        <v>1260000.0</v>
      </c>
      <c r="J1977" s="5" t="str">
        <f t="shared" ref="J1977:K1977" si="1977">SUBSTITUTE(H1977, ",", "")</f>
        <v>4</v>
      </c>
      <c r="K1977" s="5" t="str">
        <f t="shared" si="1977"/>
        <v>Rp1260000</v>
      </c>
      <c r="L1977" s="5" t="str">
        <f t="shared" si="3"/>
        <v>1260000</v>
      </c>
    </row>
    <row r="1978">
      <c r="A1978" s="6" t="s">
        <v>3149</v>
      </c>
      <c r="B1978" s="7" t="str">
        <f>HYPERLINK("https://shopee.co.id/EVERWHITE-NIACINAMIDE-BRIGHTENING-SERUM-20-ML-i.50972887.13201219335", "https://shopee.co.id/EVERWHITE-NIACINAMIDE-BRIGHTENING-SERUM-20-ML-i.50972887.13201219335")</f>
        <v>https://shopee.co.id/EVERWHITE-NIACINAMIDE-BRIGHTENING-SERUM-20-ML-i.50972887.13201219335</v>
      </c>
      <c r="C1978" s="6" t="s">
        <v>157</v>
      </c>
      <c r="D1978" s="6" t="s">
        <v>552</v>
      </c>
      <c r="E1978" s="6" t="s">
        <v>12</v>
      </c>
      <c r="F1978" s="6" t="s">
        <v>13</v>
      </c>
      <c r="G1978" s="6" t="s">
        <v>61</v>
      </c>
      <c r="H1978" s="8" t="s">
        <v>3064</v>
      </c>
      <c r="I1978" s="9">
        <v>829400.0</v>
      </c>
      <c r="J1978" s="5" t="str">
        <f t="shared" ref="J1978:K1978" si="1978">SUBSTITUTE(H1978, ",", "")</f>
        <v>4</v>
      </c>
      <c r="K1978" s="5" t="str">
        <f t="shared" si="1978"/>
        <v>Rp829400</v>
      </c>
      <c r="L1978" s="5" t="str">
        <f t="shared" si="3"/>
        <v>829400</v>
      </c>
    </row>
    <row r="1979">
      <c r="A1979" s="6" t="s">
        <v>3150</v>
      </c>
      <c r="B1979" s="7" t="str">
        <f>HYPERLINK("https://shopee.co.id/Calmedi-Acne-Bio-Serum-10-ml-Totol-Jerawat-Ampuh-i.129229117.2146092345", "https://shopee.co.id/Calmedi-Acne-Bio-Serum-10-ml-Totol-Jerawat-Ampuh-i.129229117.2146092345")</f>
        <v>https://shopee.co.id/Calmedi-Acne-Bio-Serum-10-ml-Totol-Jerawat-Ampuh-i.129229117.2146092345</v>
      </c>
      <c r="C1979" s="6" t="s">
        <v>2931</v>
      </c>
      <c r="D1979" s="6" t="s">
        <v>2932</v>
      </c>
      <c r="E1979" s="6" t="s">
        <v>12</v>
      </c>
      <c r="F1979" s="6" t="s">
        <v>13</v>
      </c>
      <c r="G1979" s="6" t="s">
        <v>98</v>
      </c>
      <c r="H1979" s="8" t="s">
        <v>3064</v>
      </c>
      <c r="I1979" s="9">
        <v>840000.0</v>
      </c>
      <c r="J1979" s="5" t="str">
        <f t="shared" ref="J1979:K1979" si="1979">SUBSTITUTE(H1979, ",", "")</f>
        <v>4</v>
      </c>
      <c r="K1979" s="5" t="str">
        <f t="shared" si="1979"/>
        <v>Rp840000</v>
      </c>
      <c r="L1979" s="5" t="str">
        <f t="shared" si="3"/>
        <v>840000</v>
      </c>
    </row>
    <row r="1980">
      <c r="A1980" s="6" t="s">
        <v>3151</v>
      </c>
      <c r="B1980" s="7" t="str">
        <f>HYPERLINK("https://shopee.co.id/Revlon-Night-Routine-Evivesse-Package-i.167409897.8477470898", "https://shopee.co.id/Revlon-Night-Routine-Evivesse-Package-i.167409897.8477470898")</f>
        <v>https://shopee.co.id/Revlon-Night-Routine-Evivesse-Package-i.167409897.8477470898</v>
      </c>
      <c r="C1980" s="6" t="s">
        <v>1819</v>
      </c>
      <c r="D1980" s="6" t="s">
        <v>1820</v>
      </c>
      <c r="E1980" s="6" t="s">
        <v>12</v>
      </c>
      <c r="F1980" s="6" t="s">
        <v>13</v>
      </c>
      <c r="G1980" s="6" t="s">
        <v>469</v>
      </c>
      <c r="H1980" s="8" t="s">
        <v>3064</v>
      </c>
      <c r="I1980" s="9">
        <v>1170000.0</v>
      </c>
      <c r="J1980" s="5" t="str">
        <f t="shared" ref="J1980:K1980" si="1980">SUBSTITUTE(H1980, ",", "")</f>
        <v>4</v>
      </c>
      <c r="K1980" s="5" t="str">
        <f t="shared" si="1980"/>
        <v>Rp1170000</v>
      </c>
      <c r="L1980" s="5" t="str">
        <f t="shared" si="3"/>
        <v>1170000</v>
      </c>
    </row>
    <row r="1981">
      <c r="A1981" s="6" t="s">
        <v>3152</v>
      </c>
      <c r="B1981" s="7" t="str">
        <f>HYPERLINK("https://shopee.co.id/Bhumi-Acid-Complex-Clearing-Serum-30ml-i.10689.3516162795", "https://shopee.co.id/Bhumi-Acid-Complex-Clearing-Serum-30ml-i.10689.3516162795")</f>
        <v>https://shopee.co.id/Bhumi-Acid-Complex-Clearing-Serum-30ml-i.10689.3516162795</v>
      </c>
      <c r="C1981" s="6" t="s">
        <v>753</v>
      </c>
      <c r="D1981" s="6" t="s">
        <v>745</v>
      </c>
      <c r="E1981" s="6" t="s">
        <v>12</v>
      </c>
      <c r="F1981" s="6" t="s">
        <v>13</v>
      </c>
      <c r="G1981" s="6" t="s">
        <v>61</v>
      </c>
      <c r="H1981" s="8" t="s">
        <v>3064</v>
      </c>
      <c r="I1981" s="9">
        <v>634804.0</v>
      </c>
      <c r="J1981" s="5" t="str">
        <f t="shared" ref="J1981:K1981" si="1981">SUBSTITUTE(H1981, ",", "")</f>
        <v>4</v>
      </c>
      <c r="K1981" s="5" t="str">
        <f t="shared" si="1981"/>
        <v>Rp634804</v>
      </c>
      <c r="L1981" s="5" t="str">
        <f t="shared" si="3"/>
        <v>634804</v>
      </c>
    </row>
    <row r="1982">
      <c r="A1982" s="6" t="s">
        <v>3153</v>
      </c>
      <c r="B1982" s="7" t="str">
        <f>HYPERLINK("https://shopee.co.id/Cosrx-Galactomyces-95-Tone-Balancing-Essence-i.136011044.7475148510", "https://shopee.co.id/Cosrx-Galactomyces-95-Tone-Balancing-Essence-i.136011044.7475148510")</f>
        <v>https://shopee.co.id/Cosrx-Galactomyces-95-Tone-Balancing-Essence-i.136011044.7475148510</v>
      </c>
      <c r="C1982" s="6" t="s">
        <v>305</v>
      </c>
      <c r="D1982" s="6" t="s">
        <v>632</v>
      </c>
      <c r="E1982" s="6" t="s">
        <v>12</v>
      </c>
      <c r="F1982" s="6" t="s">
        <v>13</v>
      </c>
      <c r="G1982" s="6" t="s">
        <v>21</v>
      </c>
      <c r="H1982" s="8" t="s">
        <v>3064</v>
      </c>
      <c r="I1982" s="9">
        <v>196000.0</v>
      </c>
      <c r="J1982" s="5" t="str">
        <f t="shared" ref="J1982:K1982" si="1982">SUBSTITUTE(H1982, ",", "")</f>
        <v>4</v>
      </c>
      <c r="K1982" s="5" t="str">
        <f t="shared" si="1982"/>
        <v>Rp196000</v>
      </c>
      <c r="L1982" s="5" t="str">
        <f t="shared" si="3"/>
        <v>196000</v>
      </c>
    </row>
    <row r="1983">
      <c r="A1983" s="6" t="s">
        <v>3154</v>
      </c>
      <c r="B1983" s="7" t="str">
        <f>HYPERLINK("https://shopee.co.id/Innertrue-Acneficent-Treatment-Gel-10g-i.10689.8033020420", "https://shopee.co.id/Innertrue-Acneficent-Treatment-Gel-10g-i.10689.8033020420")</f>
        <v>https://shopee.co.id/Innertrue-Acneficent-Treatment-Gel-10g-i.10689.8033020420</v>
      </c>
      <c r="C1983" s="6" t="s">
        <v>1321</v>
      </c>
      <c r="D1983" s="6" t="s">
        <v>745</v>
      </c>
      <c r="E1983" s="6" t="s">
        <v>12</v>
      </c>
      <c r="F1983" s="6" t="s">
        <v>13</v>
      </c>
      <c r="G1983" s="6" t="s">
        <v>61</v>
      </c>
      <c r="H1983" s="8" t="s">
        <v>3064</v>
      </c>
      <c r="I1983" s="9">
        <v>548000.0</v>
      </c>
      <c r="J1983" s="5" t="str">
        <f t="shared" ref="J1983:K1983" si="1983">SUBSTITUTE(H1983, ",", "")</f>
        <v>4</v>
      </c>
      <c r="K1983" s="5" t="str">
        <f t="shared" si="1983"/>
        <v>Rp548000</v>
      </c>
      <c r="L1983" s="5" t="str">
        <f t="shared" si="3"/>
        <v>548000</v>
      </c>
    </row>
    <row r="1984">
      <c r="A1984" s="6" t="s">
        <v>3155</v>
      </c>
      <c r="B1984" s="7" t="str">
        <f>HYPERLINK("https://shopee.co.id/Serum-Kinclong-Marwah-Skincare-i.357101711.8341229235", "https://shopee.co.id/Serum-Kinclong-Marwah-Skincare-i.357101711.8341229235")</f>
        <v>https://shopee.co.id/Serum-Kinclong-Marwah-Skincare-i.357101711.8341229235</v>
      </c>
      <c r="C1984" s="6" t="s">
        <v>2249</v>
      </c>
      <c r="D1984" s="6" t="s">
        <v>2250</v>
      </c>
      <c r="E1984" s="6" t="s">
        <v>12</v>
      </c>
      <c r="F1984" s="6" t="s">
        <v>13</v>
      </c>
      <c r="G1984" s="6" t="s">
        <v>370</v>
      </c>
      <c r="H1984" s="8" t="s">
        <v>3064</v>
      </c>
      <c r="I1984" s="9">
        <v>2832000.0</v>
      </c>
      <c r="J1984" s="5" t="str">
        <f t="shared" ref="J1984:K1984" si="1984">SUBSTITUTE(H1984, ",", "")</f>
        <v>4</v>
      </c>
      <c r="K1984" s="5" t="str">
        <f t="shared" si="1984"/>
        <v>Rp2832000</v>
      </c>
      <c r="L1984" s="5" t="str">
        <f t="shared" si="3"/>
        <v>2832000</v>
      </c>
    </row>
    <row r="1985">
      <c r="A1985" s="6" t="s">
        <v>3156</v>
      </c>
      <c r="B1985" s="7" t="str">
        <f>HYPERLINK("https://shopee.co.id/Bio-Beauty-Lab-Phyto-Power-Essence-50ml-i.825870.9083577136", "https://shopee.co.id/Bio-Beauty-Lab-Phyto-Power-Essence-50ml-i.825870.9083577136")</f>
        <v>https://shopee.co.id/Bio-Beauty-Lab-Phyto-Power-Essence-50ml-i.825870.9083577136</v>
      </c>
      <c r="C1985" s="6" t="s">
        <v>120</v>
      </c>
      <c r="D1985" s="6" t="s">
        <v>1184</v>
      </c>
      <c r="E1985" s="6" t="s">
        <v>12</v>
      </c>
      <c r="F1985" s="6" t="s">
        <v>13</v>
      </c>
      <c r="G1985" s="6" t="s">
        <v>21</v>
      </c>
      <c r="H1985" s="8" t="s">
        <v>3064</v>
      </c>
      <c r="I1985" s="9">
        <v>472000.0</v>
      </c>
      <c r="J1985" s="5" t="str">
        <f t="shared" ref="J1985:K1985" si="1985">SUBSTITUTE(H1985, ",", "")</f>
        <v>4</v>
      </c>
      <c r="K1985" s="5" t="str">
        <f t="shared" si="1985"/>
        <v>Rp472000</v>
      </c>
      <c r="L1985" s="5" t="str">
        <f t="shared" si="3"/>
        <v>472000</v>
      </c>
    </row>
    <row r="1986">
      <c r="A1986" s="6" t="s">
        <v>3157</v>
      </c>
      <c r="B1986" s="7" t="str">
        <f>HYPERLINK("https://shopee.co.id/LOREAL-DEX-WP-ESSENCE-LOT-175M-i.30736001.5437711752", "https://shopee.co.id/LOREAL-DEX-WP-ESSENCE-LOT-175M-i.30736001.5437711752")</f>
        <v>https://shopee.co.id/LOREAL-DEX-WP-ESSENCE-LOT-175M-i.30736001.5437711752</v>
      </c>
      <c r="C1986" s="6" t="s">
        <v>105</v>
      </c>
      <c r="D1986" s="6" t="s">
        <v>335</v>
      </c>
      <c r="E1986" s="6" t="s">
        <v>12</v>
      </c>
      <c r="F1986" s="6" t="s">
        <v>13</v>
      </c>
      <c r="G1986" s="6" t="s">
        <v>36</v>
      </c>
      <c r="H1986" s="8" t="s">
        <v>3064</v>
      </c>
      <c r="I1986" s="9">
        <v>649044.0</v>
      </c>
      <c r="J1986" s="5" t="str">
        <f t="shared" ref="J1986:K1986" si="1986">SUBSTITUTE(H1986, ",", "")</f>
        <v>4</v>
      </c>
      <c r="K1986" s="5" t="str">
        <f t="shared" si="1986"/>
        <v>Rp649044</v>
      </c>
      <c r="L1986" s="5" t="str">
        <f t="shared" si="3"/>
        <v>649044</v>
      </c>
    </row>
    <row r="1987">
      <c r="A1987" s="6" t="s">
        <v>3158</v>
      </c>
      <c r="B1987" s="7" t="str">
        <f>HYPERLINK("https://shopee.co.id/Garnier-Light-Complete-Vitamin-C-Serum-30-ml-i.186214521.7323901834", "https://shopee.co.id/Garnier-Light-Complete-Vitamin-C-Serum-30-ml-i.186214521.7323901834")</f>
        <v>https://shopee.co.id/Garnier-Light-Complete-Vitamin-C-Serum-30-ml-i.186214521.7323901834</v>
      </c>
      <c r="C1987" s="6" t="s">
        <v>74</v>
      </c>
      <c r="D1987" s="6" t="s">
        <v>2293</v>
      </c>
      <c r="E1987" s="6" t="s">
        <v>12</v>
      </c>
      <c r="F1987" s="6" t="s">
        <v>13</v>
      </c>
      <c r="G1987" s="6" t="s">
        <v>61</v>
      </c>
      <c r="H1987" s="8" t="s">
        <v>3064</v>
      </c>
      <c r="I1987" s="9">
        <v>726350.0</v>
      </c>
      <c r="J1987" s="5" t="str">
        <f t="shared" ref="J1987:K1987" si="1987">SUBSTITUTE(H1987, ",", "")</f>
        <v>4</v>
      </c>
      <c r="K1987" s="5" t="str">
        <f t="shared" si="1987"/>
        <v>Rp726350</v>
      </c>
      <c r="L1987" s="5" t="str">
        <f t="shared" si="3"/>
        <v>726350</v>
      </c>
    </row>
    <row r="1988">
      <c r="A1988" s="6" t="s">
        <v>3159</v>
      </c>
      <c r="B1988" s="7" t="str">
        <f>HYPERLINK("https://shopee.co.id/Lysca-Pure-Essence-Skin-Care-With-Korean-Golden-Bell-Extract-100ml-i.267190835.9015016128", "https://shopee.co.id/Lysca-Pure-Essence-Skin-Care-With-Korean-Golden-Bell-Extract-100ml-i.267190835.9015016128")</f>
        <v>https://shopee.co.id/Lysca-Pure-Essence-Skin-Care-With-Korean-Golden-Bell-Extract-100ml-i.267190835.9015016128</v>
      </c>
      <c r="C1988" s="6" t="s">
        <v>2097</v>
      </c>
      <c r="D1988" s="6" t="s">
        <v>2098</v>
      </c>
      <c r="E1988" s="6" t="s">
        <v>12</v>
      </c>
      <c r="F1988" s="6" t="s">
        <v>13</v>
      </c>
      <c r="G1988" s="6" t="s">
        <v>115</v>
      </c>
      <c r="H1988" s="8" t="s">
        <v>3064</v>
      </c>
      <c r="I1988" s="9">
        <v>303940.0</v>
      </c>
      <c r="J1988" s="5" t="str">
        <f t="shared" ref="J1988:K1988" si="1988">SUBSTITUTE(H1988, ",", "")</f>
        <v>4</v>
      </c>
      <c r="K1988" s="5" t="str">
        <f t="shared" si="1988"/>
        <v>Rp303940</v>
      </c>
      <c r="L1988" s="5" t="str">
        <f t="shared" si="3"/>
        <v>303940</v>
      </c>
    </row>
    <row r="1989">
      <c r="A1989" s="6" t="s">
        <v>3160</v>
      </c>
      <c r="B1989" s="7" t="str">
        <f>HYPERLINK("https://shopee.co.id/Aizen-Polyglutamic-Acid-5-Ultra-Ampoule-Serum-Pelembab-Hidrasi-Kulit-Wajah-i.89939211.7175357629", "https://shopee.co.id/Aizen-Polyglutamic-Acid-5-Ultra-Ampoule-Serum-Pelembab-Hidrasi-Kulit-Wajah-i.89939211.7175357629")</f>
        <v>https://shopee.co.id/Aizen-Polyglutamic-Acid-5-Ultra-Ampoule-Serum-Pelembab-Hidrasi-Kulit-Wajah-i.89939211.7175357629</v>
      </c>
      <c r="C1989" s="6" t="s">
        <v>1325</v>
      </c>
      <c r="D1989" s="6" t="s">
        <v>1326</v>
      </c>
      <c r="E1989" s="6" t="s">
        <v>12</v>
      </c>
      <c r="F1989" s="6" t="s">
        <v>13</v>
      </c>
      <c r="G1989" s="6" t="s">
        <v>14</v>
      </c>
      <c r="H1989" s="8" t="s">
        <v>3064</v>
      </c>
      <c r="I1989" s="9">
        <v>176540.0</v>
      </c>
      <c r="J1989" s="5" t="str">
        <f t="shared" ref="J1989:K1989" si="1989">SUBSTITUTE(H1989, ",", "")</f>
        <v>4</v>
      </c>
      <c r="K1989" s="5" t="str">
        <f t="shared" si="1989"/>
        <v>Rp176540</v>
      </c>
      <c r="L1989" s="5" t="str">
        <f t="shared" si="3"/>
        <v>176540</v>
      </c>
    </row>
    <row r="1990">
      <c r="A1990" s="6" t="s">
        <v>3161</v>
      </c>
      <c r="B1990" s="7" t="str">
        <f>HYPERLINK("https://shopee.co.id/Avoskin-Your-Skin-Bae-Hyacross-3-Green-Tea-30ml-i.825870.5083138210", "https://shopee.co.id/Avoskin-Your-Skin-Bae-Hyacross-3-Green-Tea-30ml-i.825870.5083138210")</f>
        <v>https://shopee.co.id/Avoskin-Your-Skin-Bae-Hyacross-3-Green-Tea-30ml-i.825870.5083138210</v>
      </c>
      <c r="C1990" s="6" t="s">
        <v>83</v>
      </c>
      <c r="D1990" s="6" t="s">
        <v>1184</v>
      </c>
      <c r="E1990" s="6" t="s">
        <v>12</v>
      </c>
      <c r="F1990" s="6" t="s">
        <v>13</v>
      </c>
      <c r="G1990" s="6" t="s">
        <v>21</v>
      </c>
      <c r="H1990" s="8" t="s">
        <v>3064</v>
      </c>
      <c r="I1990" s="9">
        <v>362180.0</v>
      </c>
      <c r="J1990" s="5" t="str">
        <f t="shared" ref="J1990:K1990" si="1990">SUBSTITUTE(H1990, ",", "")</f>
        <v>4</v>
      </c>
      <c r="K1990" s="5" t="str">
        <f t="shared" si="1990"/>
        <v>Rp362180</v>
      </c>
      <c r="L1990" s="5" t="str">
        <f t="shared" si="3"/>
        <v>362180</v>
      </c>
    </row>
    <row r="1991">
      <c r="A1991" s="6" t="s">
        <v>3162</v>
      </c>
      <c r="B1991" s="7" t="str">
        <f>HYPERLINK("https://shopee.co.id/Avoskin-YOUR-SKIN-BAE-HYACROSS-3-Green-Tea-Blue-Sky-30ml-30ml-i.30736001.11349100579", "https://shopee.co.id/Avoskin-YOUR-SKIN-BAE-HYACROSS-3-Green-Tea-Blue-Sky-30ml-30ml-i.30736001.11349100579")</f>
        <v>https://shopee.co.id/Avoskin-YOUR-SKIN-BAE-HYACROSS-3-Green-Tea-Blue-Sky-30ml-30ml-i.30736001.11349100579</v>
      </c>
      <c r="C1991" s="6" t="s">
        <v>83</v>
      </c>
      <c r="D1991" s="6" t="s">
        <v>335</v>
      </c>
      <c r="E1991" s="6" t="s">
        <v>12</v>
      </c>
      <c r="F1991" s="6" t="s">
        <v>13</v>
      </c>
      <c r="G1991" s="6" t="s">
        <v>36</v>
      </c>
      <c r="H1991" s="8" t="s">
        <v>3064</v>
      </c>
      <c r="I1991" s="9">
        <v>180000.0</v>
      </c>
      <c r="J1991" s="5" t="str">
        <f t="shared" ref="J1991:K1991" si="1991">SUBSTITUTE(H1991, ",", "")</f>
        <v>4</v>
      </c>
      <c r="K1991" s="5" t="str">
        <f t="shared" si="1991"/>
        <v>Rp180000</v>
      </c>
      <c r="L1991" s="5" t="str">
        <f t="shared" si="3"/>
        <v>180000</v>
      </c>
    </row>
    <row r="1992">
      <c r="A1992" s="6" t="s">
        <v>3163</v>
      </c>
      <c r="B1992" s="7" t="str">
        <f>HYPERLINK("https://shopee.co.id/Hampers-Unik-Kado-Ulang-Tahun-Paket-Skincare-Segersnow-i.221165466.9712210748", "https://shopee.co.id/Hampers-Unik-Kado-Ulang-Tahun-Paket-Skincare-Segersnow-i.221165466.9712210748")</f>
        <v>https://shopee.co.id/Hampers-Unik-Kado-Ulang-Tahun-Paket-Skincare-Segersnow-i.221165466.9712210748</v>
      </c>
      <c r="C1992" s="6" t="s">
        <v>2005</v>
      </c>
      <c r="D1992" s="6" t="s">
        <v>2006</v>
      </c>
      <c r="E1992" s="6" t="s">
        <v>12</v>
      </c>
      <c r="F1992" s="6" t="s">
        <v>13</v>
      </c>
      <c r="G1992" s="6" t="s">
        <v>241</v>
      </c>
      <c r="H1992" s="8" t="s">
        <v>3064</v>
      </c>
      <c r="I1992" s="9">
        <v>345600.0</v>
      </c>
      <c r="J1992" s="5" t="str">
        <f t="shared" ref="J1992:K1992" si="1992">SUBSTITUTE(H1992, ",", "")</f>
        <v>4</v>
      </c>
      <c r="K1992" s="5" t="str">
        <f t="shared" si="1992"/>
        <v>Rp345600</v>
      </c>
      <c r="L1992" s="5" t="str">
        <f t="shared" si="3"/>
        <v>345600</v>
      </c>
    </row>
    <row r="1993">
      <c r="A1993" s="6" t="s">
        <v>3164</v>
      </c>
      <c r="B1993" s="7" t="str">
        <f>HYPERLINK("https://shopee.co.id/BeautieSS-Pore-Treatment-Serum-i.48098269.7851575005", "https://shopee.co.id/BeautieSS-Pore-Treatment-Serum-i.48098269.7851575005")</f>
        <v>https://shopee.co.id/BeautieSS-Pore-Treatment-Serum-i.48098269.7851575005</v>
      </c>
      <c r="C1993" s="6" t="s">
        <v>3165</v>
      </c>
      <c r="D1993" s="6" t="s">
        <v>3166</v>
      </c>
      <c r="E1993" s="6" t="s">
        <v>12</v>
      </c>
      <c r="F1993" s="6" t="s">
        <v>13</v>
      </c>
      <c r="G1993" s="6" t="s">
        <v>241</v>
      </c>
      <c r="H1993" s="8" t="s">
        <v>3064</v>
      </c>
      <c r="I1993" s="9">
        <v>500400.0</v>
      </c>
      <c r="J1993" s="5" t="str">
        <f t="shared" ref="J1993:K1993" si="1993">SUBSTITUTE(H1993, ",", "")</f>
        <v>4</v>
      </c>
      <c r="K1993" s="5" t="str">
        <f t="shared" si="1993"/>
        <v>Rp500400</v>
      </c>
      <c r="L1993" s="5" t="str">
        <f t="shared" si="3"/>
        <v>500400</v>
      </c>
    </row>
    <row r="1994">
      <c r="A1994" s="6" t="s">
        <v>3167</v>
      </c>
      <c r="B1994" s="7" t="str">
        <f>HYPERLINK("https://shopee.co.id/GLOWINC-POTION-MAINTAIN-Nutrient-Skin-Serum-i.487788169.10232265161", "https://shopee.co.id/GLOWINC-POTION-MAINTAIN-Nutrient-Skin-Serum-i.487788169.10232265161")</f>
        <v>https://shopee.co.id/GLOWINC-POTION-MAINTAIN-Nutrient-Skin-Serum-i.487788169.10232265161</v>
      </c>
      <c r="C1994" s="6" t="s">
        <v>1898</v>
      </c>
      <c r="D1994" s="6" t="s">
        <v>1899</v>
      </c>
      <c r="E1994" s="6" t="s">
        <v>12</v>
      </c>
      <c r="F1994" s="6" t="s">
        <v>13</v>
      </c>
      <c r="G1994" s="6" t="s">
        <v>21</v>
      </c>
      <c r="H1994" s="8" t="s">
        <v>3064</v>
      </c>
      <c r="I1994" s="9">
        <v>370260.0</v>
      </c>
      <c r="J1994" s="5" t="str">
        <f t="shared" ref="J1994:K1994" si="1994">SUBSTITUTE(H1994, ",", "")</f>
        <v>4</v>
      </c>
      <c r="K1994" s="5" t="str">
        <f t="shared" si="1994"/>
        <v>Rp370260</v>
      </c>
      <c r="L1994" s="5" t="str">
        <f t="shared" si="3"/>
        <v>370260</v>
      </c>
    </row>
    <row r="1995">
      <c r="A1995" s="6" t="s">
        <v>3168</v>
      </c>
      <c r="B1995" s="7" t="str">
        <f>HYPERLINK("https://shopee.co.id/MEDGLOW-CLINIC-AHA-BHA-PHA-Peeling-Serum-Aesthetic-Skincare-Serum-Regenerasi-Eksfoliasi-Peeling-BPOM-i.285885972.7147587415", "https://shopee.co.id/MEDGLOW-CLINIC-AHA-BHA-PHA-Peeling-Serum-Aesthetic-Skincare-Serum-Regenerasi-Eksfoliasi-Peeling-BPOM-i.285885972.7147587415")</f>
        <v>https://shopee.co.id/MEDGLOW-CLINIC-AHA-BHA-PHA-Peeling-Serum-Aesthetic-Skincare-Serum-Regenerasi-Eksfoliasi-Peeling-BPOM-i.285885972.7147587415</v>
      </c>
      <c r="C1995" s="6" t="s">
        <v>949</v>
      </c>
      <c r="D1995" s="6" t="s">
        <v>950</v>
      </c>
      <c r="E1995" s="6" t="s">
        <v>12</v>
      </c>
      <c r="F1995" s="6" t="s">
        <v>13</v>
      </c>
      <c r="G1995" s="6" t="s">
        <v>380</v>
      </c>
      <c r="H1995" s="8" t="s">
        <v>3064</v>
      </c>
      <c r="I1995" s="9">
        <v>500000.0</v>
      </c>
      <c r="J1995" s="5" t="str">
        <f t="shared" ref="J1995:K1995" si="1995">SUBSTITUTE(H1995, ",", "")</f>
        <v>4</v>
      </c>
      <c r="K1995" s="5" t="str">
        <f t="shared" si="1995"/>
        <v>Rp500000</v>
      </c>
      <c r="L1995" s="5" t="str">
        <f t="shared" si="3"/>
        <v>500000</v>
      </c>
    </row>
    <row r="1996">
      <c r="A1996" s="6" t="s">
        <v>3169</v>
      </c>
      <c r="B1996" s="7" t="str">
        <f>HYPERLINK("https://shopee.co.id/-BPOM-BREYLEE-Serum-Hyaluronic-Acid-Melembabkan-Wajah-17ml--i.324706771.6658158074", "https://shopee.co.id/-BPOM-BREYLEE-Serum-Hyaluronic-Acid-Melembabkan-Wajah-17ml--i.324706771.6658158074")</f>
        <v>https://shopee.co.id/-BPOM-BREYLEE-Serum-Hyaluronic-Acid-Melembabkan-Wajah-17ml--i.324706771.6658158074</v>
      </c>
      <c r="C1996" s="6" t="s">
        <v>852</v>
      </c>
      <c r="D1996" s="6" t="s">
        <v>853</v>
      </c>
      <c r="E1996" s="6" t="s">
        <v>12</v>
      </c>
      <c r="F1996" s="6" t="s">
        <v>13</v>
      </c>
      <c r="G1996" s="6" t="s">
        <v>532</v>
      </c>
      <c r="H1996" s="8" t="s">
        <v>3064</v>
      </c>
      <c r="I1996" s="9">
        <v>500000.0</v>
      </c>
      <c r="J1996" s="5" t="str">
        <f t="shared" ref="J1996:K1996" si="1996">SUBSTITUTE(H1996, ",", "")</f>
        <v>4</v>
      </c>
      <c r="K1996" s="5" t="str">
        <f t="shared" si="1996"/>
        <v>Rp500000</v>
      </c>
      <c r="L1996" s="5" t="str">
        <f t="shared" si="3"/>
        <v>500000</v>
      </c>
    </row>
    <row r="1997">
      <c r="A1997" s="6" t="s">
        <v>3170</v>
      </c>
      <c r="B1997" s="7" t="str">
        <f>HYPERLINK("https://shopee.co.id/-BPOM-BREYLEE-Soothing-Serum-Menenangkan-Kulit-Wajah-17ml--i.324706771.7158325805", "https://shopee.co.id/-BPOM-BREYLEE-Soothing-Serum-Menenangkan-Kulit-Wajah-17ml--i.324706771.7158325805")</f>
        <v>https://shopee.co.id/-BPOM-BREYLEE-Soothing-Serum-Menenangkan-Kulit-Wajah-17ml--i.324706771.7158325805</v>
      </c>
      <c r="C1997" s="6" t="s">
        <v>852</v>
      </c>
      <c r="D1997" s="6" t="s">
        <v>853</v>
      </c>
      <c r="E1997" s="6" t="s">
        <v>12</v>
      </c>
      <c r="F1997" s="6" t="s">
        <v>13</v>
      </c>
      <c r="G1997" s="6" t="s">
        <v>532</v>
      </c>
      <c r="H1997" s="8" t="s">
        <v>3064</v>
      </c>
      <c r="I1997" s="9">
        <v>184800.0</v>
      </c>
      <c r="J1997" s="5" t="str">
        <f t="shared" ref="J1997:K1997" si="1997">SUBSTITUTE(H1997, ",", "")</f>
        <v>4</v>
      </c>
      <c r="K1997" s="5" t="str">
        <f t="shared" si="1997"/>
        <v>Rp184800</v>
      </c>
      <c r="L1997" s="5" t="str">
        <f t="shared" si="3"/>
        <v>184800</v>
      </c>
    </row>
    <row r="1998">
      <c r="A1998" s="6" t="s">
        <v>3171</v>
      </c>
      <c r="B1998" s="7" t="str">
        <f>HYPERLINK("https://shopee.co.id/Nature-Reaction-Crystal-Bright-Serum-Pencerah-Wajah-Penghilang-Bekas-Jerawat-Original-BPOM-Halal-i.375565670.10928137265", "https://shopee.co.id/Nature-Reaction-Crystal-Bright-Serum-Pencerah-Wajah-Penghilang-Bekas-Jerawat-Original-BPOM-Halal-i.375565670.10928137265")</f>
        <v>https://shopee.co.id/Nature-Reaction-Crystal-Bright-Serum-Pencerah-Wajah-Penghilang-Bekas-Jerawat-Original-BPOM-Halal-i.375565670.10928137265</v>
      </c>
      <c r="C1998" s="6" t="s">
        <v>530</v>
      </c>
      <c r="D1998" s="6" t="s">
        <v>531</v>
      </c>
      <c r="E1998" s="6" t="s">
        <v>12</v>
      </c>
      <c r="F1998" s="6" t="s">
        <v>13</v>
      </c>
      <c r="G1998" s="6" t="s">
        <v>532</v>
      </c>
      <c r="H1998" s="8" t="s">
        <v>3064</v>
      </c>
      <c r="I1998" s="9">
        <v>500000.0</v>
      </c>
      <c r="J1998" s="5" t="str">
        <f t="shared" ref="J1998:K1998" si="1998">SUBSTITUTE(H1998, ",", "")</f>
        <v>4</v>
      </c>
      <c r="K1998" s="5" t="str">
        <f t="shared" si="1998"/>
        <v>Rp500000</v>
      </c>
      <c r="L1998" s="5" t="str">
        <f t="shared" si="3"/>
        <v>500000</v>
      </c>
    </row>
    <row r="1999">
      <c r="A1999" s="6" t="s">
        <v>3172</v>
      </c>
      <c r="B1999" s="7" t="str">
        <f>HYPERLINK("https://shopee.co.id/Natur-E-Serum-White-Secret-Pure-Treatment-Essence-100ml-Advance-Anti-Aging-15ml-i.30736001.5537354526", "https://shopee.co.id/Natur-E-Serum-White-Secret-Pure-Treatment-Essence-100ml-Advance-Anti-Aging-15ml-i.30736001.5537354526")</f>
        <v>https://shopee.co.id/Natur-E-Serum-White-Secret-Pure-Treatment-Essence-100ml-Advance-Anti-Aging-15ml-i.30736001.5537354526</v>
      </c>
      <c r="C1999" s="6" t="s">
        <v>849</v>
      </c>
      <c r="D1999" s="6" t="s">
        <v>335</v>
      </c>
      <c r="E1999" s="6" t="s">
        <v>12</v>
      </c>
      <c r="F1999" s="6" t="s">
        <v>13</v>
      </c>
      <c r="G1999" s="6" t="s">
        <v>36</v>
      </c>
      <c r="H1999" s="8" t="s">
        <v>3064</v>
      </c>
      <c r="I1999" s="9">
        <v>320000.0</v>
      </c>
      <c r="J1999" s="5" t="str">
        <f t="shared" ref="J1999:K1999" si="1999">SUBSTITUTE(H1999, ",", "")</f>
        <v>4</v>
      </c>
      <c r="K1999" s="5" t="str">
        <f t="shared" si="1999"/>
        <v>Rp320000</v>
      </c>
      <c r="L1999" s="5" t="str">
        <f t="shared" si="3"/>
        <v>320000</v>
      </c>
    </row>
    <row r="2000">
      <c r="A2000" s="6" t="s">
        <v>3173</v>
      </c>
      <c r="B2000" s="7" t="str">
        <f>HYPERLINK("https://shopee.co.id/Fanbo-Skin-Goals-Acne-Rescue-Serum-i.12057760.11339250262", "https://shopee.co.id/Fanbo-Skin-Goals-Acne-Rescue-Serum-i.12057760.11339250262")</f>
        <v>https://shopee.co.id/Fanbo-Skin-Goals-Acne-Rescue-Serum-i.12057760.11339250262</v>
      </c>
      <c r="C2000" s="6" t="s">
        <v>2376</v>
      </c>
      <c r="D2000" s="6" t="s">
        <v>2377</v>
      </c>
      <c r="E2000" s="6" t="s">
        <v>12</v>
      </c>
      <c r="F2000" s="6" t="s">
        <v>13</v>
      </c>
      <c r="G2000" s="6" t="s">
        <v>21</v>
      </c>
      <c r="H2000" s="8" t="s">
        <v>3064</v>
      </c>
      <c r="I2000" s="9">
        <v>432768.0</v>
      </c>
      <c r="J2000" s="5" t="str">
        <f t="shared" ref="J2000:K2000" si="2000">SUBSTITUTE(H2000, ",", "")</f>
        <v>4</v>
      </c>
      <c r="K2000" s="5" t="str">
        <f t="shared" si="2000"/>
        <v>Rp432768</v>
      </c>
      <c r="L2000" s="5" t="str">
        <f t="shared" si="3"/>
        <v>432768</v>
      </c>
    </row>
    <row r="2001">
      <c r="A2001" s="6" t="s">
        <v>3174</v>
      </c>
      <c r="B2001" s="7" t="str">
        <f>HYPERLINK("https://shopee.co.id/Cosrx-BHA-Blackhead-Power-Liquid-Skin-Care-100ml-i.136011044.3375291776", "https://shopee.co.id/Cosrx-BHA-Blackhead-Power-Liquid-Skin-Care-100ml-i.136011044.3375291776")</f>
        <v>https://shopee.co.id/Cosrx-BHA-Blackhead-Power-Liquid-Skin-Care-100ml-i.136011044.3375291776</v>
      </c>
      <c r="C2001" s="6" t="s">
        <v>305</v>
      </c>
      <c r="D2001" s="6" t="s">
        <v>632</v>
      </c>
      <c r="E2001" s="6" t="s">
        <v>12</v>
      </c>
      <c r="F2001" s="6" t="s">
        <v>13</v>
      </c>
      <c r="G2001" s="6" t="s">
        <v>21</v>
      </c>
      <c r="H2001" s="8" t="s">
        <v>3064</v>
      </c>
      <c r="I2001" s="9">
        <v>320000.0</v>
      </c>
      <c r="J2001" s="5" t="str">
        <f t="shared" ref="J2001:K2001" si="2001">SUBSTITUTE(H2001, ",", "")</f>
        <v>4</v>
      </c>
      <c r="K2001" s="5" t="str">
        <f t="shared" si="2001"/>
        <v>Rp320000</v>
      </c>
      <c r="L2001" s="5" t="str">
        <f t="shared" si="3"/>
        <v>320000</v>
      </c>
    </row>
    <row r="2002">
      <c r="A2002" s="6" t="s">
        <v>3175</v>
      </c>
      <c r="B2002" s="7" t="str">
        <f>HYPERLINK("https://shopee.co.id/AHC-Hyaluronic-Emulsion-Size-100-ml-Edit-by-Sociolla-i.224957239.4145284244", "https://shopee.co.id/AHC-Hyaluronic-Emulsion-Size-100-ml-Edit-by-Sociolla-i.224957239.4145284244")</f>
        <v>https://shopee.co.id/AHC-Hyaluronic-Emulsion-Size-100-ml-Edit-by-Sociolla-i.224957239.4145284244</v>
      </c>
      <c r="C2002" s="6" t="s">
        <v>2053</v>
      </c>
      <c r="D2002" s="6" t="s">
        <v>492</v>
      </c>
      <c r="E2002" s="6" t="s">
        <v>12</v>
      </c>
      <c r="F2002" s="6" t="s">
        <v>13</v>
      </c>
      <c r="G2002" s="6" t="s">
        <v>21</v>
      </c>
      <c r="H2002" s="8" t="s">
        <v>3064</v>
      </c>
      <c r="I2002" s="9">
        <v>759525.0</v>
      </c>
      <c r="J2002" s="5" t="str">
        <f t="shared" ref="J2002:K2002" si="2002">SUBSTITUTE(H2002, ",", "")</f>
        <v>4</v>
      </c>
      <c r="K2002" s="5" t="str">
        <f t="shared" si="2002"/>
        <v>Rp759525</v>
      </c>
      <c r="L2002" s="5" t="str">
        <f t="shared" si="3"/>
        <v>759525</v>
      </c>
    </row>
    <row r="2003">
      <c r="A2003" s="6" t="s">
        <v>3176</v>
      </c>
      <c r="B2003" s="7" t="str">
        <f>HYPERLINK("https://shopee.co.id/THESAEM-Jeju-Fresh-Aloe-Essence-35ml-i.58386356.1715375551", "https://shopee.co.id/THESAEM-Jeju-Fresh-Aloe-Essence-35ml-i.58386356.1715375551")</f>
        <v>https://shopee.co.id/THESAEM-Jeju-Fresh-Aloe-Essence-35ml-i.58386356.1715375551</v>
      </c>
      <c r="C2003" s="6" t="s">
        <v>2339</v>
      </c>
      <c r="D2003" s="6" t="s">
        <v>2340</v>
      </c>
      <c r="E2003" s="6" t="s">
        <v>12</v>
      </c>
      <c r="F2003" s="6" t="s">
        <v>13</v>
      </c>
      <c r="G2003" s="6" t="s">
        <v>21</v>
      </c>
      <c r="H2003" s="8" t="s">
        <v>3064</v>
      </c>
      <c r="I2003" s="9">
        <v>9480000.0</v>
      </c>
      <c r="J2003" s="5" t="str">
        <f t="shared" ref="J2003:K2003" si="2003">SUBSTITUTE(H2003, ",", "")</f>
        <v>4</v>
      </c>
      <c r="K2003" s="5" t="str">
        <f t="shared" si="2003"/>
        <v>Rp9480000</v>
      </c>
      <c r="L2003" s="5" t="str">
        <f t="shared" si="3"/>
        <v>9480000</v>
      </c>
    </row>
    <row r="2004">
      <c r="A2004" s="6" t="s">
        <v>3177</v>
      </c>
      <c r="B2004" s="7" t="str">
        <f>HYPERLINK("https://shopee.co.id/L-Oreal-Paris-Pro-Youth-Face-Mask-Skin-Care-Untuk-Kulit-Kencang-Sebening-Kristal-Bundle-Set-3-i.62579622.6932632222", "https://shopee.co.id/L-Oreal-Paris-Pro-Youth-Face-Mask-Skin-Care-Untuk-Kulit-Kencang-Sebening-Kristal-Bundle-Set-3-i.62579622.6932632222")</f>
        <v>https://shopee.co.id/L-Oreal-Paris-Pro-Youth-Face-Mask-Skin-Care-Untuk-Kulit-Kencang-Sebening-Kristal-Bundle-Set-3-i.62579622.6932632222</v>
      </c>
      <c r="C2004" s="6" t="s">
        <v>105</v>
      </c>
      <c r="D2004" s="6" t="s">
        <v>106</v>
      </c>
      <c r="E2004" s="6" t="s">
        <v>12</v>
      </c>
      <c r="F2004" s="6" t="s">
        <v>13</v>
      </c>
      <c r="G2004" s="6" t="s">
        <v>61</v>
      </c>
      <c r="H2004" s="8" t="s">
        <v>3064</v>
      </c>
      <c r="I2004" s="9">
        <v>6520000.0</v>
      </c>
      <c r="J2004" s="5" t="str">
        <f t="shared" ref="J2004:K2004" si="2004">SUBSTITUTE(H2004, ",", "")</f>
        <v>4</v>
      </c>
      <c r="K2004" s="5" t="str">
        <f t="shared" si="2004"/>
        <v>Rp6520000</v>
      </c>
      <c r="L2004" s="5" t="str">
        <f t="shared" si="3"/>
        <v>6520000</v>
      </c>
    </row>
    <row r="2005">
      <c r="A2005" s="6" t="s">
        <v>3178</v>
      </c>
      <c r="B2005" s="7" t="str">
        <f>HYPERLINK("https://shopee.co.id/Dermacept-RX-VC-15-Serum-10ml-i.10689.1098359204", "https://shopee.co.id/Dermacept-RX-VC-15-Serum-10ml-i.10689.1098359204")</f>
        <v>https://shopee.co.id/Dermacept-RX-VC-15-Serum-10ml-i.10689.1098359204</v>
      </c>
      <c r="C2005" s="6" t="s">
        <v>2279</v>
      </c>
      <c r="D2005" s="6" t="s">
        <v>745</v>
      </c>
      <c r="E2005" s="6" t="s">
        <v>12</v>
      </c>
      <c r="F2005" s="6" t="s">
        <v>13</v>
      </c>
      <c r="G2005" s="6" t="s">
        <v>61</v>
      </c>
      <c r="H2005" s="8" t="s">
        <v>3064</v>
      </c>
      <c r="I2005" s="9">
        <v>1738000.0</v>
      </c>
      <c r="J2005" s="5" t="str">
        <f t="shared" ref="J2005:K2005" si="2005">SUBSTITUTE(H2005, ",", "")</f>
        <v>4</v>
      </c>
      <c r="K2005" s="5" t="str">
        <f t="shared" si="2005"/>
        <v>Rp1738000</v>
      </c>
      <c r="L2005" s="5" t="str">
        <f t="shared" si="3"/>
        <v>1738000</v>
      </c>
    </row>
    <row r="2006">
      <c r="A2006" s="6" t="s">
        <v>3179</v>
      </c>
      <c r="B2006" s="7" t="str">
        <f>HYPERLINK("https://shopee.co.id/dr-Ekle-s-Skincare-Vitamin-C-Serum-i.294944553.4146379012", "https://shopee.co.id/dr-Ekle-s-Skincare-Vitamin-C-Serum-i.294944553.4146379012")</f>
        <v>https://shopee.co.id/dr-Ekle-s-Skincare-Vitamin-C-Serum-i.294944553.4146379012</v>
      </c>
      <c r="C2006" s="6" t="s">
        <v>1487</v>
      </c>
      <c r="D2006" s="6" t="s">
        <v>1488</v>
      </c>
      <c r="E2006" s="6" t="s">
        <v>12</v>
      </c>
      <c r="F2006" s="6" t="s">
        <v>13</v>
      </c>
      <c r="G2006" s="6" t="s">
        <v>61</v>
      </c>
      <c r="H2006" s="8" t="s">
        <v>3064</v>
      </c>
      <c r="I2006" s="9">
        <v>2420000.0</v>
      </c>
      <c r="J2006" s="5" t="str">
        <f t="shared" ref="J2006:K2006" si="2006">SUBSTITUTE(H2006, ",", "")</f>
        <v>4</v>
      </c>
      <c r="K2006" s="5" t="str">
        <f t="shared" si="2006"/>
        <v>Rp2420000</v>
      </c>
      <c r="L2006" s="5" t="str">
        <f t="shared" si="3"/>
        <v>2420000</v>
      </c>
    </row>
    <row r="2007">
      <c r="A2007" s="6" t="s">
        <v>3180</v>
      </c>
      <c r="B2007" s="7" t="str">
        <f>HYPERLINK("https://shopee.co.id/-The-Face-Shop-Yehwadam-Plum-Flower-Revitalizing-Serum-25ml-i.34671748.9268203445", "https://shopee.co.id/-The-Face-Shop-Yehwadam-Plum-Flower-Revitalizing-Serum-25ml-i.34671748.9268203445")</f>
        <v>https://shopee.co.id/-The-Face-Shop-Yehwadam-Plum-Flower-Revitalizing-Serum-25ml-i.34671748.9268203445</v>
      </c>
      <c r="C2007" s="6" t="s">
        <v>1217</v>
      </c>
      <c r="D2007" s="6" t="s">
        <v>1218</v>
      </c>
      <c r="E2007" s="6" t="s">
        <v>12</v>
      </c>
      <c r="F2007" s="6" t="s">
        <v>13</v>
      </c>
      <c r="G2007" s="6" t="s">
        <v>61</v>
      </c>
      <c r="H2007" s="8" t="s">
        <v>3064</v>
      </c>
      <c r="I2007" s="9">
        <v>396000.0</v>
      </c>
      <c r="J2007" s="5" t="str">
        <f t="shared" ref="J2007:K2007" si="2007">SUBSTITUTE(H2007, ",", "")</f>
        <v>4</v>
      </c>
      <c r="K2007" s="5" t="str">
        <f t="shared" si="2007"/>
        <v>Rp396000</v>
      </c>
      <c r="L2007" s="5" t="str">
        <f t="shared" si="3"/>
        <v>396000</v>
      </c>
    </row>
    <row r="2008">
      <c r="A2008" s="6" t="s">
        <v>3181</v>
      </c>
      <c r="B2008" s="7" t="str">
        <f>HYPERLINK("https://shopee.co.id/Skin-Game-Acne-Combat-Serum-30gr-i.50948181.9684991189", "https://shopee.co.id/Skin-Game-Acne-Combat-Serum-30gr-i.50948181.9684991189")</f>
        <v>https://shopee.co.id/Skin-Game-Acne-Combat-Serum-30gr-i.50948181.9684991189</v>
      </c>
      <c r="C2008" s="6" t="s">
        <v>523</v>
      </c>
      <c r="D2008" s="6" t="s">
        <v>1129</v>
      </c>
      <c r="E2008" s="6" t="s">
        <v>12</v>
      </c>
      <c r="F2008" s="6" t="s">
        <v>13</v>
      </c>
      <c r="G2008" s="6" t="s">
        <v>1130</v>
      </c>
      <c r="H2008" s="8" t="s">
        <v>3064</v>
      </c>
      <c r="I2008" s="9">
        <v>498150.0</v>
      </c>
      <c r="J2008" s="5" t="str">
        <f t="shared" ref="J2008:K2008" si="2008">SUBSTITUTE(H2008, ",", "")</f>
        <v>4</v>
      </c>
      <c r="K2008" s="5" t="str">
        <f t="shared" si="2008"/>
        <v>Rp498150</v>
      </c>
      <c r="L2008" s="5" t="str">
        <f t="shared" si="3"/>
        <v>498150</v>
      </c>
    </row>
    <row r="2009">
      <c r="A2009" s="6" t="s">
        <v>3182</v>
      </c>
      <c r="B2009" s="7" t="str">
        <f>HYPERLINK("https://shopee.co.id/NATURE-REPUBLIC-Collagen-Dream-70-Essence-i.78838801.2161931543", "https://shopee.co.id/NATURE-REPUBLIC-Collagen-Dream-70-Essence-i.78838801.2161931543")</f>
        <v>https://shopee.co.id/NATURE-REPUBLIC-Collagen-Dream-70-Essence-i.78838801.2161931543</v>
      </c>
      <c r="C2009" s="6" t="s">
        <v>1079</v>
      </c>
      <c r="D2009" s="6" t="s">
        <v>1080</v>
      </c>
      <c r="E2009" s="6" t="s">
        <v>12</v>
      </c>
      <c r="F2009" s="6" t="s">
        <v>13</v>
      </c>
      <c r="G2009" s="6" t="s">
        <v>532</v>
      </c>
      <c r="H2009" s="8" t="s">
        <v>3064</v>
      </c>
      <c r="I2009" s="9">
        <v>47600.0</v>
      </c>
      <c r="J2009" s="5" t="str">
        <f t="shared" ref="J2009:K2009" si="2009">SUBSTITUTE(H2009, ",", "")</f>
        <v>4</v>
      </c>
      <c r="K2009" s="5" t="str">
        <f t="shared" si="2009"/>
        <v>Rp47600</v>
      </c>
      <c r="L2009" s="5" t="str">
        <f t="shared" si="3"/>
        <v>47600</v>
      </c>
    </row>
    <row r="2010">
      <c r="A2010" s="6" t="s">
        <v>3183</v>
      </c>
      <c r="B2010" s="7" t="str">
        <f>HYPERLINK("https://shopee.co.id/The-Aubree-Centella-Herb-Serum-30ml-i.136011044.9512850486", "https://shopee.co.id/The-Aubree-Centella-Herb-Serum-30ml-i.136011044.9512850486")</f>
        <v>https://shopee.co.id/The-Aubree-Centella-Herb-Serum-30ml-i.136011044.9512850486</v>
      </c>
      <c r="C2010" s="6" t="s">
        <v>772</v>
      </c>
      <c r="D2010" s="6" t="s">
        <v>632</v>
      </c>
      <c r="E2010" s="6" t="s">
        <v>12</v>
      </c>
      <c r="F2010" s="6" t="s">
        <v>13</v>
      </c>
      <c r="G2010" s="6" t="s">
        <v>21</v>
      </c>
      <c r="H2010" s="8" t="s">
        <v>3064</v>
      </c>
      <c r="I2010" s="9">
        <v>47600.0</v>
      </c>
      <c r="J2010" s="5" t="str">
        <f t="shared" ref="J2010:K2010" si="2010">SUBSTITUTE(H2010, ",", "")</f>
        <v>4</v>
      </c>
      <c r="K2010" s="5" t="str">
        <f t="shared" si="2010"/>
        <v>Rp47600</v>
      </c>
      <c r="L2010" s="5" t="str">
        <f t="shared" si="3"/>
        <v>47600</v>
      </c>
    </row>
    <row r="2011">
      <c r="A2011" s="6" t="s">
        <v>2645</v>
      </c>
      <c r="B2011" s="7" t="str">
        <f>HYPERLINK("https://shopee.co.id/GLOWINC-POTION-FOREVER-Pro-Youth-Serum-i.68111.9990618151", "https://shopee.co.id/GLOWINC-POTION-FOREVER-Pro-Youth-Serum-i.68111.9990618151")</f>
        <v>https://shopee.co.id/GLOWINC-POTION-FOREVER-Pro-Youth-Serum-i.68111.9990618151</v>
      </c>
      <c r="C2011" s="6" t="s">
        <v>1898</v>
      </c>
      <c r="D2011" s="6" t="s">
        <v>441</v>
      </c>
      <c r="E2011" s="6" t="s">
        <v>12</v>
      </c>
      <c r="F2011" s="6" t="s">
        <v>13</v>
      </c>
      <c r="G2011" s="6" t="s">
        <v>130</v>
      </c>
      <c r="H2011" s="8" t="s">
        <v>3064</v>
      </c>
      <c r="I2011" s="9">
        <v>893000.0</v>
      </c>
      <c r="J2011" s="5" t="str">
        <f t="shared" ref="J2011:K2011" si="2011">SUBSTITUTE(H2011, ",", "")</f>
        <v>4</v>
      </c>
      <c r="K2011" s="5" t="str">
        <f t="shared" si="2011"/>
        <v>Rp893000</v>
      </c>
      <c r="L2011" s="5" t="str">
        <f t="shared" si="3"/>
        <v>893000</v>
      </c>
    </row>
    <row r="2012">
      <c r="A2012" s="6" t="s">
        <v>3184</v>
      </c>
      <c r="B2012" s="7" t="str">
        <f>HYPERLINK("https://shopee.co.id/Tuesbelle-SOMETHINC-Bakuchiol-Skinpair-Oil-Serum-20ml-i.36872574.9809740270", "https://shopee.co.id/Tuesbelle-SOMETHINC-Bakuchiol-Skinpair-Oil-Serum-20ml-i.36872574.9809740270")</f>
        <v>https://shopee.co.id/Tuesbelle-SOMETHINC-Bakuchiol-Skinpair-Oil-Serum-20ml-i.36872574.9809740270</v>
      </c>
      <c r="C2012" s="6" t="s">
        <v>45</v>
      </c>
      <c r="D2012" s="6" t="s">
        <v>969</v>
      </c>
      <c r="E2012" s="6" t="s">
        <v>12</v>
      </c>
      <c r="F2012" s="6" t="s">
        <v>13</v>
      </c>
      <c r="G2012" s="6" t="s">
        <v>115</v>
      </c>
      <c r="H2012" s="8" t="s">
        <v>3064</v>
      </c>
      <c r="I2012" s="9">
        <v>462000.0</v>
      </c>
      <c r="J2012" s="5" t="str">
        <f t="shared" ref="J2012:K2012" si="2012">SUBSTITUTE(H2012, ",", "")</f>
        <v>4</v>
      </c>
      <c r="K2012" s="5" t="str">
        <f t="shared" si="2012"/>
        <v>Rp462000</v>
      </c>
      <c r="L2012" s="5" t="str">
        <f t="shared" si="3"/>
        <v>462000</v>
      </c>
    </row>
    <row r="2013">
      <c r="A2013" s="6" t="s">
        <v>3185</v>
      </c>
      <c r="B2013" s="7" t="str">
        <f>HYPERLINK("https://shopee.co.id/Bhumi-Acid-Complex-Clearing-Serum-30ml-i.825870.6903974687", "https://shopee.co.id/Bhumi-Acid-Complex-Clearing-Serum-30ml-i.825870.6903974687")</f>
        <v>https://shopee.co.id/Bhumi-Acid-Complex-Clearing-Serum-30ml-i.825870.6903974687</v>
      </c>
      <c r="C2013" s="6" t="s">
        <v>753</v>
      </c>
      <c r="D2013" s="6" t="s">
        <v>1184</v>
      </c>
      <c r="E2013" s="6" t="s">
        <v>12</v>
      </c>
      <c r="F2013" s="6" t="s">
        <v>13</v>
      </c>
      <c r="G2013" s="6" t="s">
        <v>21</v>
      </c>
      <c r="H2013" s="8" t="s">
        <v>3064</v>
      </c>
      <c r="I2013" s="9">
        <v>596000.0</v>
      </c>
      <c r="J2013" s="5" t="str">
        <f t="shared" ref="J2013:K2013" si="2013">SUBSTITUTE(H2013, ",", "")</f>
        <v>4</v>
      </c>
      <c r="K2013" s="5" t="str">
        <f t="shared" si="2013"/>
        <v>Rp596000</v>
      </c>
      <c r="L2013" s="5" t="str">
        <f t="shared" si="3"/>
        <v>596000</v>
      </c>
    </row>
    <row r="2014">
      <c r="A2014" s="6" t="s">
        <v>3186</v>
      </c>
      <c r="B2014" s="7" t="str">
        <f>HYPERLINK("https://shopee.co.id/Aknema-BHA-HA-Serum-20ml--i.10689.3127178401", "https://shopee.co.id/Aknema-BHA-HA-Serum-20ml--i.10689.3127178401")</f>
        <v>https://shopee.co.id/Aknema-BHA-HA-Serum-20ml--i.10689.3127178401</v>
      </c>
      <c r="C2014" s="6" t="s">
        <v>1912</v>
      </c>
      <c r="D2014" s="6" t="s">
        <v>745</v>
      </c>
      <c r="E2014" s="6" t="s">
        <v>12</v>
      </c>
      <c r="F2014" s="6" t="s">
        <v>13</v>
      </c>
      <c r="G2014" s="6" t="s">
        <v>61</v>
      </c>
      <c r="H2014" s="8" t="s">
        <v>3064</v>
      </c>
      <c r="I2014" s="9">
        <v>744260.0</v>
      </c>
      <c r="J2014" s="5" t="str">
        <f t="shared" ref="J2014:K2014" si="2014">SUBSTITUTE(H2014, ",", "")</f>
        <v>4</v>
      </c>
      <c r="K2014" s="5" t="str">
        <f t="shared" si="2014"/>
        <v>Rp744260</v>
      </c>
      <c r="L2014" s="5" t="str">
        <f t="shared" si="3"/>
        <v>744260</v>
      </c>
    </row>
    <row r="2015">
      <c r="A2015" s="6" t="s">
        <v>3187</v>
      </c>
      <c r="B2015" s="7" t="str">
        <f>HYPERLINK("https://shopee.co.id/Bio-Beauty-Lab-Phyto-Power-Essence-50ml-i.136011044.10501202112", "https://shopee.co.id/Bio-Beauty-Lab-Phyto-Power-Essence-50ml-i.136011044.10501202112")</f>
        <v>https://shopee.co.id/Bio-Beauty-Lab-Phyto-Power-Essence-50ml-i.136011044.10501202112</v>
      </c>
      <c r="C2015" s="6" t="s">
        <v>120</v>
      </c>
      <c r="D2015" s="6" t="s">
        <v>632</v>
      </c>
      <c r="E2015" s="6" t="s">
        <v>12</v>
      </c>
      <c r="F2015" s="6" t="s">
        <v>13</v>
      </c>
      <c r="G2015" s="6" t="s">
        <v>21</v>
      </c>
      <c r="H2015" s="8" t="s">
        <v>3064</v>
      </c>
      <c r="I2015" s="9">
        <v>1786000.0</v>
      </c>
      <c r="J2015" s="5" t="str">
        <f t="shared" ref="J2015:K2015" si="2015">SUBSTITUTE(H2015, ",", "")</f>
        <v>4</v>
      </c>
      <c r="K2015" s="5" t="str">
        <f t="shared" si="2015"/>
        <v>Rp1786000</v>
      </c>
      <c r="L2015" s="5" t="str">
        <f t="shared" si="3"/>
        <v>1786000</v>
      </c>
    </row>
    <row r="2016">
      <c r="A2016" s="6" t="s">
        <v>3188</v>
      </c>
      <c r="B2016" s="7" t="str">
        <f>HYPERLINK("https://shopee.co.id/Lolane-Intense-Care-Leave-in-Hyaluronic-Serum-i.80747886.1477184923", "https://shopee.co.id/Lolane-Intense-Care-Leave-in-Hyaluronic-Serum-i.80747886.1477184923")</f>
        <v>https://shopee.co.id/Lolane-Intense-Care-Leave-in-Hyaluronic-Serum-i.80747886.1477184923</v>
      </c>
      <c r="C2016" s="6" t="s">
        <v>3189</v>
      </c>
      <c r="D2016" s="6" t="s">
        <v>3190</v>
      </c>
      <c r="E2016" s="6" t="s">
        <v>12</v>
      </c>
      <c r="F2016" s="6" t="s">
        <v>13</v>
      </c>
      <c r="G2016" s="6" t="s">
        <v>296</v>
      </c>
      <c r="H2016" s="8" t="s">
        <v>3064</v>
      </c>
      <c r="I2016" s="9">
        <v>7800000.0</v>
      </c>
      <c r="J2016" s="5" t="str">
        <f t="shared" ref="J2016:K2016" si="2016">SUBSTITUTE(H2016, ",", "")</f>
        <v>4</v>
      </c>
      <c r="K2016" s="5" t="str">
        <f t="shared" si="2016"/>
        <v>Rp7800000</v>
      </c>
      <c r="L2016" s="5" t="str">
        <f t="shared" si="3"/>
        <v>7800000</v>
      </c>
    </row>
    <row r="2017">
      <c r="A2017" s="6" t="s">
        <v>3191</v>
      </c>
      <c r="B2017" s="7" t="str">
        <f>HYPERLINK("https://shopee.co.id/Elshe-Skin-Smoothing-Serum-For-Acne-Skin-20ml-i.68111.1373016107", "https://shopee.co.id/Elshe-Skin-Smoothing-Serum-For-Acne-Skin-20ml-i.68111.1373016107")</f>
        <v>https://shopee.co.id/Elshe-Skin-Smoothing-Serum-For-Acne-Skin-20ml-i.68111.1373016107</v>
      </c>
      <c r="C2017" s="6" t="s">
        <v>135</v>
      </c>
      <c r="D2017" s="6" t="s">
        <v>441</v>
      </c>
      <c r="E2017" s="6" t="s">
        <v>12</v>
      </c>
      <c r="F2017" s="6" t="s">
        <v>13</v>
      </c>
      <c r="G2017" s="6" t="s">
        <v>130</v>
      </c>
      <c r="H2017" s="8" t="s">
        <v>3064</v>
      </c>
      <c r="I2017" s="9">
        <v>5923700.0</v>
      </c>
      <c r="J2017" s="5" t="str">
        <f t="shared" ref="J2017:K2017" si="2017">SUBSTITUTE(H2017, ",", "")</f>
        <v>4</v>
      </c>
      <c r="K2017" s="5" t="str">
        <f t="shared" si="2017"/>
        <v>Rp5923700</v>
      </c>
      <c r="L2017" s="5" t="str">
        <f t="shared" si="3"/>
        <v>5923700</v>
      </c>
    </row>
    <row r="2018">
      <c r="A2018" s="6" t="s">
        <v>3192</v>
      </c>
      <c r="B2018" s="7" t="str">
        <f>HYPERLINK("https://shopee.co.id/Wardah-C-Defense-Serum-17-ml-i.186214521.4004533130", "https://shopee.co.id/Wardah-C-Defense-Serum-17-ml-i.186214521.4004533130")</f>
        <v>https://shopee.co.id/Wardah-C-Defense-Serum-17-ml-i.186214521.4004533130</v>
      </c>
      <c r="C2018" s="6" t="s">
        <v>169</v>
      </c>
      <c r="D2018" s="6" t="s">
        <v>2293</v>
      </c>
      <c r="E2018" s="6" t="s">
        <v>12</v>
      </c>
      <c r="F2018" s="6" t="s">
        <v>13</v>
      </c>
      <c r="G2018" s="6" t="s">
        <v>61</v>
      </c>
      <c r="H2018" s="8" t="s">
        <v>3064</v>
      </c>
      <c r="I2018" s="9">
        <v>384400.0</v>
      </c>
      <c r="J2018" s="5" t="str">
        <f t="shared" ref="J2018:K2018" si="2018">SUBSTITUTE(H2018, ",", "")</f>
        <v>4</v>
      </c>
      <c r="K2018" s="5" t="str">
        <f t="shared" si="2018"/>
        <v>Rp384400</v>
      </c>
      <c r="L2018" s="5" t="str">
        <f t="shared" si="3"/>
        <v>384400</v>
      </c>
    </row>
    <row r="2019">
      <c r="A2019" s="6" t="s">
        <v>3193</v>
      </c>
      <c r="B2019" s="7" t="str">
        <f>HYPERLINK("https://shopee.co.id/SKEYNDOR-Pore-Refining-Serum-i.241089883.3652451189", "https://shopee.co.id/SKEYNDOR-Pore-Refining-Serum-i.241089883.3652451189")</f>
        <v>https://shopee.co.id/SKEYNDOR-Pore-Refining-Serum-i.241089883.3652451189</v>
      </c>
      <c r="C2019" s="6" t="s">
        <v>2215</v>
      </c>
      <c r="D2019" s="6" t="s">
        <v>2216</v>
      </c>
      <c r="E2019" s="6" t="s">
        <v>12</v>
      </c>
      <c r="F2019" s="6" t="s">
        <v>13</v>
      </c>
      <c r="G2019" s="6" t="s">
        <v>21</v>
      </c>
      <c r="H2019" s="8" t="s">
        <v>3064</v>
      </c>
      <c r="I2019" s="9">
        <v>356400.0</v>
      </c>
      <c r="J2019" s="5" t="str">
        <f t="shared" ref="J2019:K2019" si="2019">SUBSTITUTE(H2019, ",", "")</f>
        <v>4</v>
      </c>
      <c r="K2019" s="5" t="str">
        <f t="shared" si="2019"/>
        <v>Rp356400</v>
      </c>
      <c r="L2019" s="5" t="str">
        <f t="shared" si="3"/>
        <v>356400</v>
      </c>
    </row>
    <row r="2020">
      <c r="A2020" s="6" t="s">
        <v>3194</v>
      </c>
      <c r="B2020" s="7" t="str">
        <f>HYPERLINK("https://shopee.co.id/MSBB-N-Pure-Cica-Face-Essence-i.288588702.6263273050", "https://shopee.co.id/MSBB-N-Pure-Cica-Face-Essence-i.288588702.6263273050")</f>
        <v>https://shopee.co.id/MSBB-N-Pure-Cica-Face-Essence-i.288588702.6263273050</v>
      </c>
      <c r="C2020" s="6" t="s">
        <v>78</v>
      </c>
      <c r="D2020" s="6" t="s">
        <v>79</v>
      </c>
      <c r="E2020" s="6" t="s">
        <v>12</v>
      </c>
      <c r="F2020" s="6" t="s">
        <v>13</v>
      </c>
      <c r="G2020" s="6" t="s">
        <v>80</v>
      </c>
      <c r="H2020" s="8" t="s">
        <v>3064</v>
      </c>
      <c r="I2020" s="9">
        <v>356400.0</v>
      </c>
      <c r="J2020" s="5" t="str">
        <f t="shared" ref="J2020:K2020" si="2020">SUBSTITUTE(H2020, ",", "")</f>
        <v>4</v>
      </c>
      <c r="K2020" s="5" t="str">
        <f t="shared" si="2020"/>
        <v>Rp356400</v>
      </c>
      <c r="L2020" s="5" t="str">
        <f t="shared" si="3"/>
        <v>356400</v>
      </c>
    </row>
    <row r="2021">
      <c r="A2021" s="6" t="s">
        <v>3195</v>
      </c>
      <c r="B2021" s="7" t="str">
        <f>HYPERLINK("https://shopee.co.id/MSBB-Votre-Peau-Skin-Care-Vitamin-C-Serum-30ml-i.288588702.8420376324", "https://shopee.co.id/MSBB-Votre-Peau-Skin-Care-Vitamin-C-Serum-30ml-i.288588702.8420376324")</f>
        <v>https://shopee.co.id/MSBB-Votre-Peau-Skin-Care-Vitamin-C-Serum-30ml-i.288588702.8420376324</v>
      </c>
      <c r="C2021" s="6" t="s">
        <v>999</v>
      </c>
      <c r="D2021" s="6" t="s">
        <v>79</v>
      </c>
      <c r="E2021" s="6" t="s">
        <v>12</v>
      </c>
      <c r="F2021" s="6" t="s">
        <v>13</v>
      </c>
      <c r="G2021" s="6" t="s">
        <v>80</v>
      </c>
      <c r="H2021" s="8" t="s">
        <v>3064</v>
      </c>
      <c r="I2021" s="9">
        <v>382800.0</v>
      </c>
      <c r="J2021" s="5" t="str">
        <f t="shared" ref="J2021:K2021" si="2021">SUBSTITUTE(H2021, ",", "")</f>
        <v>4</v>
      </c>
      <c r="K2021" s="5" t="str">
        <f t="shared" si="2021"/>
        <v>Rp382800</v>
      </c>
      <c r="L2021" s="5" t="str">
        <f t="shared" si="3"/>
        <v>382800</v>
      </c>
    </row>
    <row r="2022">
      <c r="A2022" s="6" t="s">
        <v>3196</v>
      </c>
      <c r="B2022" s="7" t="str">
        <f>HYPERLINK("https://shopee.co.id/-BPOM-LANBENA-Serum-Treatment-A-2pcs--i.397732085.9178854831", "https://shopee.co.id/-BPOM-LANBENA-Serum-Treatment-A-2pcs--i.397732085.9178854831")</f>
        <v>https://shopee.co.id/-BPOM-LANBENA-Serum-Treatment-A-2pcs--i.397732085.9178854831</v>
      </c>
      <c r="C2022" s="6" t="s">
        <v>1427</v>
      </c>
      <c r="D2022" s="6" t="s">
        <v>1428</v>
      </c>
      <c r="E2022" s="6" t="s">
        <v>12</v>
      </c>
      <c r="F2022" s="6" t="s">
        <v>13</v>
      </c>
      <c r="G2022" s="6" t="s">
        <v>532</v>
      </c>
      <c r="H2022" s="8" t="s">
        <v>3064</v>
      </c>
      <c r="I2022" s="9">
        <v>996000.0</v>
      </c>
      <c r="J2022" s="5" t="str">
        <f t="shared" ref="J2022:K2022" si="2022">SUBSTITUTE(H2022, ",", "")</f>
        <v>4</v>
      </c>
      <c r="K2022" s="5" t="str">
        <f t="shared" si="2022"/>
        <v>Rp996000</v>
      </c>
      <c r="L2022" s="5" t="str">
        <f t="shared" si="3"/>
        <v>996000</v>
      </c>
    </row>
    <row r="2023">
      <c r="A2023" s="6" t="s">
        <v>3197</v>
      </c>
      <c r="B2023" s="7" t="str">
        <f>HYPERLINK("https://shopee.co.id/THE-POTIONS-Vitamin-B12-Ampoule-20ml-i.379239733.7478489685", "https://shopee.co.id/THE-POTIONS-Vitamin-B12-Ampoule-20ml-i.379239733.7478489685")</f>
        <v>https://shopee.co.id/THE-POTIONS-Vitamin-B12-Ampoule-20ml-i.379239733.7478489685</v>
      </c>
      <c r="C2023" s="6" t="s">
        <v>2245</v>
      </c>
      <c r="D2023" s="6" t="s">
        <v>2246</v>
      </c>
      <c r="E2023" s="6" t="s">
        <v>12</v>
      </c>
      <c r="F2023" s="6" t="s">
        <v>13</v>
      </c>
      <c r="G2023" s="6" t="s">
        <v>130</v>
      </c>
      <c r="H2023" s="8" t="s">
        <v>3064</v>
      </c>
      <c r="I2023" s="9">
        <v>916000.0</v>
      </c>
      <c r="J2023" s="5" t="str">
        <f t="shared" ref="J2023:K2023" si="2023">SUBSTITUTE(H2023, ",", "")</f>
        <v>4</v>
      </c>
      <c r="K2023" s="5" t="str">
        <f t="shared" si="2023"/>
        <v>Rp916000</v>
      </c>
      <c r="L2023" s="5" t="str">
        <f t="shared" si="3"/>
        <v>916000</v>
      </c>
    </row>
    <row r="2024">
      <c r="A2024" s="6" t="s">
        <v>3198</v>
      </c>
      <c r="B2024" s="7" t="str">
        <f>HYPERLINK("https://shopee.co.id/Mila-D-opiz-Ampoule-Vitamin-C-5ml-Miladopiz-i.322619273.4957974041", "https://shopee.co.id/Mila-D-opiz-Ampoule-Vitamin-C-5ml-Miladopiz-i.322619273.4957974041")</f>
        <v>https://shopee.co.id/Mila-D-opiz-Ampoule-Vitamin-C-5ml-Miladopiz-i.322619273.4957974041</v>
      </c>
      <c r="C2024" s="6" t="s">
        <v>2182</v>
      </c>
      <c r="D2024" s="6" t="s">
        <v>2183</v>
      </c>
      <c r="E2024" s="6" t="s">
        <v>12</v>
      </c>
      <c r="F2024" s="6" t="s">
        <v>13</v>
      </c>
      <c r="G2024" s="6" t="s">
        <v>469</v>
      </c>
      <c r="H2024" s="8" t="s">
        <v>3064</v>
      </c>
      <c r="I2024" s="9">
        <v>644000.0</v>
      </c>
      <c r="J2024" s="5" t="str">
        <f t="shared" ref="J2024:K2024" si="2024">SUBSTITUTE(H2024, ",", "")</f>
        <v>4</v>
      </c>
      <c r="K2024" s="5" t="str">
        <f t="shared" si="2024"/>
        <v>Rp644000</v>
      </c>
      <c r="L2024" s="5" t="str">
        <f t="shared" si="3"/>
        <v>644000</v>
      </c>
    </row>
    <row r="2025">
      <c r="A2025" s="6" t="s">
        <v>3199</v>
      </c>
      <c r="B2025" s="7" t="str">
        <f>HYPERLINK("https://shopee.co.id/AGE20-S-Jericho-Rose-Essence-Cover-Pact-Triple-Rose-i.227589586.8765526984", "https://shopee.co.id/AGE20-S-Jericho-Rose-Essence-Cover-Pact-Triple-Rose-i.227589586.8765526984")</f>
        <v>https://shopee.co.id/AGE20-S-Jericho-Rose-Essence-Cover-Pact-Triple-Rose-i.227589586.8765526984</v>
      </c>
      <c r="C2025" s="6" t="s">
        <v>3200</v>
      </c>
      <c r="D2025" s="6" t="s">
        <v>3201</v>
      </c>
      <c r="E2025" s="6" t="s">
        <v>12</v>
      </c>
      <c r="F2025" s="6" t="s">
        <v>13</v>
      </c>
      <c r="G2025" s="6" t="s">
        <v>98</v>
      </c>
      <c r="H2025" s="8" t="s">
        <v>3064</v>
      </c>
      <c r="I2025" s="9">
        <v>599850.0</v>
      </c>
      <c r="J2025" s="5" t="str">
        <f t="shared" ref="J2025:K2025" si="2025">SUBSTITUTE(H2025, ",", "")</f>
        <v>4</v>
      </c>
      <c r="K2025" s="5" t="str">
        <f t="shared" si="2025"/>
        <v>Rp599850</v>
      </c>
      <c r="L2025" s="5" t="str">
        <f t="shared" si="3"/>
        <v>599850</v>
      </c>
    </row>
    <row r="2026">
      <c r="A2026" s="6" t="s">
        <v>3202</v>
      </c>
      <c r="B2026" s="7" t="str">
        <f>HYPERLINK("https://shopee.co.id/BLITHE-PRESSED-SERUM-CRYSTAL-ICEPLANT-50-GR-i.53497038.1374816424", "https://shopee.co.id/BLITHE-PRESSED-SERUM-CRYSTAL-ICEPLANT-50-GR-i.53497038.1374816424")</f>
        <v>https://shopee.co.id/BLITHE-PRESSED-SERUM-CRYSTAL-ICEPLANT-50-GR-i.53497038.1374816424</v>
      </c>
      <c r="C2026" s="6" t="s">
        <v>1969</v>
      </c>
      <c r="D2026" s="6" t="s">
        <v>907</v>
      </c>
      <c r="E2026" s="6" t="s">
        <v>12</v>
      </c>
      <c r="F2026" s="6" t="s">
        <v>13</v>
      </c>
      <c r="G2026" s="6" t="s">
        <v>61</v>
      </c>
      <c r="H2026" s="8" t="s">
        <v>3064</v>
      </c>
      <c r="I2026" s="9">
        <v>240000.0</v>
      </c>
      <c r="J2026" s="5" t="str">
        <f t="shared" ref="J2026:K2026" si="2026">SUBSTITUTE(H2026, ",", "")</f>
        <v>4</v>
      </c>
      <c r="K2026" s="5" t="str">
        <f t="shared" si="2026"/>
        <v>Rp240000</v>
      </c>
      <c r="L2026" s="5" t="str">
        <f t="shared" si="3"/>
        <v>240000</v>
      </c>
    </row>
    <row r="2027">
      <c r="A2027" s="6" t="s">
        <v>658</v>
      </c>
      <c r="B2027" s="7" t="str">
        <f>HYPERLINK("https://shopee.co.id/Azarine-Easy-White-Herbal-Moisturizer-Serum-20ml-i.10689.4267907322", "https://shopee.co.id/Azarine-Easy-White-Herbal-Moisturizer-Serum-20ml-i.10689.4267907322")</f>
        <v>https://shopee.co.id/Azarine-Easy-White-Herbal-Moisturizer-Serum-20ml-i.10689.4267907322</v>
      </c>
      <c r="C2027" s="6" t="s">
        <v>233</v>
      </c>
      <c r="D2027" s="6" t="s">
        <v>745</v>
      </c>
      <c r="E2027" s="6" t="s">
        <v>12</v>
      </c>
      <c r="F2027" s="6" t="s">
        <v>13</v>
      </c>
      <c r="G2027" s="6" t="s">
        <v>61</v>
      </c>
      <c r="H2027" s="8" t="s">
        <v>3064</v>
      </c>
      <c r="I2027" s="9">
        <v>2035000.0</v>
      </c>
      <c r="J2027" s="5" t="str">
        <f t="shared" ref="J2027:K2027" si="2027">SUBSTITUTE(H2027, ",", "")</f>
        <v>4</v>
      </c>
      <c r="K2027" s="5" t="str">
        <f t="shared" si="2027"/>
        <v>Rp2035000</v>
      </c>
      <c r="L2027" s="5" t="str">
        <f t="shared" si="3"/>
        <v>2035000</v>
      </c>
    </row>
    <row r="2028">
      <c r="A2028" s="6" t="s">
        <v>3203</v>
      </c>
      <c r="B2028" s="7" t="str">
        <f>HYPERLINK("https://shopee.co.id/Aubree-Brightening-Serum-Concentrate-30ml-i.825870.3515002779", "https://shopee.co.id/Aubree-Brightening-Serum-Concentrate-30ml-i.825870.3515002779")</f>
        <v>https://shopee.co.id/Aubree-Brightening-Serum-Concentrate-30ml-i.825870.3515002779</v>
      </c>
      <c r="C2028" s="6" t="s">
        <v>2642</v>
      </c>
      <c r="D2028" s="6" t="s">
        <v>1184</v>
      </c>
      <c r="E2028" s="6" t="s">
        <v>12</v>
      </c>
      <c r="F2028" s="6" t="s">
        <v>13</v>
      </c>
      <c r="G2028" s="6" t="s">
        <v>21</v>
      </c>
      <c r="H2028" s="8" t="s">
        <v>3064</v>
      </c>
      <c r="I2028" s="9">
        <v>516000.0</v>
      </c>
      <c r="J2028" s="5" t="str">
        <f t="shared" ref="J2028:K2028" si="2028">SUBSTITUTE(H2028, ",", "")</f>
        <v>4</v>
      </c>
      <c r="K2028" s="5" t="str">
        <f t="shared" si="2028"/>
        <v>Rp516000</v>
      </c>
      <c r="L2028" s="5" t="str">
        <f t="shared" si="3"/>
        <v>516000</v>
      </c>
    </row>
    <row r="2029">
      <c r="A2029" s="6" t="s">
        <v>3204</v>
      </c>
      <c r="B2029" s="7" t="str">
        <f>HYPERLINK("https://shopee.co.id/Tuesbelle-SOMETHINC-Age-Don-t-Care-Salmon-DNA-Marine-Collagen-Holygrail-Multipeptide-Youth-Eli-i.36872574.7389055051", "https://shopee.co.id/Tuesbelle-SOMETHINC-Age-Don-t-Care-Salmon-DNA-Marine-Collagen-Holygrail-Multipeptide-Youth-Eli-i.36872574.7389055051")</f>
        <v>https://shopee.co.id/Tuesbelle-SOMETHINC-Age-Don-t-Care-Salmon-DNA-Marine-Collagen-Holygrail-Multipeptide-Youth-Eli-i.36872574.7389055051</v>
      </c>
      <c r="C2029" s="6" t="s">
        <v>45</v>
      </c>
      <c r="D2029" s="6" t="s">
        <v>969</v>
      </c>
      <c r="E2029" s="6" t="s">
        <v>12</v>
      </c>
      <c r="F2029" s="6" t="s">
        <v>13</v>
      </c>
      <c r="G2029" s="6" t="s">
        <v>115</v>
      </c>
      <c r="H2029" s="8" t="s">
        <v>3064</v>
      </c>
      <c r="I2029" s="9">
        <v>2320000.0</v>
      </c>
      <c r="J2029" s="5" t="str">
        <f t="shared" ref="J2029:K2029" si="2029">SUBSTITUTE(H2029, ",", "")</f>
        <v>4</v>
      </c>
      <c r="K2029" s="5" t="str">
        <f t="shared" si="2029"/>
        <v>Rp2320000</v>
      </c>
      <c r="L2029" s="5" t="str">
        <f t="shared" si="3"/>
        <v>2320000</v>
      </c>
    </row>
    <row r="2030">
      <c r="A2030" s="6" t="s">
        <v>3205</v>
      </c>
      <c r="B2030" s="7" t="str">
        <f>HYPERLINK("https://shopee.co.id/Probeauty-Night-Serum-Plus-Serum-Anti-Aging-With-Soybean-Oil-i.9171679.7102703906", "https://shopee.co.id/Probeauty-Night-Serum-Plus-Serum-Anti-Aging-With-Soybean-Oil-i.9171679.7102703906")</f>
        <v>https://shopee.co.id/Probeauty-Night-Serum-Plus-Serum-Anti-Aging-With-Soybean-Oil-i.9171679.7102703906</v>
      </c>
      <c r="C2030" s="6" t="s">
        <v>2207</v>
      </c>
      <c r="D2030" s="6" t="s">
        <v>2208</v>
      </c>
      <c r="E2030" s="6" t="s">
        <v>12</v>
      </c>
      <c r="F2030" s="6" t="s">
        <v>13</v>
      </c>
      <c r="G2030" s="6" t="s">
        <v>2209</v>
      </c>
      <c r="H2030" s="8" t="s">
        <v>3064</v>
      </c>
      <c r="I2030" s="9">
        <v>318420.0</v>
      </c>
      <c r="J2030" s="5" t="str">
        <f t="shared" ref="J2030:K2030" si="2030">SUBSTITUTE(H2030, ",", "")</f>
        <v>4</v>
      </c>
      <c r="K2030" s="5" t="str">
        <f t="shared" si="2030"/>
        <v>Rp318420</v>
      </c>
      <c r="L2030" s="5" t="str">
        <f t="shared" si="3"/>
        <v>318420</v>
      </c>
    </row>
    <row r="2031">
      <c r="A2031" s="6" t="s">
        <v>3206</v>
      </c>
      <c r="B2031" s="7" t="str">
        <f>HYPERLINK("https://shopee.co.id/Kleveru-Glass-Skin-Overnight-Serum-20ml-i.136011044.5478211978", "https://shopee.co.id/Kleveru-Glass-Skin-Overnight-Serum-20ml-i.136011044.5478211978")</f>
        <v>https://shopee.co.id/Kleveru-Glass-Skin-Overnight-Serum-20ml-i.136011044.5478211978</v>
      </c>
      <c r="C2031" s="6" t="s">
        <v>2408</v>
      </c>
      <c r="D2031" s="6" t="s">
        <v>632</v>
      </c>
      <c r="E2031" s="6" t="s">
        <v>12</v>
      </c>
      <c r="F2031" s="6" t="s">
        <v>13</v>
      </c>
      <c r="G2031" s="6" t="s">
        <v>21</v>
      </c>
      <c r="H2031" s="8" t="s">
        <v>3064</v>
      </c>
      <c r="I2031" s="9">
        <v>859050.0</v>
      </c>
      <c r="J2031" s="5" t="str">
        <f t="shared" ref="J2031:K2031" si="2031">SUBSTITUTE(H2031, ",", "")</f>
        <v>4</v>
      </c>
      <c r="K2031" s="5" t="str">
        <f t="shared" si="2031"/>
        <v>Rp859050</v>
      </c>
      <c r="L2031" s="5" t="str">
        <f t="shared" si="3"/>
        <v>859050</v>
      </c>
    </row>
    <row r="2032">
      <c r="A2032" s="6" t="s">
        <v>3207</v>
      </c>
      <c r="B2032" s="7" t="str">
        <f>HYPERLINK("https://shopee.co.id/Botanity-Flavon-Serum-BUNDLE-i.203141970.4410556214", "https://shopee.co.id/Botanity-Flavon-Serum-BUNDLE-i.203141970.4410556214")</f>
        <v>https://shopee.co.id/Botanity-Flavon-Serum-BUNDLE-i.203141970.4410556214</v>
      </c>
      <c r="C2032" s="6" t="s">
        <v>1459</v>
      </c>
      <c r="D2032" s="6" t="s">
        <v>1460</v>
      </c>
      <c r="E2032" s="6" t="s">
        <v>12</v>
      </c>
      <c r="F2032" s="6" t="s">
        <v>13</v>
      </c>
      <c r="G2032" s="6" t="s">
        <v>21</v>
      </c>
      <c r="H2032" s="8" t="s">
        <v>3064</v>
      </c>
      <c r="I2032" s="9">
        <v>1311000.0</v>
      </c>
      <c r="J2032" s="5" t="str">
        <f t="shared" ref="J2032:K2032" si="2032">SUBSTITUTE(H2032, ",", "")</f>
        <v>4</v>
      </c>
      <c r="K2032" s="5" t="str">
        <f t="shared" si="2032"/>
        <v>Rp1311000</v>
      </c>
      <c r="L2032" s="5" t="str">
        <f t="shared" si="3"/>
        <v>1311000</v>
      </c>
    </row>
    <row r="2033">
      <c r="A2033" s="6" t="s">
        <v>3208</v>
      </c>
      <c r="B2033" s="7" t="str">
        <f>HYPERLINK("https://shopee.co.id/True-to-Skin-Serum-Bakuchiol-Niacinamide-Hyaluronic-Antioxidant-Facial-Oil-20ml-i.136011044.3691409006", "https://shopee.co.id/True-to-Skin-Serum-Bakuchiol-Niacinamide-Hyaluronic-Antioxidant-Facial-Oil-20ml-i.136011044.3691409006")</f>
        <v>https://shopee.co.id/True-to-Skin-Serum-Bakuchiol-Niacinamide-Hyaluronic-Antioxidant-Facial-Oil-20ml-i.136011044.3691409006</v>
      </c>
      <c r="C2033" s="6" t="s">
        <v>666</v>
      </c>
      <c r="D2033" s="6" t="s">
        <v>632</v>
      </c>
      <c r="E2033" s="6" t="s">
        <v>12</v>
      </c>
      <c r="F2033" s="6" t="s">
        <v>13</v>
      </c>
      <c r="G2033" s="6" t="s">
        <v>21</v>
      </c>
      <c r="H2033" s="8" t="s">
        <v>3064</v>
      </c>
      <c r="I2033" s="9">
        <v>248000.0</v>
      </c>
      <c r="J2033" s="5" t="str">
        <f t="shared" ref="J2033:K2033" si="2033">SUBSTITUTE(H2033, ",", "")</f>
        <v>4</v>
      </c>
      <c r="K2033" s="5" t="str">
        <f t="shared" si="2033"/>
        <v>Rp248000</v>
      </c>
      <c r="L2033" s="5" t="str">
        <f t="shared" si="3"/>
        <v>248000</v>
      </c>
    </row>
    <row r="2034">
      <c r="A2034" s="6" t="s">
        <v>3209</v>
      </c>
      <c r="B2034" s="7" t="str">
        <f>HYPERLINK("https://shopee.co.id/True-to-Skin-Bakuchiol-Anti-Aging-Serum-Natural-Retinol-Water-Based-Serum-20ml-i.50948181.8527562113", "https://shopee.co.id/True-to-Skin-Bakuchiol-Anti-Aging-Serum-Natural-Retinol-Water-Based-Serum-20ml-i.50948181.8527562113")</f>
        <v>https://shopee.co.id/True-to-Skin-Bakuchiol-Anti-Aging-Serum-Natural-Retinol-Water-Based-Serum-20ml-i.50948181.8527562113</v>
      </c>
      <c r="C2034" s="6" t="s">
        <v>666</v>
      </c>
      <c r="D2034" s="6" t="s">
        <v>1129</v>
      </c>
      <c r="E2034" s="6" t="s">
        <v>12</v>
      </c>
      <c r="F2034" s="6" t="s">
        <v>13</v>
      </c>
      <c r="G2034" s="6" t="s">
        <v>1130</v>
      </c>
      <c r="H2034" s="8" t="s">
        <v>3064</v>
      </c>
      <c r="I2034" s="9">
        <v>500000.0</v>
      </c>
      <c r="J2034" s="5" t="str">
        <f t="shared" ref="J2034:K2034" si="2034">SUBSTITUTE(H2034, ",", "")</f>
        <v>4</v>
      </c>
      <c r="K2034" s="5" t="str">
        <f t="shared" si="2034"/>
        <v>Rp500000</v>
      </c>
      <c r="L2034" s="5" t="str">
        <f t="shared" si="3"/>
        <v>500000</v>
      </c>
    </row>
    <row r="2035">
      <c r="A2035" s="6" t="s">
        <v>3210</v>
      </c>
      <c r="B2035" s="7" t="str">
        <f>HYPERLINK("https://shopee.co.id/Bhumi-G-Alpine-Brightening-Serum-i.68111.7720384331", "https://shopee.co.id/Bhumi-G-Alpine-Brightening-Serum-i.68111.7720384331")</f>
        <v>https://shopee.co.id/Bhumi-G-Alpine-Brightening-Serum-i.68111.7720384331</v>
      </c>
      <c r="C2035" s="6" t="s">
        <v>753</v>
      </c>
      <c r="D2035" s="6" t="s">
        <v>441</v>
      </c>
      <c r="E2035" s="6" t="s">
        <v>12</v>
      </c>
      <c r="F2035" s="6" t="s">
        <v>13</v>
      </c>
      <c r="G2035" s="6" t="s">
        <v>130</v>
      </c>
      <c r="H2035" s="8" t="s">
        <v>3064</v>
      </c>
      <c r="I2035" s="9">
        <v>508000.0</v>
      </c>
      <c r="J2035" s="5" t="str">
        <f t="shared" ref="J2035:K2035" si="2035">SUBSTITUTE(H2035, ",", "")</f>
        <v>4</v>
      </c>
      <c r="K2035" s="5" t="str">
        <f t="shared" si="2035"/>
        <v>Rp508000</v>
      </c>
      <c r="L2035" s="5" t="str">
        <f t="shared" si="3"/>
        <v>508000</v>
      </c>
    </row>
    <row r="2036">
      <c r="A2036" s="6" t="s">
        <v>3211</v>
      </c>
      <c r="B2036" s="7" t="str">
        <f>HYPERLINK("https://shopee.co.id/DEAR-ME-BEAUTY-Single-Active-Face-Serum-Retinol-Blueberry-Extract-i.68111.8256972392", "https://shopee.co.id/DEAR-ME-BEAUTY-Single-Active-Face-Serum-Retinol-Blueberry-Extract-i.68111.8256972392")</f>
        <v>https://shopee.co.id/DEAR-ME-BEAUTY-Single-Active-Face-Serum-Retinol-Blueberry-Extract-i.68111.8256972392</v>
      </c>
      <c r="C2036" s="6" t="s">
        <v>70</v>
      </c>
      <c r="D2036" s="6" t="s">
        <v>441</v>
      </c>
      <c r="E2036" s="6" t="s">
        <v>12</v>
      </c>
      <c r="F2036" s="6" t="s">
        <v>13</v>
      </c>
      <c r="G2036" s="6" t="s">
        <v>130</v>
      </c>
      <c r="H2036" s="8" t="s">
        <v>3064</v>
      </c>
      <c r="I2036" s="9">
        <v>660000.0</v>
      </c>
      <c r="J2036" s="5" t="str">
        <f t="shared" ref="J2036:K2036" si="2036">SUBSTITUTE(H2036, ",", "")</f>
        <v>4</v>
      </c>
      <c r="K2036" s="5" t="str">
        <f t="shared" si="2036"/>
        <v>Rp660000</v>
      </c>
      <c r="L2036" s="5" t="str">
        <f t="shared" si="3"/>
        <v>660000</v>
      </c>
    </row>
    <row r="2037">
      <c r="A2037" s="6" t="s">
        <v>3212</v>
      </c>
      <c r="B2037" s="7" t="str">
        <f>HYPERLINK("https://shopee.co.id/AZARINE-MIRACLEAR-HERBAL-PEELING-SERUM-20-ML-i.50972887.6691067875", "https://shopee.co.id/AZARINE-MIRACLEAR-HERBAL-PEELING-SERUM-20-ML-i.50972887.6691067875")</f>
        <v>https://shopee.co.id/AZARINE-MIRACLEAR-HERBAL-PEELING-SERUM-20-ML-i.50972887.6691067875</v>
      </c>
      <c r="C2037" s="6" t="s">
        <v>233</v>
      </c>
      <c r="D2037" s="6" t="s">
        <v>552</v>
      </c>
      <c r="E2037" s="6" t="s">
        <v>12</v>
      </c>
      <c r="F2037" s="6" t="s">
        <v>13</v>
      </c>
      <c r="G2037" s="6" t="s">
        <v>61</v>
      </c>
      <c r="H2037" s="8" t="s">
        <v>3213</v>
      </c>
      <c r="I2037" s="9">
        <v>1008000.0</v>
      </c>
      <c r="J2037" s="5" t="str">
        <f t="shared" ref="J2037:K2037" si="2037">SUBSTITUTE(H2037, ",", "")</f>
        <v>3</v>
      </c>
      <c r="K2037" s="5" t="str">
        <f t="shared" si="2037"/>
        <v>Rp1008000</v>
      </c>
      <c r="L2037" s="5" t="str">
        <f t="shared" si="3"/>
        <v>1008000</v>
      </c>
    </row>
    <row r="2038">
      <c r="A2038" s="6" t="s">
        <v>3214</v>
      </c>
      <c r="B2038" s="7" t="str">
        <f>HYPERLINK("https://shopee.co.id/Babor-Hydra-Plus-Fluid-7x2-ML-i.131188140.1971037906", "https://shopee.co.id/Babor-Hydra-Plus-Fluid-7x2-ML-i.131188140.1971037906")</f>
        <v>https://shopee.co.id/Babor-Hydra-Plus-Fluid-7x2-ML-i.131188140.1971037906</v>
      </c>
      <c r="C2038" s="6" t="s">
        <v>1814</v>
      </c>
      <c r="D2038" s="6" t="s">
        <v>1434</v>
      </c>
      <c r="E2038" s="6" t="s">
        <v>12</v>
      </c>
      <c r="F2038" s="6" t="s">
        <v>13</v>
      </c>
      <c r="G2038" s="6" t="s">
        <v>61</v>
      </c>
      <c r="H2038" s="8" t="s">
        <v>3213</v>
      </c>
      <c r="I2038" s="9">
        <v>637000.0</v>
      </c>
      <c r="J2038" s="5" t="str">
        <f t="shared" ref="J2038:K2038" si="2038">SUBSTITUTE(H2038, ",", "")</f>
        <v>3</v>
      </c>
      <c r="K2038" s="5" t="str">
        <f t="shared" si="2038"/>
        <v>Rp637000</v>
      </c>
      <c r="L2038" s="5" t="str">
        <f t="shared" si="3"/>
        <v>637000</v>
      </c>
    </row>
    <row r="2039">
      <c r="A2039" s="6" t="s">
        <v>3215</v>
      </c>
      <c r="B2039" s="7" t="str">
        <f>HYPERLINK("https://shopee.co.id/Babor-Multiactive-Vitamin-Fluid-7x2-ML-i.131188140.1971037933", "https://shopee.co.id/Babor-Multiactive-Vitamin-Fluid-7x2-ML-i.131188140.1971037933")</f>
        <v>https://shopee.co.id/Babor-Multiactive-Vitamin-Fluid-7x2-ML-i.131188140.1971037933</v>
      </c>
      <c r="C2039" s="6" t="s">
        <v>1433</v>
      </c>
      <c r="D2039" s="6" t="s">
        <v>1434</v>
      </c>
      <c r="E2039" s="6" t="s">
        <v>12</v>
      </c>
      <c r="F2039" s="6" t="s">
        <v>13</v>
      </c>
      <c r="G2039" s="6" t="s">
        <v>61</v>
      </c>
      <c r="H2039" s="8" t="s">
        <v>3213</v>
      </c>
      <c r="I2039" s="9">
        <v>657000.0</v>
      </c>
      <c r="J2039" s="5" t="str">
        <f t="shared" ref="J2039:K2039" si="2039">SUBSTITUTE(H2039, ",", "")</f>
        <v>3</v>
      </c>
      <c r="K2039" s="5" t="str">
        <f t="shared" si="2039"/>
        <v>Rp657000</v>
      </c>
      <c r="L2039" s="5" t="str">
        <f t="shared" si="3"/>
        <v>657000</v>
      </c>
    </row>
    <row r="2040">
      <c r="A2040" s="6" t="s">
        <v>3216</v>
      </c>
      <c r="B2040" s="7" t="str">
        <f>HYPERLINK("https://shopee.co.id/BLOOMKA-Edelweiss-Hyaluronate-Essence-100ml-i.68111.4579792648", "https://shopee.co.id/BLOOMKA-Edelweiss-Hyaluronate-Essence-100ml-i.68111.4579792648")</f>
        <v>https://shopee.co.id/BLOOMKA-Edelweiss-Hyaluronate-Essence-100ml-i.68111.4579792648</v>
      </c>
      <c r="C2040" s="6" t="s">
        <v>375</v>
      </c>
      <c r="D2040" s="6" t="s">
        <v>441</v>
      </c>
      <c r="E2040" s="6" t="s">
        <v>12</v>
      </c>
      <c r="F2040" s="6" t="s">
        <v>13</v>
      </c>
      <c r="G2040" s="6" t="s">
        <v>130</v>
      </c>
      <c r="H2040" s="8" t="s">
        <v>3213</v>
      </c>
      <c r="I2040" s="9">
        <v>103200.0</v>
      </c>
      <c r="J2040" s="5" t="str">
        <f t="shared" ref="J2040:K2040" si="2040">SUBSTITUTE(H2040, ",", "")</f>
        <v>3</v>
      </c>
      <c r="K2040" s="5" t="str">
        <f t="shared" si="2040"/>
        <v>Rp103200</v>
      </c>
      <c r="L2040" s="5" t="str">
        <f t="shared" si="3"/>
        <v>103200</v>
      </c>
    </row>
    <row r="2041">
      <c r="A2041" s="6" t="s">
        <v>3217</v>
      </c>
      <c r="B2041" s="7" t="str">
        <f>HYPERLINK("https://shopee.co.id/Zalfa-Natural-Dewy-Glow-Essence-Treatment-Collagen-Infusion-i.182704428.6841935879", "https://shopee.co.id/Zalfa-Natural-Dewy-Glow-Essence-Treatment-Collagen-Infusion-i.182704428.6841935879")</f>
        <v>https://shopee.co.id/Zalfa-Natural-Dewy-Glow-Essence-Treatment-Collagen-Infusion-i.182704428.6841935879</v>
      </c>
      <c r="C2041" s="6" t="s">
        <v>3071</v>
      </c>
      <c r="D2041" s="6" t="s">
        <v>3072</v>
      </c>
      <c r="E2041" s="6" t="s">
        <v>12</v>
      </c>
      <c r="F2041" s="6" t="s">
        <v>13</v>
      </c>
      <c r="G2041" s="6" t="s">
        <v>1085</v>
      </c>
      <c r="H2041" s="8" t="s">
        <v>3213</v>
      </c>
      <c r="I2041" s="9">
        <v>4200000.0</v>
      </c>
      <c r="J2041" s="5" t="str">
        <f t="shared" ref="J2041:K2041" si="2041">SUBSTITUTE(H2041, ",", "")</f>
        <v>3</v>
      </c>
      <c r="K2041" s="5" t="str">
        <f t="shared" si="2041"/>
        <v>Rp4200000</v>
      </c>
      <c r="L2041" s="5" t="str">
        <f t="shared" si="3"/>
        <v>4200000</v>
      </c>
    </row>
    <row r="2042">
      <c r="A2042" s="6" t="s">
        <v>3218</v>
      </c>
      <c r="B2042" s="7" t="str">
        <f>HYPERLINK("https://shopee.co.id/Jarte-Beauty-Cica-Care-Ampoule-20ml-i.10689.8333016350", "https://shopee.co.id/Jarte-Beauty-Cica-Care-Ampoule-20ml-i.10689.8333016350")</f>
        <v>https://shopee.co.id/Jarte-Beauty-Cica-Care-Ampoule-20ml-i.10689.8333016350</v>
      </c>
      <c r="C2042" s="6" t="s">
        <v>3219</v>
      </c>
      <c r="D2042" s="6" t="s">
        <v>745</v>
      </c>
      <c r="E2042" s="6" t="s">
        <v>12</v>
      </c>
      <c r="F2042" s="6" t="s">
        <v>13</v>
      </c>
      <c r="G2042" s="6" t="s">
        <v>61</v>
      </c>
      <c r="H2042" s="8" t="s">
        <v>3213</v>
      </c>
      <c r="I2042" s="9">
        <v>1126400.0</v>
      </c>
      <c r="J2042" s="5" t="str">
        <f t="shared" ref="J2042:K2042" si="2042">SUBSTITUTE(H2042, ",", "")</f>
        <v>3</v>
      </c>
      <c r="K2042" s="5" t="str">
        <f t="shared" si="2042"/>
        <v>Rp1126400</v>
      </c>
      <c r="L2042" s="5" t="str">
        <f t="shared" si="3"/>
        <v>1126400</v>
      </c>
    </row>
    <row r="2043">
      <c r="A2043" s="6" t="s">
        <v>3220</v>
      </c>
      <c r="B2043" s="7" t="str">
        <f>HYPERLINK("https://shopee.co.id/DEAR-ME-BEAUTY-Single-Active-Face-Serum-Hyaluronic-Acid-Pomegranate-Extract-12ml-i.68111.9756970483", "https://shopee.co.id/DEAR-ME-BEAUTY-Single-Active-Face-Serum-Hyaluronic-Acid-Pomegranate-Extract-12ml-i.68111.9756970483")</f>
        <v>https://shopee.co.id/DEAR-ME-BEAUTY-Single-Active-Face-Serum-Hyaluronic-Acid-Pomegranate-Extract-12ml-i.68111.9756970483</v>
      </c>
      <c r="C2043" s="6" t="s">
        <v>70</v>
      </c>
      <c r="D2043" s="6" t="s">
        <v>441</v>
      </c>
      <c r="E2043" s="6" t="s">
        <v>12</v>
      </c>
      <c r="F2043" s="6" t="s">
        <v>13</v>
      </c>
      <c r="G2043" s="6" t="s">
        <v>130</v>
      </c>
      <c r="H2043" s="8" t="s">
        <v>3213</v>
      </c>
      <c r="I2043" s="9">
        <v>2419950.0</v>
      </c>
      <c r="J2043" s="5" t="str">
        <f t="shared" ref="J2043:K2043" si="2043">SUBSTITUTE(H2043, ",", "")</f>
        <v>3</v>
      </c>
      <c r="K2043" s="5" t="str">
        <f t="shared" si="2043"/>
        <v>Rp2419950</v>
      </c>
      <c r="L2043" s="5" t="str">
        <f t="shared" si="3"/>
        <v>2419950</v>
      </c>
    </row>
    <row r="2044">
      <c r="A2044" s="6" t="s">
        <v>3221</v>
      </c>
      <c r="B2044" s="7" t="str">
        <f>HYPERLINK("https://shopee.co.id/Hiqween-Face-Essence-Preparing-Serum-Formula-Lama-i.481417149.5894178479", "https://shopee.co.id/Hiqween-Face-Essence-Preparing-Serum-Formula-Lama-i.481417149.5894178479")</f>
        <v>https://shopee.co.id/Hiqween-Face-Essence-Preparing-Serum-Formula-Lama-i.481417149.5894178479</v>
      </c>
      <c r="C2044" s="6" t="s">
        <v>2270</v>
      </c>
      <c r="D2044" s="6" t="s">
        <v>2271</v>
      </c>
      <c r="E2044" s="6" t="s">
        <v>12</v>
      </c>
      <c r="F2044" s="6" t="s">
        <v>13</v>
      </c>
      <c r="G2044" s="6" t="s">
        <v>350</v>
      </c>
      <c r="H2044" s="8" t="s">
        <v>3213</v>
      </c>
      <c r="I2044" s="9">
        <v>3062500.0</v>
      </c>
      <c r="J2044" s="5" t="str">
        <f t="shared" ref="J2044:K2044" si="2044">SUBSTITUTE(H2044, ",", "")</f>
        <v>3</v>
      </c>
      <c r="K2044" s="5" t="str">
        <f t="shared" si="2044"/>
        <v>Rp3062500</v>
      </c>
      <c r="L2044" s="5" t="str">
        <f t="shared" si="3"/>
        <v>3062500</v>
      </c>
    </row>
    <row r="2045">
      <c r="A2045" s="6" t="s">
        <v>3222</v>
      </c>
      <c r="B2045" s="7" t="str">
        <f>HYPERLINK("https://shopee.co.id/Nurish-Organiq-Brightening-Face-Essence-i.238368383.6720833634", "https://shopee.co.id/Nurish-Organiq-Brightening-Face-Essence-i.238368383.6720833634")</f>
        <v>https://shopee.co.id/Nurish-Organiq-Brightening-Face-Essence-i.238368383.6720833634</v>
      </c>
      <c r="C2045" s="6" t="s">
        <v>2892</v>
      </c>
      <c r="D2045" s="6" t="s">
        <v>2893</v>
      </c>
      <c r="E2045" s="6" t="s">
        <v>12</v>
      </c>
      <c r="F2045" s="6" t="s">
        <v>13</v>
      </c>
      <c r="G2045" s="6" t="s">
        <v>21</v>
      </c>
      <c r="H2045" s="8" t="s">
        <v>3213</v>
      </c>
      <c r="I2045" s="9">
        <v>396150.0</v>
      </c>
      <c r="J2045" s="5" t="str">
        <f t="shared" ref="J2045:K2045" si="2045">SUBSTITUTE(H2045, ",", "")</f>
        <v>3</v>
      </c>
      <c r="K2045" s="5" t="str">
        <f t="shared" si="2045"/>
        <v>Rp396150</v>
      </c>
      <c r="L2045" s="5" t="str">
        <f t="shared" si="3"/>
        <v>396150</v>
      </c>
    </row>
    <row r="2046">
      <c r="A2046" s="6" t="s">
        <v>3223</v>
      </c>
      <c r="B2046" s="7" t="str">
        <f>HYPERLINK("https://shopee.co.id/Gloskin-By-DNM-Brightening-Serum-i.206769167.4532064354", "https://shopee.co.id/Gloskin-By-DNM-Brightening-Serum-i.206769167.4532064354")</f>
        <v>https://shopee.co.id/Gloskin-By-DNM-Brightening-Serum-i.206769167.4532064354</v>
      </c>
      <c r="C2046" s="6" t="s">
        <v>3224</v>
      </c>
      <c r="D2046" s="6" t="s">
        <v>2257</v>
      </c>
      <c r="E2046" s="6" t="s">
        <v>12</v>
      </c>
      <c r="F2046" s="6" t="s">
        <v>13</v>
      </c>
      <c r="G2046" s="6" t="s">
        <v>98</v>
      </c>
      <c r="H2046" s="8" t="s">
        <v>3213</v>
      </c>
      <c r="I2046" s="9">
        <v>396150.0</v>
      </c>
      <c r="J2046" s="5" t="str">
        <f t="shared" ref="J2046:K2046" si="2046">SUBSTITUTE(H2046, ",", "")</f>
        <v>3</v>
      </c>
      <c r="K2046" s="5" t="str">
        <f t="shared" si="2046"/>
        <v>Rp396150</v>
      </c>
      <c r="L2046" s="5" t="str">
        <f t="shared" si="3"/>
        <v>396150</v>
      </c>
    </row>
    <row r="2047">
      <c r="A2047" s="6" t="s">
        <v>3225</v>
      </c>
      <c r="B2047" s="7" t="str">
        <f>HYPERLINK("https://shopee.co.id/Omniskin-Cica-Glow-Blemish-Skin-Whitening-Serum-20ml-i.136011044.11426182286", "https://shopee.co.id/Omniskin-Cica-Glow-Blemish-Skin-Whitening-Serum-20ml-i.136011044.11426182286")</f>
        <v>https://shopee.co.id/Omniskin-Cica-Glow-Blemish-Skin-Whitening-Serum-20ml-i.136011044.11426182286</v>
      </c>
      <c r="C2047" s="6" t="s">
        <v>2268</v>
      </c>
      <c r="D2047" s="6" t="s">
        <v>632</v>
      </c>
      <c r="E2047" s="6" t="s">
        <v>12</v>
      </c>
      <c r="F2047" s="6" t="s">
        <v>13</v>
      </c>
      <c r="G2047" s="6" t="s">
        <v>21</v>
      </c>
      <c r="H2047" s="8" t="s">
        <v>3213</v>
      </c>
      <c r="I2047" s="9">
        <v>255000.0</v>
      </c>
      <c r="J2047" s="5" t="str">
        <f t="shared" ref="J2047:K2047" si="2047">SUBSTITUTE(H2047, ",", "")</f>
        <v>3</v>
      </c>
      <c r="K2047" s="5" t="str">
        <f t="shared" si="2047"/>
        <v>Rp255000</v>
      </c>
      <c r="L2047" s="5" t="str">
        <f t="shared" si="3"/>
        <v>255000</v>
      </c>
    </row>
    <row r="2048">
      <c r="A2048" s="6" t="s">
        <v>3226</v>
      </c>
      <c r="B2048" s="7" t="str">
        <f>HYPERLINK("https://shopee.co.id/OMNISKIN-Cica-Glow-Blemish-Skin-Whitening-Serum-20ml-i.68111.8883993693", "https://shopee.co.id/OMNISKIN-Cica-Glow-Blemish-Skin-Whitening-Serum-20ml-i.68111.8883993693")</f>
        <v>https://shopee.co.id/OMNISKIN-Cica-Glow-Blemish-Skin-Whitening-Serum-20ml-i.68111.8883993693</v>
      </c>
      <c r="C2048" s="6" t="s">
        <v>2268</v>
      </c>
      <c r="D2048" s="6" t="s">
        <v>441</v>
      </c>
      <c r="E2048" s="6" t="s">
        <v>12</v>
      </c>
      <c r="F2048" s="6" t="s">
        <v>13</v>
      </c>
      <c r="G2048" s="6" t="s">
        <v>130</v>
      </c>
      <c r="H2048" s="8" t="s">
        <v>3213</v>
      </c>
      <c r="I2048" s="9">
        <v>777400.0</v>
      </c>
      <c r="J2048" s="5" t="str">
        <f t="shared" ref="J2048:K2048" si="2048">SUBSTITUTE(H2048, ",", "")</f>
        <v>3</v>
      </c>
      <c r="K2048" s="5" t="str">
        <f t="shared" si="2048"/>
        <v>Rp777400</v>
      </c>
      <c r="L2048" s="5" t="str">
        <f t="shared" si="3"/>
        <v>777400</v>
      </c>
    </row>
    <row r="2049">
      <c r="A2049" s="6" t="s">
        <v>3227</v>
      </c>
      <c r="B2049" s="7" t="str">
        <f>HYPERLINK("https://shopee.co.id/Qweena-Pumpkin-Whitening-Serum-with-snail-secretion-filtrate-20ML-2022-i.198883301.10315477266", "https://shopee.co.id/Qweena-Pumpkin-Whitening-Serum-with-snail-secretion-filtrate-20ML-2022-i.198883301.10315477266")</f>
        <v>https://shopee.co.id/Qweena-Pumpkin-Whitening-Serum-with-snail-secretion-filtrate-20ML-2022-i.198883301.10315477266</v>
      </c>
      <c r="C2049" s="6" t="s">
        <v>2390</v>
      </c>
      <c r="D2049" s="6" t="s">
        <v>2391</v>
      </c>
      <c r="E2049" s="6" t="s">
        <v>12</v>
      </c>
      <c r="F2049" s="6" t="s">
        <v>13</v>
      </c>
      <c r="G2049" s="6" t="s">
        <v>2392</v>
      </c>
      <c r="H2049" s="8" t="s">
        <v>3213</v>
      </c>
      <c r="I2049" s="9">
        <v>387000.0</v>
      </c>
      <c r="J2049" s="5" t="str">
        <f t="shared" ref="J2049:K2049" si="2049">SUBSTITUTE(H2049, ",", "")</f>
        <v>3</v>
      </c>
      <c r="K2049" s="5" t="str">
        <f t="shared" si="2049"/>
        <v>Rp387000</v>
      </c>
      <c r="L2049" s="5" t="str">
        <f t="shared" si="3"/>
        <v>387000</v>
      </c>
    </row>
    <row r="2050">
      <c r="A2050" s="6" t="s">
        <v>3228</v>
      </c>
      <c r="B2050" s="7" t="str">
        <f>HYPERLINK("https://shopee.co.id/Z-Skincare-Acne-Serum-i.136496322.2193219183", "https://shopee.co.id/Z-Skincare-Acne-Serum-i.136496322.2193219183")</f>
        <v>https://shopee.co.id/Z-Skincare-Acne-Serum-i.136496322.2193219183</v>
      </c>
      <c r="C2050" s="6" t="s">
        <v>3229</v>
      </c>
      <c r="D2050" s="6" t="s">
        <v>3230</v>
      </c>
      <c r="E2050" s="6" t="s">
        <v>12</v>
      </c>
      <c r="F2050" s="6" t="s">
        <v>13</v>
      </c>
      <c r="G2050" s="6" t="s">
        <v>469</v>
      </c>
      <c r="H2050" s="8" t="s">
        <v>3213</v>
      </c>
      <c r="I2050" s="9">
        <v>429500.0</v>
      </c>
      <c r="J2050" s="5" t="str">
        <f t="shared" ref="J2050:K2050" si="2050">SUBSTITUTE(H2050, ",", "")</f>
        <v>3</v>
      </c>
      <c r="K2050" s="5" t="str">
        <f t="shared" si="2050"/>
        <v>Rp429500</v>
      </c>
      <c r="L2050" s="5" t="str">
        <f t="shared" si="3"/>
        <v>429500</v>
      </c>
    </row>
    <row r="2051">
      <c r="A2051" s="6" t="s">
        <v>3231</v>
      </c>
      <c r="B2051" s="7" t="str">
        <f>HYPERLINK("https://shopee.co.id/SKINOIA-Green-Tea-Fresh-Calming-Serum-i.57794454.5290873199", "https://shopee.co.id/SKINOIA-Green-Tea-Fresh-Calming-Serum-i.57794454.5290873199")</f>
        <v>https://shopee.co.id/SKINOIA-Green-Tea-Fresh-Calming-Serum-i.57794454.5290873199</v>
      </c>
      <c r="C2051" s="6" t="s">
        <v>3232</v>
      </c>
      <c r="D2051" s="6" t="s">
        <v>3233</v>
      </c>
      <c r="E2051" s="6" t="s">
        <v>12</v>
      </c>
      <c r="F2051" s="6" t="s">
        <v>13</v>
      </c>
      <c r="G2051" s="6" t="s">
        <v>350</v>
      </c>
      <c r="H2051" s="8" t="s">
        <v>3213</v>
      </c>
      <c r="I2051" s="9">
        <v>66700.0</v>
      </c>
      <c r="J2051" s="5" t="str">
        <f t="shared" ref="J2051:K2051" si="2051">SUBSTITUTE(H2051, ",", "")</f>
        <v>3</v>
      </c>
      <c r="K2051" s="5" t="str">
        <f t="shared" si="2051"/>
        <v>Rp66700</v>
      </c>
      <c r="L2051" s="5" t="str">
        <f t="shared" si="3"/>
        <v>66700</v>
      </c>
    </row>
    <row r="2052">
      <c r="A2052" s="6" t="s">
        <v>3234</v>
      </c>
      <c r="B2052" s="7" t="str">
        <f>HYPERLINK("https://shopee.co.id/Saffbeautys-Bundle-Glowing-Serum-Saffron-Facemist-Saffron-Saffron-Collagen-Shoap-i.61316931.9564660699", "https://shopee.co.id/Saffbeautys-Bundle-Glowing-Serum-Saffron-Facemist-Saffron-Saffron-Collagen-Shoap-i.61316931.9564660699")</f>
        <v>https://shopee.co.id/Saffbeautys-Bundle-Glowing-Serum-Saffron-Facemist-Saffron-Saffron-Collagen-Shoap-i.61316931.9564660699</v>
      </c>
      <c r="C2052" s="6" t="s">
        <v>2127</v>
      </c>
      <c r="D2052" s="6" t="s">
        <v>2128</v>
      </c>
      <c r="E2052" s="6" t="s">
        <v>12</v>
      </c>
      <c r="F2052" s="6" t="s">
        <v>13</v>
      </c>
      <c r="G2052" s="6" t="s">
        <v>409</v>
      </c>
      <c r="H2052" s="8" t="s">
        <v>3213</v>
      </c>
      <c r="I2052" s="9">
        <v>2670000.0</v>
      </c>
      <c r="J2052" s="5" t="str">
        <f t="shared" ref="J2052:K2052" si="2052">SUBSTITUTE(H2052, ",", "")</f>
        <v>3</v>
      </c>
      <c r="K2052" s="5" t="str">
        <f t="shared" si="2052"/>
        <v>Rp2670000</v>
      </c>
      <c r="L2052" s="5" t="str">
        <f t="shared" si="3"/>
        <v>2670000</v>
      </c>
    </row>
    <row r="2053">
      <c r="A2053" s="6" t="s">
        <v>3235</v>
      </c>
      <c r="B2053" s="7" t="str">
        <f>HYPERLINK("https://shopee.co.id/Cremorlab-T-E-N-Miracle-The-Essence-120-ml-i.53497038.4689411555", "https://shopee.co.id/Cremorlab-T-E-N-Miracle-The-Essence-120-ml-i.53497038.4689411555")</f>
        <v>https://shopee.co.id/Cremorlab-T-E-N-Miracle-The-Essence-120-ml-i.53497038.4689411555</v>
      </c>
      <c r="C2053" s="6" t="s">
        <v>3236</v>
      </c>
      <c r="D2053" s="6" t="s">
        <v>907</v>
      </c>
      <c r="E2053" s="6" t="s">
        <v>12</v>
      </c>
      <c r="F2053" s="6" t="s">
        <v>13</v>
      </c>
      <c r="G2053" s="6" t="s">
        <v>61</v>
      </c>
      <c r="H2053" s="8" t="s">
        <v>3213</v>
      </c>
      <c r="I2053" s="9">
        <v>2640000.0</v>
      </c>
      <c r="J2053" s="5" t="str">
        <f t="shared" ref="J2053:K2053" si="2053">SUBSTITUTE(H2053, ",", "")</f>
        <v>3</v>
      </c>
      <c r="K2053" s="5" t="str">
        <f t="shared" si="2053"/>
        <v>Rp2640000</v>
      </c>
      <c r="L2053" s="5" t="str">
        <f t="shared" si="3"/>
        <v>2640000</v>
      </c>
    </row>
    <row r="2054">
      <c r="A2054" s="6" t="s">
        <v>3237</v>
      </c>
      <c r="B2054" s="7" t="str">
        <f>HYPERLINK("https://shopee.co.id/The-Saem-Snail-Essential-EX-Wrinkle-Solution-Essence-50ml-i.58386356.1570407550", "https://shopee.co.id/The-Saem-Snail-Essential-EX-Wrinkle-Solution-Essence-50ml-i.58386356.1570407550")</f>
        <v>https://shopee.co.id/The-Saem-Snail-Essential-EX-Wrinkle-Solution-Essence-50ml-i.58386356.1570407550</v>
      </c>
      <c r="C2054" s="6" t="s">
        <v>2339</v>
      </c>
      <c r="D2054" s="6" t="s">
        <v>2340</v>
      </c>
      <c r="E2054" s="6" t="s">
        <v>12</v>
      </c>
      <c r="F2054" s="6" t="s">
        <v>13</v>
      </c>
      <c r="G2054" s="6" t="s">
        <v>21</v>
      </c>
      <c r="H2054" s="8" t="s">
        <v>3213</v>
      </c>
      <c r="I2054" s="9">
        <v>2670000.0</v>
      </c>
      <c r="J2054" s="5" t="str">
        <f t="shared" ref="J2054:K2054" si="2054">SUBSTITUTE(H2054, ",", "")</f>
        <v>3</v>
      </c>
      <c r="K2054" s="5" t="str">
        <f t="shared" si="2054"/>
        <v>Rp2670000</v>
      </c>
      <c r="L2054" s="5" t="str">
        <f t="shared" si="3"/>
        <v>2670000</v>
      </c>
    </row>
    <row r="2055">
      <c r="A2055" s="6" t="s">
        <v>3238</v>
      </c>
      <c r="B2055" s="7" t="str">
        <f>HYPERLINK("https://shopee.co.id/MS-GLOW-Deep-Treatment-Essence-Original-DTE-MS-Glow-Ori-Essence-Pemutih-Wajah-MS-Glow-BPOM-i.287975332.11834417810", "https://shopee.co.id/MS-GLOW-Deep-Treatment-Essence-Original-DTE-MS-Glow-Ori-Essence-Pemutih-Wajah-MS-Glow-BPOM-i.287975332.11834417810")</f>
        <v>https://shopee.co.id/MS-GLOW-Deep-Treatment-Essence-Original-DTE-MS-Glow-Ori-Essence-Pemutih-Wajah-MS-Glow-BPOM-i.287975332.11834417810</v>
      </c>
      <c r="C2055" s="6" t="s">
        <v>96</v>
      </c>
      <c r="D2055" s="6" t="s">
        <v>349</v>
      </c>
      <c r="E2055" s="6" t="s">
        <v>12</v>
      </c>
      <c r="F2055" s="6" t="s">
        <v>13</v>
      </c>
      <c r="G2055" s="6" t="s">
        <v>350</v>
      </c>
      <c r="H2055" s="8" t="s">
        <v>3213</v>
      </c>
      <c r="I2055" s="9">
        <v>555000.0</v>
      </c>
      <c r="J2055" s="5" t="str">
        <f t="shared" ref="J2055:K2055" si="2055">SUBSTITUTE(H2055, ",", "")</f>
        <v>3</v>
      </c>
      <c r="K2055" s="5" t="str">
        <f t="shared" si="2055"/>
        <v>Rp555000</v>
      </c>
      <c r="L2055" s="5" t="str">
        <f t="shared" si="3"/>
        <v>555000</v>
      </c>
    </row>
    <row r="2056">
      <c r="A2056" s="6" t="s">
        <v>3239</v>
      </c>
      <c r="B2056" s="7" t="str">
        <f>HYPERLINK("https://shopee.co.id/Neutrogena-Hydro-Boost-Capsule-in-Serum-Perawatan-Wajah-30-mL-i.65323877.8378897389", "https://shopee.co.id/Neutrogena-Hydro-Boost-Capsule-in-Serum-Perawatan-Wajah-30-mL-i.65323877.8378897389")</f>
        <v>https://shopee.co.id/Neutrogena-Hydro-Boost-Capsule-in-Serum-Perawatan-Wajah-30-mL-i.65323877.8378897389</v>
      </c>
      <c r="C2056" s="6" t="s">
        <v>1499</v>
      </c>
      <c r="D2056" s="6" t="s">
        <v>1600</v>
      </c>
      <c r="E2056" s="6" t="s">
        <v>12</v>
      </c>
      <c r="F2056" s="6" t="s">
        <v>13</v>
      </c>
      <c r="G2056" s="6" t="s">
        <v>296</v>
      </c>
      <c r="H2056" s="8" t="s">
        <v>3213</v>
      </c>
      <c r="I2056" s="9">
        <v>375000.0</v>
      </c>
      <c r="J2056" s="5" t="str">
        <f t="shared" ref="J2056:K2056" si="2056">SUBSTITUTE(H2056, ",", "")</f>
        <v>3</v>
      </c>
      <c r="K2056" s="5" t="str">
        <f t="shared" si="2056"/>
        <v>Rp375000</v>
      </c>
      <c r="L2056" s="5" t="str">
        <f t="shared" si="3"/>
        <v>375000</v>
      </c>
    </row>
    <row r="2057">
      <c r="A2057" s="6" t="s">
        <v>3240</v>
      </c>
      <c r="B2057" s="7" t="str">
        <f>HYPERLINK("https://shopee.co.id/Everwhite-Brightening-Essence-Serum-with-Chromabright-15ml-i.825870.7069510257", "https://shopee.co.id/Everwhite-Brightening-Essence-Serum-with-Chromabright-15ml-i.825870.7069510257")</f>
        <v>https://shopee.co.id/Everwhite-Brightening-Essence-Serum-with-Chromabright-15ml-i.825870.7069510257</v>
      </c>
      <c r="C2057" s="6" t="s">
        <v>157</v>
      </c>
      <c r="D2057" s="6" t="s">
        <v>1184</v>
      </c>
      <c r="E2057" s="6" t="s">
        <v>12</v>
      </c>
      <c r="F2057" s="6" t="s">
        <v>13</v>
      </c>
      <c r="G2057" s="6" t="s">
        <v>21</v>
      </c>
      <c r="H2057" s="8" t="s">
        <v>3213</v>
      </c>
      <c r="I2057" s="9">
        <v>105000.0</v>
      </c>
      <c r="J2057" s="5" t="str">
        <f t="shared" ref="J2057:K2057" si="2057">SUBSTITUTE(H2057, ",", "")</f>
        <v>3</v>
      </c>
      <c r="K2057" s="5" t="str">
        <f t="shared" si="2057"/>
        <v>Rp105000</v>
      </c>
      <c r="L2057" s="5" t="str">
        <f t="shared" si="3"/>
        <v>105000</v>
      </c>
    </row>
    <row r="2058">
      <c r="A2058" s="6" t="s">
        <v>3241</v>
      </c>
      <c r="B2058" s="7" t="str">
        <f>HYPERLINK("https://shopee.co.id/Serum-for-Oily-Skin-Serum-Komedo-Marwah-Skincare-i.357101711.8215962401", "https://shopee.co.id/Serum-for-Oily-Skin-Serum-Komedo-Marwah-Skincare-i.357101711.8215962401")</f>
        <v>https://shopee.co.id/Serum-for-Oily-Skin-Serum-Komedo-Marwah-Skincare-i.357101711.8215962401</v>
      </c>
      <c r="C2058" s="6" t="s">
        <v>2249</v>
      </c>
      <c r="D2058" s="6" t="s">
        <v>2250</v>
      </c>
      <c r="E2058" s="6" t="s">
        <v>12</v>
      </c>
      <c r="F2058" s="6" t="s">
        <v>13</v>
      </c>
      <c r="G2058" s="6" t="s">
        <v>370</v>
      </c>
      <c r="H2058" s="8" t="s">
        <v>3213</v>
      </c>
      <c r="I2058" s="9">
        <v>577500.0</v>
      </c>
      <c r="J2058" s="5" t="str">
        <f t="shared" ref="J2058:K2058" si="2058">SUBSTITUTE(H2058, ",", "")</f>
        <v>3</v>
      </c>
      <c r="K2058" s="5" t="str">
        <f t="shared" si="2058"/>
        <v>Rp577500</v>
      </c>
      <c r="L2058" s="5" t="str">
        <f t="shared" si="3"/>
        <v>577500</v>
      </c>
    </row>
    <row r="2059">
      <c r="A2059" s="6" t="s">
        <v>3242</v>
      </c>
      <c r="B2059" s="7" t="str">
        <f>HYPERLINK("https://shopee.co.id/IUNIK-Propolis-Vitamin-Synergy-Serum-i.270965687.8015062016", "https://shopee.co.id/IUNIK-Propolis-Vitamin-Synergy-Serum-i.270965687.8015062016")</f>
        <v>https://shopee.co.id/IUNIK-Propolis-Vitamin-Synergy-Serum-i.270965687.8015062016</v>
      </c>
      <c r="C2059" s="6" t="s">
        <v>1658</v>
      </c>
      <c r="D2059" s="6" t="s">
        <v>379</v>
      </c>
      <c r="E2059" s="6" t="s">
        <v>12</v>
      </c>
      <c r="F2059" s="6" t="s">
        <v>13</v>
      </c>
      <c r="G2059" s="6" t="s">
        <v>380</v>
      </c>
      <c r="H2059" s="8" t="s">
        <v>3213</v>
      </c>
      <c r="I2059" s="9">
        <v>1429680.0</v>
      </c>
      <c r="J2059" s="5" t="str">
        <f t="shared" ref="J2059:K2059" si="2059">SUBSTITUTE(H2059, ",", "")</f>
        <v>3</v>
      </c>
      <c r="K2059" s="5" t="str">
        <f t="shared" si="2059"/>
        <v>Rp1429680</v>
      </c>
      <c r="L2059" s="5" t="str">
        <f t="shared" si="3"/>
        <v>1429680</v>
      </c>
    </row>
    <row r="2060">
      <c r="A2060" s="6" t="s">
        <v>882</v>
      </c>
      <c r="B2060" s="7" t="str">
        <f>HYPERLINK("https://shopee.co.id/Vaseline-Healthy-Bright-Vitamin-Gel-Serum-Fresh-Glow-180-ml-i.65323877.4294984353", "https://shopee.co.id/Vaseline-Healthy-Bright-Vitamin-Gel-Serum-Fresh-Glow-180-ml-i.65323877.4294984353")</f>
        <v>https://shopee.co.id/Vaseline-Healthy-Bright-Vitamin-Gel-Serum-Fresh-Glow-180-ml-i.65323877.4294984353</v>
      </c>
      <c r="C2060" s="6" t="s">
        <v>883</v>
      </c>
      <c r="D2060" s="6" t="s">
        <v>1600</v>
      </c>
      <c r="E2060" s="6" t="s">
        <v>12</v>
      </c>
      <c r="F2060" s="6" t="s">
        <v>13</v>
      </c>
      <c r="G2060" s="6" t="s">
        <v>296</v>
      </c>
      <c r="H2060" s="8" t="s">
        <v>3213</v>
      </c>
      <c r="I2060" s="9">
        <v>358800.0</v>
      </c>
      <c r="J2060" s="5" t="str">
        <f t="shared" ref="J2060:K2060" si="2060">SUBSTITUTE(H2060, ",", "")</f>
        <v>3</v>
      </c>
      <c r="K2060" s="5" t="str">
        <f t="shared" si="2060"/>
        <v>Rp358800</v>
      </c>
      <c r="L2060" s="5" t="str">
        <f t="shared" si="3"/>
        <v>358800</v>
      </c>
    </row>
    <row r="2061">
      <c r="A2061" s="6" t="s">
        <v>3243</v>
      </c>
      <c r="B2061" s="7" t="str">
        <f>HYPERLINK("https://shopee.co.id/Nu-Aroma-Grapeseed-Oil-Natural-Serum-Wajah-Serum-Rambut--i.262175945.7557071479", "https://shopee.co.id/Nu-Aroma-Grapeseed-Oil-Natural-Serum-Wajah-Serum-Rambut--i.262175945.7557071479")</f>
        <v>https://shopee.co.id/Nu-Aroma-Grapeseed-Oil-Natural-Serum-Wajah-Serum-Rambut--i.262175945.7557071479</v>
      </c>
      <c r="C2061" s="6" t="s">
        <v>2863</v>
      </c>
      <c r="D2061" s="6" t="s">
        <v>2864</v>
      </c>
      <c r="E2061" s="6" t="s">
        <v>12</v>
      </c>
      <c r="F2061" s="6" t="s">
        <v>13</v>
      </c>
      <c r="G2061" s="6" t="s">
        <v>945</v>
      </c>
      <c r="H2061" s="8" t="s">
        <v>3213</v>
      </c>
      <c r="I2061" s="9">
        <v>1469800.0</v>
      </c>
      <c r="J2061" s="5" t="str">
        <f t="shared" ref="J2061:K2061" si="2061">SUBSTITUTE(H2061, ",", "")</f>
        <v>3</v>
      </c>
      <c r="K2061" s="5" t="str">
        <f t="shared" si="2061"/>
        <v>Rp1469800</v>
      </c>
      <c r="L2061" s="5" t="str">
        <f t="shared" si="3"/>
        <v>1469800</v>
      </c>
    </row>
    <row r="2062">
      <c r="A2062" s="6" t="s">
        <v>3244</v>
      </c>
      <c r="B2062" s="7" t="str">
        <f>HYPERLINK("https://shopee.co.id/KF-Skin-Serum-Anti-Aging-i.298365554.4158148963", "https://shopee.co.id/KF-Skin-Serum-Anti-Aging-i.298365554.4158148963")</f>
        <v>https://shopee.co.id/KF-Skin-Serum-Anti-Aging-i.298365554.4158148963</v>
      </c>
      <c r="C2062" s="6" t="s">
        <v>1290</v>
      </c>
      <c r="D2062" s="6" t="s">
        <v>1291</v>
      </c>
      <c r="E2062" s="6" t="s">
        <v>12</v>
      </c>
      <c r="F2062" s="6" t="s">
        <v>13</v>
      </c>
      <c r="G2062" s="6" t="s">
        <v>1292</v>
      </c>
      <c r="H2062" s="8" t="s">
        <v>3213</v>
      </c>
      <c r="I2062" s="9">
        <v>1112600.0</v>
      </c>
      <c r="J2062" s="5" t="str">
        <f t="shared" ref="J2062:K2062" si="2062">SUBSTITUTE(H2062, ",", "")</f>
        <v>3</v>
      </c>
      <c r="K2062" s="5" t="str">
        <f t="shared" si="2062"/>
        <v>Rp1112600</v>
      </c>
      <c r="L2062" s="5" t="str">
        <f t="shared" si="3"/>
        <v>1112600</v>
      </c>
    </row>
    <row r="2063">
      <c r="A2063" s="6" t="s">
        <v>3245</v>
      </c>
      <c r="B2063" s="7" t="str">
        <f>HYPERLINK("https://shopee.co.id/Garnier-Sakura-White-Essence-120ml-i.30736001.1969394551", "https://shopee.co.id/Garnier-Sakura-White-Essence-120ml-i.30736001.1969394551")</f>
        <v>https://shopee.co.id/Garnier-Sakura-White-Essence-120ml-i.30736001.1969394551</v>
      </c>
      <c r="C2063" s="6" t="s">
        <v>74</v>
      </c>
      <c r="D2063" s="6" t="s">
        <v>335</v>
      </c>
      <c r="E2063" s="6" t="s">
        <v>12</v>
      </c>
      <c r="F2063" s="6" t="s">
        <v>13</v>
      </c>
      <c r="G2063" s="6" t="s">
        <v>36</v>
      </c>
      <c r="H2063" s="8" t="s">
        <v>3213</v>
      </c>
      <c r="I2063" s="9">
        <v>172500.0</v>
      </c>
      <c r="J2063" s="5" t="str">
        <f t="shared" ref="J2063:K2063" si="2063">SUBSTITUTE(H2063, ",", "")</f>
        <v>3</v>
      </c>
      <c r="K2063" s="5" t="str">
        <f t="shared" si="2063"/>
        <v>Rp172500</v>
      </c>
      <c r="L2063" s="5" t="str">
        <f t="shared" si="3"/>
        <v>172500</v>
      </c>
    </row>
    <row r="2064">
      <c r="A2064" s="6" t="s">
        <v>3246</v>
      </c>
      <c r="B2064" s="7" t="str">
        <f>HYPERLINK("https://shopee.co.id/Bio-Essence-24K-Gold-Radiance-Clnsr-100-g-i.186214521.4416797738", "https://shopee.co.id/Bio-Essence-24K-Gold-Radiance-Clnsr-100-g-i.186214521.4416797738")</f>
        <v>https://shopee.co.id/Bio-Essence-24K-Gold-Radiance-Clnsr-100-g-i.186214521.4416797738</v>
      </c>
      <c r="C2064" s="6" t="s">
        <v>1254</v>
      </c>
      <c r="D2064" s="6" t="s">
        <v>2293</v>
      </c>
      <c r="E2064" s="6" t="s">
        <v>12</v>
      </c>
      <c r="F2064" s="6" t="s">
        <v>13</v>
      </c>
      <c r="G2064" s="6" t="s">
        <v>61</v>
      </c>
      <c r="H2064" s="8" t="s">
        <v>3213</v>
      </c>
      <c r="I2064" s="9">
        <v>297000.0</v>
      </c>
      <c r="J2064" s="5" t="str">
        <f t="shared" ref="J2064:K2064" si="2064">SUBSTITUTE(H2064, ",", "")</f>
        <v>3</v>
      </c>
      <c r="K2064" s="5" t="str">
        <f t="shared" si="2064"/>
        <v>Rp297000</v>
      </c>
      <c r="L2064" s="5" t="str">
        <f t="shared" si="3"/>
        <v>297000</v>
      </c>
    </row>
    <row r="2065">
      <c r="A2065" s="6" t="s">
        <v>3247</v>
      </c>
      <c r="B2065" s="7" t="str">
        <f>HYPERLINK("https://shopee.co.id/Azarine-Lightening-Serum-C-White-20-mL-i.65323877.9079230436", "https://shopee.co.id/Azarine-Lightening-Serum-C-White-20-mL-i.65323877.9079230436")</f>
        <v>https://shopee.co.id/Azarine-Lightening-Serum-C-White-20-mL-i.65323877.9079230436</v>
      </c>
      <c r="C2065" s="6" t="s">
        <v>233</v>
      </c>
      <c r="D2065" s="6" t="s">
        <v>1600</v>
      </c>
      <c r="E2065" s="6" t="s">
        <v>12</v>
      </c>
      <c r="F2065" s="6" t="s">
        <v>13</v>
      </c>
      <c r="G2065" s="6" t="s">
        <v>296</v>
      </c>
      <c r="H2065" s="8" t="s">
        <v>3213</v>
      </c>
      <c r="I2065" s="9">
        <v>676500.0</v>
      </c>
      <c r="J2065" s="5" t="str">
        <f t="shared" ref="J2065:K2065" si="2065">SUBSTITUTE(H2065, ",", "")</f>
        <v>3</v>
      </c>
      <c r="K2065" s="5" t="str">
        <f t="shared" si="2065"/>
        <v>Rp676500</v>
      </c>
      <c r="L2065" s="5" t="str">
        <f t="shared" si="3"/>
        <v>676500</v>
      </c>
    </row>
    <row r="2066">
      <c r="A2066" s="6" t="s">
        <v>3104</v>
      </c>
      <c r="B2066" s="7" t="str">
        <f>HYPERLINK("https://shopee.co.id/The-Lab-by-Blanc-Doux-Oligo-Hyaluronic-Acid-7-Multi-Formula-Pad-5ml-1pcs--i.240712269.8781753809", "https://shopee.co.id/The-Lab-by-Blanc-Doux-Oligo-Hyaluronic-Acid-7-Multi-Formula-Pad-5ml-1pcs--i.240712269.8781753809")</f>
        <v>https://shopee.co.id/The-Lab-by-Blanc-Doux-Oligo-Hyaluronic-Acid-7-Multi-Formula-Pad-5ml-1pcs--i.240712269.8781753809</v>
      </c>
      <c r="C2066" s="6" t="s">
        <v>2835</v>
      </c>
      <c r="D2066" s="6" t="s">
        <v>762</v>
      </c>
      <c r="E2066" s="6" t="s">
        <v>12</v>
      </c>
      <c r="F2066" s="6" t="s">
        <v>13</v>
      </c>
      <c r="G2066" s="6" t="s">
        <v>98</v>
      </c>
      <c r="H2066" s="8" t="s">
        <v>3213</v>
      </c>
      <c r="I2066" s="9">
        <v>939300.0</v>
      </c>
      <c r="J2066" s="5" t="str">
        <f t="shared" ref="J2066:K2066" si="2066">SUBSTITUTE(H2066, ",", "")</f>
        <v>3</v>
      </c>
      <c r="K2066" s="5" t="str">
        <f t="shared" si="2066"/>
        <v>Rp939300</v>
      </c>
      <c r="L2066" s="5" t="str">
        <f t="shared" si="3"/>
        <v>939300</v>
      </c>
    </row>
    <row r="2067">
      <c r="A2067" s="6" t="s">
        <v>3248</v>
      </c>
      <c r="B2067" s="7" t="str">
        <f>HYPERLINK("https://shopee.co.id/Smooto-Premium-Sunscreen-Extra-Whitening-Essence-1-Box-isi-6pcs-i.65619901.5875415754", "https://shopee.co.id/Smooto-Premium-Sunscreen-Extra-Whitening-Essence-1-Box-isi-6pcs-i.65619901.5875415754")</f>
        <v>https://shopee.co.id/Smooto-Premium-Sunscreen-Extra-Whitening-Essence-1-Box-isi-6pcs-i.65619901.5875415754</v>
      </c>
      <c r="C2067" s="6" t="s">
        <v>2779</v>
      </c>
      <c r="D2067" s="6" t="s">
        <v>2780</v>
      </c>
      <c r="E2067" s="6" t="s">
        <v>12</v>
      </c>
      <c r="F2067" s="6" t="s">
        <v>13</v>
      </c>
      <c r="G2067" s="6" t="s">
        <v>85</v>
      </c>
      <c r="H2067" s="8" t="s">
        <v>3213</v>
      </c>
      <c r="I2067" s="9">
        <v>139650.0</v>
      </c>
      <c r="J2067" s="5" t="str">
        <f t="shared" ref="J2067:K2067" si="2067">SUBSTITUTE(H2067, ",", "")</f>
        <v>3</v>
      </c>
      <c r="K2067" s="5" t="str">
        <f t="shared" si="2067"/>
        <v>Rp139650</v>
      </c>
      <c r="L2067" s="5" t="str">
        <f t="shared" si="3"/>
        <v>139650</v>
      </c>
    </row>
    <row r="2068">
      <c r="A2068" s="6" t="s">
        <v>3249</v>
      </c>
      <c r="B2068" s="7" t="str">
        <f>HYPERLINK("https://shopee.co.id/MSBB-Elsheskin-Vitamin-C-Serum-i.288588702.7667975190", "https://shopee.co.id/MSBB-Elsheskin-Vitamin-C-Serum-i.288588702.7667975190")</f>
        <v>https://shopee.co.id/MSBB-Elsheskin-Vitamin-C-Serum-i.288588702.7667975190</v>
      </c>
      <c r="C2068" s="6" t="s">
        <v>135</v>
      </c>
      <c r="D2068" s="6" t="s">
        <v>79</v>
      </c>
      <c r="E2068" s="6" t="s">
        <v>12</v>
      </c>
      <c r="F2068" s="6" t="s">
        <v>13</v>
      </c>
      <c r="G2068" s="6" t="s">
        <v>80</v>
      </c>
      <c r="H2068" s="8" t="s">
        <v>3213</v>
      </c>
      <c r="I2068" s="9">
        <v>225000.0</v>
      </c>
      <c r="J2068" s="5" t="str">
        <f t="shared" ref="J2068:K2068" si="2068">SUBSTITUTE(H2068, ",", "")</f>
        <v>3</v>
      </c>
      <c r="K2068" s="5" t="str">
        <f t="shared" si="2068"/>
        <v>Rp225000</v>
      </c>
      <c r="L2068" s="5" t="str">
        <f t="shared" si="3"/>
        <v>225000</v>
      </c>
    </row>
    <row r="2069">
      <c r="A2069" s="6" t="s">
        <v>3250</v>
      </c>
      <c r="B2069" s="7" t="str">
        <f>HYPERLINK("https://shopee.co.id/ERHA-Bundle-Agemazing-Bright-i.129153987.12314895426", "https://shopee.co.id/ERHA-Bundle-Agemazing-Bright-i.129153987.12314895426")</f>
        <v>https://shopee.co.id/ERHA-Bundle-Agemazing-Bright-i.129153987.12314895426</v>
      </c>
      <c r="C2069" s="6" t="s">
        <v>181</v>
      </c>
      <c r="D2069" s="6" t="s">
        <v>3251</v>
      </c>
      <c r="E2069" s="6" t="s">
        <v>12</v>
      </c>
      <c r="F2069" s="6" t="s">
        <v>13</v>
      </c>
      <c r="G2069" s="6" t="s">
        <v>61</v>
      </c>
      <c r="H2069" s="8" t="s">
        <v>3213</v>
      </c>
      <c r="I2069" s="9">
        <v>430550.0</v>
      </c>
      <c r="J2069" s="5" t="str">
        <f t="shared" ref="J2069:K2069" si="2069">SUBSTITUTE(H2069, ",", "")</f>
        <v>3</v>
      </c>
      <c r="K2069" s="5" t="str">
        <f t="shared" si="2069"/>
        <v>Rp430550</v>
      </c>
      <c r="L2069" s="5" t="str">
        <f t="shared" si="3"/>
        <v>430550</v>
      </c>
    </row>
    <row r="2070">
      <c r="A2070" s="6" t="s">
        <v>3252</v>
      </c>
      <c r="B2070" s="7" t="str">
        <f>HYPERLINK("https://shopee.co.id/Hanasui-Serum-Bright-Up-25ml-i.277377659.7440024845", "https://shopee.co.id/Hanasui-Serum-Bright-Up-25ml-i.277377659.7440024845")</f>
        <v>https://shopee.co.id/Hanasui-Serum-Bright-Up-25ml-i.277377659.7440024845</v>
      </c>
      <c r="C2070" s="6" t="s">
        <v>784</v>
      </c>
      <c r="D2070" s="6" t="s">
        <v>2549</v>
      </c>
      <c r="E2070" s="6" t="s">
        <v>12</v>
      </c>
      <c r="F2070" s="6" t="s">
        <v>13</v>
      </c>
      <c r="G2070" s="6" t="s">
        <v>532</v>
      </c>
      <c r="H2070" s="8" t="s">
        <v>3213</v>
      </c>
      <c r="I2070" s="9">
        <v>777000.0</v>
      </c>
      <c r="J2070" s="5" t="str">
        <f t="shared" ref="J2070:K2070" si="2070">SUBSTITUTE(H2070, ",", "")</f>
        <v>3</v>
      </c>
      <c r="K2070" s="5" t="str">
        <f t="shared" si="2070"/>
        <v>Rp777000</v>
      </c>
      <c r="L2070" s="5" t="str">
        <f t="shared" si="3"/>
        <v>777000</v>
      </c>
    </row>
    <row r="2071">
      <c r="A2071" s="6" t="s">
        <v>1225</v>
      </c>
      <c r="B2071" s="7" t="str">
        <f>HYPERLINK("https://shopee.co.id/Avoskin-Miraculous-Refining-Serum-30ml-i.10689.1876173321", "https://shopee.co.id/Avoskin-Miraculous-Refining-Serum-30ml-i.10689.1876173321")</f>
        <v>https://shopee.co.id/Avoskin-Miraculous-Refining-Serum-30ml-i.10689.1876173321</v>
      </c>
      <c r="C2071" s="6" t="s">
        <v>83</v>
      </c>
      <c r="D2071" s="6" t="s">
        <v>745</v>
      </c>
      <c r="E2071" s="6" t="s">
        <v>12</v>
      </c>
      <c r="F2071" s="6" t="s">
        <v>13</v>
      </c>
      <c r="G2071" s="6" t="s">
        <v>61</v>
      </c>
      <c r="H2071" s="8" t="s">
        <v>3213</v>
      </c>
      <c r="I2071" s="9">
        <v>638500.0</v>
      </c>
      <c r="J2071" s="5" t="str">
        <f t="shared" ref="J2071:K2071" si="2071">SUBSTITUTE(H2071, ",", "")</f>
        <v>3</v>
      </c>
      <c r="K2071" s="5" t="str">
        <f t="shared" si="2071"/>
        <v>Rp638500</v>
      </c>
      <c r="L2071" s="5" t="str">
        <f t="shared" si="3"/>
        <v>638500</v>
      </c>
    </row>
    <row r="2072">
      <c r="A2072" s="6" t="s">
        <v>3253</v>
      </c>
      <c r="B2072" s="7" t="str">
        <f>HYPERLINK("https://shopee.co.id/Aquila-Hydra-Glow-Plumping-Supple-Essence-20ml-Hydrating-Kulit-Kering-i.268493582.10812890364", "https://shopee.co.id/Aquila-Hydra-Glow-Plumping-Supple-Essence-20ml-Hydrating-Kulit-Kering-i.268493582.10812890364")</f>
        <v>https://shopee.co.id/Aquila-Hydra-Glow-Plumping-Supple-Essence-20ml-Hydrating-Kulit-Kering-i.268493582.10812890364</v>
      </c>
      <c r="C2072" s="6" t="s">
        <v>1814</v>
      </c>
      <c r="D2072" s="6" t="s">
        <v>2203</v>
      </c>
      <c r="E2072" s="6" t="s">
        <v>12</v>
      </c>
      <c r="F2072" s="6" t="s">
        <v>13</v>
      </c>
      <c r="G2072" s="6" t="s">
        <v>2204</v>
      </c>
      <c r="H2072" s="8" t="s">
        <v>3213</v>
      </c>
      <c r="I2072" s="9">
        <v>545000.0</v>
      </c>
      <c r="J2072" s="5" t="str">
        <f t="shared" ref="J2072:K2072" si="2072">SUBSTITUTE(H2072, ",", "")</f>
        <v>3</v>
      </c>
      <c r="K2072" s="5" t="str">
        <f t="shared" si="2072"/>
        <v>Rp545000</v>
      </c>
      <c r="L2072" s="5" t="str">
        <f t="shared" si="3"/>
        <v>545000</v>
      </c>
    </row>
    <row r="2073">
      <c r="A2073" s="6" t="s">
        <v>3254</v>
      </c>
      <c r="B2073" s="7" t="str">
        <f>HYPERLINK("https://shopee.co.id/Safi-Age-Defy-Youth-Elixir-29-g-i.186214521.6617001207", "https://shopee.co.id/Safi-Age-Defy-Youth-Elixir-29-g-i.186214521.6617001207")</f>
        <v>https://shopee.co.id/Safi-Age-Defy-Youth-Elixir-29-g-i.186214521.6617001207</v>
      </c>
      <c r="C2073" s="6" t="s">
        <v>278</v>
      </c>
      <c r="D2073" s="6" t="s">
        <v>2293</v>
      </c>
      <c r="E2073" s="6" t="s">
        <v>12</v>
      </c>
      <c r="F2073" s="6" t="s">
        <v>13</v>
      </c>
      <c r="G2073" s="6" t="s">
        <v>61</v>
      </c>
      <c r="H2073" s="8" t="s">
        <v>3213</v>
      </c>
      <c r="I2073" s="9">
        <v>561000.0</v>
      </c>
      <c r="J2073" s="5" t="str">
        <f t="shared" ref="J2073:K2073" si="2073">SUBSTITUTE(H2073, ",", "")</f>
        <v>3</v>
      </c>
      <c r="K2073" s="5" t="str">
        <f t="shared" si="2073"/>
        <v>Rp561000</v>
      </c>
      <c r="L2073" s="5" t="str">
        <f t="shared" si="3"/>
        <v>561000</v>
      </c>
    </row>
    <row r="2074">
      <c r="A2074" s="6" t="s">
        <v>3255</v>
      </c>
      <c r="B2074" s="7" t="str">
        <f>HYPERLINK("https://shopee.co.id/Scarlett-Whitening-Acne-Serum-15ml-i.10689.10733772197", "https://shopee.co.id/Scarlett-Whitening-Acne-Serum-15ml-i.10689.10733772197")</f>
        <v>https://shopee.co.id/Scarlett-Whitening-Acne-Serum-15ml-i.10689.10733772197</v>
      </c>
      <c r="C2074" s="6" t="s">
        <v>19</v>
      </c>
      <c r="D2074" s="6" t="s">
        <v>745</v>
      </c>
      <c r="E2074" s="6" t="s">
        <v>12</v>
      </c>
      <c r="F2074" s="6" t="s">
        <v>13</v>
      </c>
      <c r="G2074" s="6" t="s">
        <v>61</v>
      </c>
      <c r="H2074" s="8" t="s">
        <v>3213</v>
      </c>
      <c r="I2074" s="9">
        <v>310650.0</v>
      </c>
      <c r="J2074" s="5" t="str">
        <f t="shared" ref="J2074:K2074" si="2074">SUBSTITUTE(H2074, ",", "")</f>
        <v>3</v>
      </c>
      <c r="K2074" s="5" t="str">
        <f t="shared" si="2074"/>
        <v>Rp310650</v>
      </c>
      <c r="L2074" s="5" t="str">
        <f t="shared" si="3"/>
        <v>310650</v>
      </c>
    </row>
    <row r="2075">
      <c r="A2075" s="6" t="s">
        <v>3256</v>
      </c>
      <c r="B2075" s="7" t="str">
        <f>HYPERLINK("https://shopee.co.id/Raecca-Lippie-Serum-i.270965687.4765085359", "https://shopee.co.id/Raecca-Lippie-Serum-i.270965687.4765085359")</f>
        <v>https://shopee.co.id/Raecca-Lippie-Serum-i.270965687.4765085359</v>
      </c>
      <c r="C2075" s="6" t="s">
        <v>1630</v>
      </c>
      <c r="D2075" s="6" t="s">
        <v>379</v>
      </c>
      <c r="E2075" s="6" t="s">
        <v>12</v>
      </c>
      <c r="F2075" s="6" t="s">
        <v>13</v>
      </c>
      <c r="G2075" s="6" t="s">
        <v>380</v>
      </c>
      <c r="H2075" s="8" t="s">
        <v>3213</v>
      </c>
      <c r="I2075" s="9">
        <v>675000.0</v>
      </c>
      <c r="J2075" s="5" t="str">
        <f t="shared" ref="J2075:K2075" si="2075">SUBSTITUTE(H2075, ",", "")</f>
        <v>3</v>
      </c>
      <c r="K2075" s="5" t="str">
        <f t="shared" si="2075"/>
        <v>Rp675000</v>
      </c>
      <c r="L2075" s="5" t="str">
        <f t="shared" si="3"/>
        <v>675000</v>
      </c>
    </row>
    <row r="2076">
      <c r="A2076" s="6" t="s">
        <v>3257</v>
      </c>
      <c r="B2076" s="7" t="str">
        <f>HYPERLINK("https://shopee.co.id/Nourish-Beauty-Care-Wrinkle-Remover-Serum-Anti-Aging-Series-Anti-Penuaan-i.175375997.3400344332", "https://shopee.co.id/Nourish-Beauty-Care-Wrinkle-Remover-Serum-Anti-Aging-Series-Anti-Penuaan-i.175375997.3400344332")</f>
        <v>https://shopee.co.id/Nourish-Beauty-Care-Wrinkle-Remover-Serum-Anti-Aging-Series-Anti-Penuaan-i.175375997.3400344332</v>
      </c>
      <c r="C2076" s="6" t="s">
        <v>1309</v>
      </c>
      <c r="D2076" s="6" t="s">
        <v>2123</v>
      </c>
      <c r="E2076" s="6" t="s">
        <v>12</v>
      </c>
      <c r="F2076" s="6" t="s">
        <v>13</v>
      </c>
      <c r="G2076" s="6" t="s">
        <v>36</v>
      </c>
      <c r="H2076" s="8" t="s">
        <v>3213</v>
      </c>
      <c r="I2076" s="9">
        <v>386716.0</v>
      </c>
      <c r="J2076" s="5" t="str">
        <f t="shared" ref="J2076:K2076" si="2076">SUBSTITUTE(H2076, ",", "")</f>
        <v>3</v>
      </c>
      <c r="K2076" s="5" t="str">
        <f t="shared" si="2076"/>
        <v>Rp386716</v>
      </c>
      <c r="L2076" s="5" t="str">
        <f t="shared" si="3"/>
        <v>386716</v>
      </c>
    </row>
    <row r="2077">
      <c r="A2077" s="6" t="s">
        <v>3258</v>
      </c>
      <c r="B2077" s="7" t="str">
        <f>HYPERLINK("https://shopee.co.id/Hada-Labo-Shirojyun-Essence-30g-i.10689.115634", "https://shopee.co.id/Hada-Labo-Shirojyun-Essence-30g-i.10689.115634")</f>
        <v>https://shopee.co.id/Hada-Labo-Shirojyun-Essence-30g-i.10689.115634</v>
      </c>
      <c r="C2077" s="6" t="s">
        <v>2090</v>
      </c>
      <c r="D2077" s="6" t="s">
        <v>745</v>
      </c>
      <c r="E2077" s="6" t="s">
        <v>12</v>
      </c>
      <c r="F2077" s="6" t="s">
        <v>13</v>
      </c>
      <c r="G2077" s="6" t="s">
        <v>61</v>
      </c>
      <c r="H2077" s="8" t="s">
        <v>3213</v>
      </c>
      <c r="I2077" s="9">
        <v>510300.0</v>
      </c>
      <c r="J2077" s="5" t="str">
        <f t="shared" ref="J2077:K2077" si="2077">SUBSTITUTE(H2077, ",", "")</f>
        <v>3</v>
      </c>
      <c r="K2077" s="5" t="str">
        <f t="shared" si="2077"/>
        <v>Rp510300</v>
      </c>
      <c r="L2077" s="5" t="str">
        <f t="shared" si="3"/>
        <v>510300</v>
      </c>
    </row>
    <row r="2078">
      <c r="A2078" s="6" t="s">
        <v>3259</v>
      </c>
      <c r="B2078" s="7" t="str">
        <f>HYPERLINK("https://shopee.co.id/Hiqween-10-00pm-Advanced-serum-dan-Nourishing-Smoothie-Cream-i.481417149.3895461047", "https://shopee.co.id/Hiqween-10-00pm-Advanced-serum-dan-Nourishing-Smoothie-Cream-i.481417149.3895461047")</f>
        <v>https://shopee.co.id/Hiqween-10-00pm-Advanced-serum-dan-Nourishing-Smoothie-Cream-i.481417149.3895461047</v>
      </c>
      <c r="C2078" s="6" t="s">
        <v>2270</v>
      </c>
      <c r="D2078" s="6" t="s">
        <v>2271</v>
      </c>
      <c r="E2078" s="6" t="s">
        <v>12</v>
      </c>
      <c r="F2078" s="6" t="s">
        <v>13</v>
      </c>
      <c r="G2078" s="6" t="s">
        <v>350</v>
      </c>
      <c r="H2078" s="8" t="s">
        <v>3213</v>
      </c>
      <c r="I2078" s="9">
        <v>675000.0</v>
      </c>
      <c r="J2078" s="5" t="str">
        <f t="shared" ref="J2078:K2078" si="2078">SUBSTITUTE(H2078, ",", "")</f>
        <v>3</v>
      </c>
      <c r="K2078" s="5" t="str">
        <f t="shared" si="2078"/>
        <v>Rp675000</v>
      </c>
      <c r="L2078" s="5" t="str">
        <f t="shared" si="3"/>
        <v>675000</v>
      </c>
    </row>
    <row r="2079">
      <c r="A2079" s="6" t="s">
        <v>3260</v>
      </c>
      <c r="B2079" s="7" t="str">
        <f>HYPERLINK("https://shopee.co.id/Iunik-Black-Snail-Restore-Serum-15ml-i.270765534.9136912526", "https://shopee.co.id/Iunik-Black-Snail-Restore-Serum-15ml-i.270765534.9136912526")</f>
        <v>https://shopee.co.id/Iunik-Black-Snail-Restore-Serum-15ml-i.270765534.9136912526</v>
      </c>
      <c r="C2079" s="6" t="s">
        <v>1658</v>
      </c>
      <c r="D2079" s="6" t="s">
        <v>1659</v>
      </c>
      <c r="E2079" s="6" t="s">
        <v>12</v>
      </c>
      <c r="F2079" s="6" t="s">
        <v>13</v>
      </c>
      <c r="G2079" s="6" t="s">
        <v>21</v>
      </c>
      <c r="H2079" s="8" t="s">
        <v>3213</v>
      </c>
      <c r="I2079" s="9">
        <v>1140000.0</v>
      </c>
      <c r="J2079" s="5" t="str">
        <f t="shared" ref="J2079:K2079" si="2079">SUBSTITUTE(H2079, ",", "")</f>
        <v>3</v>
      </c>
      <c r="K2079" s="5" t="str">
        <f t="shared" si="2079"/>
        <v>Rp1140000</v>
      </c>
      <c r="L2079" s="5" t="str">
        <f t="shared" si="3"/>
        <v>1140000</v>
      </c>
    </row>
    <row r="2080">
      <c r="A2080" s="6" t="s">
        <v>3261</v>
      </c>
      <c r="B2080" s="7" t="str">
        <f>HYPERLINK("https://shopee.co.id/L-Oreal-Paris-Revitalift-Crystal-Essence-Limited-Ed-130-ml-x-2-Pcs-i.62579622.6037749874", "https://shopee.co.id/L-Oreal-Paris-Revitalift-Crystal-Essence-Limited-Ed-130-ml-x-2-Pcs-i.62579622.6037749874")</f>
        <v>https://shopee.co.id/L-Oreal-Paris-Revitalift-Crystal-Essence-Limited-Ed-130-ml-x-2-Pcs-i.62579622.6037749874</v>
      </c>
      <c r="C2080" s="6" t="s">
        <v>105</v>
      </c>
      <c r="D2080" s="6" t="s">
        <v>106</v>
      </c>
      <c r="E2080" s="6" t="s">
        <v>12</v>
      </c>
      <c r="F2080" s="6" t="s">
        <v>13</v>
      </c>
      <c r="G2080" s="6" t="s">
        <v>61</v>
      </c>
      <c r="H2080" s="8" t="s">
        <v>3213</v>
      </c>
      <c r="I2080" s="9">
        <v>645000.0</v>
      </c>
      <c r="J2080" s="5" t="str">
        <f t="shared" ref="J2080:K2080" si="2080">SUBSTITUTE(H2080, ",", "")</f>
        <v>3</v>
      </c>
      <c r="K2080" s="5" t="str">
        <f t="shared" si="2080"/>
        <v>Rp645000</v>
      </c>
      <c r="L2080" s="5" t="str">
        <f t="shared" si="3"/>
        <v>645000</v>
      </c>
    </row>
    <row r="2081">
      <c r="A2081" s="6" t="s">
        <v>3262</v>
      </c>
      <c r="B2081" s="7" t="str">
        <f>HYPERLINK("https://shopee.co.id/MEDGLOW-CLINIC-Elasticity-Serum-Aesthetic-Skincare-Anti-Aging-Firming-Lifting-Rejuvenasi-BPOM-i.285885972.7151892733", "https://shopee.co.id/MEDGLOW-CLINIC-Elasticity-Serum-Aesthetic-Skincare-Anti-Aging-Firming-Lifting-Rejuvenasi-BPOM-i.285885972.7151892733")</f>
        <v>https://shopee.co.id/MEDGLOW-CLINIC-Elasticity-Serum-Aesthetic-Skincare-Anti-Aging-Firming-Lifting-Rejuvenasi-BPOM-i.285885972.7151892733</v>
      </c>
      <c r="C2081" s="6" t="s">
        <v>949</v>
      </c>
      <c r="D2081" s="6" t="s">
        <v>950</v>
      </c>
      <c r="E2081" s="6" t="s">
        <v>12</v>
      </c>
      <c r="F2081" s="6" t="s">
        <v>13</v>
      </c>
      <c r="G2081" s="6" t="s">
        <v>380</v>
      </c>
      <c r="H2081" s="8" t="s">
        <v>3213</v>
      </c>
      <c r="I2081" s="9">
        <v>529200.0</v>
      </c>
      <c r="J2081" s="5" t="str">
        <f t="shared" ref="J2081:K2081" si="2081">SUBSTITUTE(H2081, ",", "")</f>
        <v>3</v>
      </c>
      <c r="K2081" s="5" t="str">
        <f t="shared" si="2081"/>
        <v>Rp529200</v>
      </c>
      <c r="L2081" s="5" t="str">
        <f t="shared" si="3"/>
        <v>529200</v>
      </c>
    </row>
    <row r="2082">
      <c r="A2082" s="6" t="s">
        <v>3263</v>
      </c>
      <c r="B2082" s="7" t="str">
        <f>HYPERLINK("https://shopee.co.id/SECA-Intense-Glowing-Bundle-Alpha-Arbutin-Vitamin-C--i.373749700.9887245276", "https://shopee.co.id/SECA-Intense-Glowing-Bundle-Alpha-Arbutin-Vitamin-C--i.373749700.9887245276")</f>
        <v>https://shopee.co.id/SECA-Intense-Glowing-Bundle-Alpha-Arbutin-Vitamin-C--i.373749700.9887245276</v>
      </c>
      <c r="C2082" s="6" t="s">
        <v>1359</v>
      </c>
      <c r="D2082" s="6" t="s">
        <v>986</v>
      </c>
      <c r="E2082" s="6" t="s">
        <v>12</v>
      </c>
      <c r="F2082" s="6" t="s">
        <v>13</v>
      </c>
      <c r="G2082" s="6" t="s">
        <v>36</v>
      </c>
      <c r="H2082" s="8" t="s">
        <v>3213</v>
      </c>
      <c r="I2082" s="9">
        <v>777000.0</v>
      </c>
      <c r="J2082" s="5" t="str">
        <f t="shared" ref="J2082:K2082" si="2082">SUBSTITUTE(H2082, ",", "")</f>
        <v>3</v>
      </c>
      <c r="K2082" s="5" t="str">
        <f t="shared" si="2082"/>
        <v>Rp777000</v>
      </c>
      <c r="L2082" s="5" t="str">
        <f t="shared" si="3"/>
        <v>777000</v>
      </c>
    </row>
    <row r="2083">
      <c r="A2083" s="6" t="s">
        <v>3264</v>
      </c>
      <c r="B2083" s="7" t="str">
        <f>HYPERLINK("https://shopee.co.id/Garnier-Light-Complete-Vitamin-C-30x-Booster-Serum-Skin-Care-2-x-30-mL-i.65323877.11519476183", "https://shopee.co.id/Garnier-Light-Complete-Vitamin-C-30x-Booster-Serum-Skin-Care-2-x-30-mL-i.65323877.11519476183")</f>
        <v>https://shopee.co.id/Garnier-Light-Complete-Vitamin-C-30x-Booster-Serum-Skin-Care-2-x-30-mL-i.65323877.11519476183</v>
      </c>
      <c r="C2083" s="6" t="s">
        <v>74</v>
      </c>
      <c r="D2083" s="6" t="s">
        <v>1600</v>
      </c>
      <c r="E2083" s="6" t="s">
        <v>12</v>
      </c>
      <c r="F2083" s="6" t="s">
        <v>13</v>
      </c>
      <c r="G2083" s="6" t="s">
        <v>296</v>
      </c>
      <c r="H2083" s="8" t="s">
        <v>3213</v>
      </c>
      <c r="I2083" s="9">
        <v>345150.0</v>
      </c>
      <c r="J2083" s="5" t="str">
        <f t="shared" ref="J2083:K2083" si="2083">SUBSTITUTE(H2083, ",", "")</f>
        <v>3</v>
      </c>
      <c r="K2083" s="5" t="str">
        <f t="shared" si="2083"/>
        <v>Rp345150</v>
      </c>
      <c r="L2083" s="5" t="str">
        <f t="shared" si="3"/>
        <v>345150</v>
      </c>
    </row>
    <row r="2084">
      <c r="A2084" s="6" t="s">
        <v>3265</v>
      </c>
      <c r="B2084" s="7" t="str">
        <f>HYPERLINK("https://shopee.co.id/AZARINE-C-White-Eyeluminate-Firming-Serum-i.270965687.6793398018", "https://shopee.co.id/AZARINE-C-White-Eyeluminate-Firming-Serum-i.270965687.6793398018")</f>
        <v>https://shopee.co.id/AZARINE-C-White-Eyeluminate-Firming-Serum-i.270965687.6793398018</v>
      </c>
      <c r="C2084" s="6" t="s">
        <v>233</v>
      </c>
      <c r="D2084" s="6" t="s">
        <v>379</v>
      </c>
      <c r="E2084" s="6" t="s">
        <v>12</v>
      </c>
      <c r="F2084" s="6" t="s">
        <v>13</v>
      </c>
      <c r="G2084" s="6" t="s">
        <v>380</v>
      </c>
      <c r="H2084" s="8" t="s">
        <v>3213</v>
      </c>
      <c r="I2084" s="9">
        <v>190080.0</v>
      </c>
      <c r="J2084" s="5" t="str">
        <f t="shared" ref="J2084:K2084" si="2084">SUBSTITUTE(H2084, ",", "")</f>
        <v>3</v>
      </c>
      <c r="K2084" s="5" t="str">
        <f t="shared" si="2084"/>
        <v>Rp190080</v>
      </c>
      <c r="L2084" s="5" t="str">
        <f t="shared" si="3"/>
        <v>190080</v>
      </c>
    </row>
    <row r="2085">
      <c r="A2085" s="6" t="s">
        <v>3266</v>
      </c>
      <c r="B2085" s="7" t="str">
        <f>HYPERLINK("https://shopee.co.id/Somethinc-10-Niacinamide-Barrier-Serum-20ml-i.825870.8971103348", "https://shopee.co.id/Somethinc-10-Niacinamide-Barrier-Serum-20ml-i.825870.8971103348")</f>
        <v>https://shopee.co.id/Somethinc-10-Niacinamide-Barrier-Serum-20ml-i.825870.8971103348</v>
      </c>
      <c r="C2085" s="6" t="s">
        <v>45</v>
      </c>
      <c r="D2085" s="6" t="s">
        <v>1184</v>
      </c>
      <c r="E2085" s="6" t="s">
        <v>12</v>
      </c>
      <c r="F2085" s="6" t="s">
        <v>13</v>
      </c>
      <c r="G2085" s="6" t="s">
        <v>21</v>
      </c>
      <c r="H2085" s="8" t="s">
        <v>3213</v>
      </c>
      <c r="I2085" s="9">
        <v>357000.0</v>
      </c>
      <c r="J2085" s="5" t="str">
        <f t="shared" ref="J2085:K2085" si="2085">SUBSTITUTE(H2085, ",", "")</f>
        <v>3</v>
      </c>
      <c r="K2085" s="5" t="str">
        <f t="shared" si="2085"/>
        <v>Rp357000</v>
      </c>
      <c r="L2085" s="5" t="str">
        <f t="shared" si="3"/>
        <v>357000</v>
      </c>
    </row>
    <row r="2086">
      <c r="A2086" s="6" t="s">
        <v>3267</v>
      </c>
      <c r="B2086" s="7" t="str">
        <f>HYPERLINK("https://shopee.co.id/Acnes-Derma-Care-Anti-Blemish-Essence-20ml-i.10689.6573422042", "https://shopee.co.id/Acnes-Derma-Care-Anti-Blemish-Essence-20ml-i.10689.6573422042")</f>
        <v>https://shopee.co.id/Acnes-Derma-Care-Anti-Blemish-Essence-20ml-i.10689.6573422042</v>
      </c>
      <c r="C2086" s="6" t="s">
        <v>1162</v>
      </c>
      <c r="D2086" s="6" t="s">
        <v>745</v>
      </c>
      <c r="E2086" s="6" t="s">
        <v>12</v>
      </c>
      <c r="F2086" s="6" t="s">
        <v>13</v>
      </c>
      <c r="G2086" s="6" t="s">
        <v>61</v>
      </c>
      <c r="H2086" s="8" t="s">
        <v>3213</v>
      </c>
      <c r="I2086" s="9">
        <v>357000.0</v>
      </c>
      <c r="J2086" s="5" t="str">
        <f t="shared" ref="J2086:K2086" si="2086">SUBSTITUTE(H2086, ",", "")</f>
        <v>3</v>
      </c>
      <c r="K2086" s="5" t="str">
        <f t="shared" si="2086"/>
        <v>Rp357000</v>
      </c>
      <c r="L2086" s="5" t="str">
        <f t="shared" si="3"/>
        <v>357000</v>
      </c>
    </row>
    <row r="2087">
      <c r="A2087" s="6" t="s">
        <v>3268</v>
      </c>
      <c r="B2087" s="7" t="str">
        <f>HYPERLINK("https://shopee.co.id/HISTOIRE-NATURELLE-Double-Lactobacillus-Refine-Serum-i.315746431.3884063305", "https://shopee.co.id/HISTOIRE-NATURELLE-Double-Lactobacillus-Refine-Serum-i.315746431.3884063305")</f>
        <v>https://shopee.co.id/HISTOIRE-NATURELLE-Double-Lactobacillus-Refine-Serum-i.315746431.3884063305</v>
      </c>
      <c r="C2087" s="6" t="s">
        <v>1854</v>
      </c>
      <c r="D2087" s="6" t="s">
        <v>1855</v>
      </c>
      <c r="E2087" s="6" t="s">
        <v>12</v>
      </c>
      <c r="F2087" s="6" t="s">
        <v>13</v>
      </c>
      <c r="G2087" s="6" t="s">
        <v>130</v>
      </c>
      <c r="H2087" s="8" t="s">
        <v>3213</v>
      </c>
      <c r="I2087" s="9">
        <v>920000.0</v>
      </c>
      <c r="J2087" s="5" t="str">
        <f t="shared" ref="J2087:K2087" si="2087">SUBSTITUTE(H2087, ",", "")</f>
        <v>3</v>
      </c>
      <c r="K2087" s="5" t="str">
        <f t="shared" si="2087"/>
        <v>Rp920000</v>
      </c>
      <c r="L2087" s="5" t="str">
        <f t="shared" si="3"/>
        <v>920000</v>
      </c>
    </row>
    <row r="2088">
      <c r="A2088" s="6" t="s">
        <v>3269</v>
      </c>
      <c r="B2088" s="7" t="str">
        <f>HYPERLINK("https://shopee.co.id/TRILOGY-CERTIFIED-ORGANIC-RHO-ROLLER-10-ml-i.53497038.3435472167", "https://shopee.co.id/TRILOGY-CERTIFIED-ORGANIC-RHO-ROLLER-10-ml-i.53497038.3435472167")</f>
        <v>https://shopee.co.id/TRILOGY-CERTIFIED-ORGANIC-RHO-ROLLER-10-ml-i.53497038.3435472167</v>
      </c>
      <c r="C2088" s="6" t="s">
        <v>906</v>
      </c>
      <c r="D2088" s="6" t="s">
        <v>907</v>
      </c>
      <c r="E2088" s="6" t="s">
        <v>12</v>
      </c>
      <c r="F2088" s="6" t="s">
        <v>13</v>
      </c>
      <c r="G2088" s="6" t="s">
        <v>61</v>
      </c>
      <c r="H2088" s="8" t="s">
        <v>3213</v>
      </c>
      <c r="I2088" s="9">
        <v>1120000.0</v>
      </c>
      <c r="J2088" s="5" t="str">
        <f t="shared" ref="J2088:K2088" si="2088">SUBSTITUTE(H2088, ",", "")</f>
        <v>3</v>
      </c>
      <c r="K2088" s="5" t="str">
        <f t="shared" si="2088"/>
        <v>Rp1120000</v>
      </c>
      <c r="L2088" s="5" t="str">
        <f t="shared" si="3"/>
        <v>1120000</v>
      </c>
    </row>
    <row r="2089">
      <c r="A2089" s="6" t="s">
        <v>3270</v>
      </c>
      <c r="B2089" s="7" t="str">
        <f>HYPERLINK("https://shopee.co.id/Real-White-AHA-Glycolic-Acid-Collagen-Night-Body-Serum-i.349337394.4567447872", "https://shopee.co.id/Real-White-AHA-Glycolic-Acid-Collagen-Night-Body-Serum-i.349337394.4567447872")</f>
        <v>https://shopee.co.id/Real-White-AHA-Glycolic-Acid-Collagen-Night-Body-Serum-i.349337394.4567447872</v>
      </c>
      <c r="C2089" s="6" t="s">
        <v>547</v>
      </c>
      <c r="D2089" s="6" t="s">
        <v>548</v>
      </c>
      <c r="E2089" s="6" t="s">
        <v>12</v>
      </c>
      <c r="F2089" s="6" t="s">
        <v>13</v>
      </c>
      <c r="G2089" s="6" t="s">
        <v>380</v>
      </c>
      <c r="H2089" s="8" t="s">
        <v>3213</v>
      </c>
      <c r="I2089" s="9">
        <v>59345.0</v>
      </c>
      <c r="J2089" s="5" t="str">
        <f t="shared" ref="J2089:K2089" si="2089">SUBSTITUTE(H2089, ",", "")</f>
        <v>3</v>
      </c>
      <c r="K2089" s="5" t="str">
        <f t="shared" si="2089"/>
        <v>Rp59345</v>
      </c>
      <c r="L2089" s="5" t="str">
        <f t="shared" si="3"/>
        <v>59345</v>
      </c>
    </row>
    <row r="2090">
      <c r="A2090" s="6" t="s">
        <v>3271</v>
      </c>
      <c r="B2090" s="7" t="str">
        <f>HYPERLINK("https://shopee.co.id/Anzora-Skincare-Serum-Whitening-i.432926497.8782322994", "https://shopee.co.id/Anzora-Skincare-Serum-Whitening-i.432926497.8782322994")</f>
        <v>https://shopee.co.id/Anzora-Skincare-Serum-Whitening-i.432926497.8782322994</v>
      </c>
      <c r="C2090" s="6" t="s">
        <v>3272</v>
      </c>
      <c r="D2090" s="6" t="s">
        <v>3273</v>
      </c>
      <c r="E2090" s="6" t="s">
        <v>12</v>
      </c>
      <c r="F2090" s="6" t="s">
        <v>13</v>
      </c>
      <c r="G2090" s="6" t="s">
        <v>370</v>
      </c>
      <c r="H2090" s="8" t="s">
        <v>3213</v>
      </c>
      <c r="I2090" s="9">
        <v>675000.0</v>
      </c>
      <c r="J2090" s="5" t="str">
        <f t="shared" ref="J2090:K2090" si="2090">SUBSTITUTE(H2090, ",", "")</f>
        <v>3</v>
      </c>
      <c r="K2090" s="5" t="str">
        <f t="shared" si="2090"/>
        <v>Rp675000</v>
      </c>
      <c r="L2090" s="5" t="str">
        <f t="shared" si="3"/>
        <v>675000</v>
      </c>
    </row>
    <row r="2091">
      <c r="A2091" s="6" t="s">
        <v>3274</v>
      </c>
      <c r="B2091" s="7" t="str">
        <f>HYPERLINK("https://shopee.co.id/Garnier-Sakura-White-Booster-Serum-30-ml-x-2-Pcs--i.186214521.8647119541", "https://shopee.co.id/Garnier-Sakura-White-Booster-Serum-30-ml-x-2-Pcs--i.186214521.8647119541")</f>
        <v>https://shopee.co.id/Garnier-Sakura-White-Booster-Serum-30-ml-x-2-Pcs--i.186214521.8647119541</v>
      </c>
      <c r="C2091" s="6" t="s">
        <v>74</v>
      </c>
      <c r="D2091" s="6" t="s">
        <v>2293</v>
      </c>
      <c r="E2091" s="6" t="s">
        <v>12</v>
      </c>
      <c r="F2091" s="6" t="s">
        <v>13</v>
      </c>
      <c r="G2091" s="6" t="s">
        <v>61</v>
      </c>
      <c r="H2091" s="8" t="s">
        <v>3213</v>
      </c>
      <c r="I2091" s="9">
        <v>598800.0</v>
      </c>
      <c r="J2091" s="5" t="str">
        <f t="shared" ref="J2091:K2091" si="2091">SUBSTITUTE(H2091, ",", "")</f>
        <v>3</v>
      </c>
      <c r="K2091" s="5" t="str">
        <f t="shared" si="2091"/>
        <v>Rp598800</v>
      </c>
      <c r="L2091" s="5" t="str">
        <f t="shared" si="3"/>
        <v>598800</v>
      </c>
    </row>
    <row r="2092">
      <c r="A2092" s="6" t="s">
        <v>2618</v>
      </c>
      <c r="B2092" s="7" t="str">
        <f>HYPERLINK("https://shopee.co.id/Azarine-Eyeluminate-Firming-Serum-15ml-C-White-i.136011044.6490136780", "https://shopee.co.id/Azarine-Eyeluminate-Firming-Serum-15ml-C-White-i.136011044.6490136780")</f>
        <v>https://shopee.co.id/Azarine-Eyeluminate-Firming-Serum-15ml-C-White-i.136011044.6490136780</v>
      </c>
      <c r="C2092" s="6" t="s">
        <v>233</v>
      </c>
      <c r="D2092" s="6" t="s">
        <v>632</v>
      </c>
      <c r="E2092" s="6" t="s">
        <v>12</v>
      </c>
      <c r="F2092" s="6" t="s">
        <v>13</v>
      </c>
      <c r="G2092" s="6" t="s">
        <v>21</v>
      </c>
      <c r="H2092" s="8" t="s">
        <v>3213</v>
      </c>
      <c r="I2092" s="9">
        <v>462200.0</v>
      </c>
      <c r="J2092" s="5" t="str">
        <f t="shared" ref="J2092:K2092" si="2092">SUBSTITUTE(H2092, ",", "")</f>
        <v>3</v>
      </c>
      <c r="K2092" s="5" t="str">
        <f t="shared" si="2092"/>
        <v>Rp462200</v>
      </c>
      <c r="L2092" s="5" t="str">
        <f t="shared" si="3"/>
        <v>462200</v>
      </c>
    </row>
    <row r="2093">
      <c r="A2093" s="6" t="s">
        <v>3275</v>
      </c>
      <c r="B2093" s="7" t="str">
        <f>HYPERLINK("https://shopee.co.id/The-Potions-Mugwort-Water-Essence-20Ml-i.186214521.4786049587", "https://shopee.co.id/The-Potions-Mugwort-Water-Essence-20Ml-i.186214521.4786049587")</f>
        <v>https://shopee.co.id/The-Potions-Mugwort-Water-Essence-20Ml-i.186214521.4786049587</v>
      </c>
      <c r="C2093" s="6" t="s">
        <v>2245</v>
      </c>
      <c r="D2093" s="6" t="s">
        <v>2293</v>
      </c>
      <c r="E2093" s="6" t="s">
        <v>12</v>
      </c>
      <c r="F2093" s="6" t="s">
        <v>13</v>
      </c>
      <c r="G2093" s="6" t="s">
        <v>61</v>
      </c>
      <c r="H2093" s="8" t="s">
        <v>3213</v>
      </c>
      <c r="I2093" s="9">
        <v>58200.0</v>
      </c>
      <c r="J2093" s="5" t="str">
        <f t="shared" ref="J2093:K2093" si="2093">SUBSTITUTE(H2093, ",", "")</f>
        <v>3</v>
      </c>
      <c r="K2093" s="5" t="str">
        <f t="shared" si="2093"/>
        <v>Rp58200</v>
      </c>
      <c r="L2093" s="5" t="str">
        <f t="shared" si="3"/>
        <v>58200</v>
      </c>
    </row>
    <row r="2094">
      <c r="A2094" s="6" t="s">
        <v>3276</v>
      </c>
      <c r="B2094" s="7" t="str">
        <f>HYPERLINK("https://shopee.co.id/Somethinc-Criously-24K-Gold-Essence-40ml-i.825870.2928674383", "https://shopee.co.id/Somethinc-Criously-24K-Gold-Essence-40ml-i.825870.2928674383")</f>
        <v>https://shopee.co.id/Somethinc-Criously-24K-Gold-Essence-40ml-i.825870.2928674383</v>
      </c>
      <c r="C2094" s="6" t="s">
        <v>45</v>
      </c>
      <c r="D2094" s="6" t="s">
        <v>1184</v>
      </c>
      <c r="E2094" s="6" t="s">
        <v>12</v>
      </c>
      <c r="F2094" s="6" t="s">
        <v>13</v>
      </c>
      <c r="G2094" s="6" t="s">
        <v>21</v>
      </c>
      <c r="H2094" s="8" t="s">
        <v>3213</v>
      </c>
      <c r="I2094" s="9">
        <v>252400.0</v>
      </c>
      <c r="J2094" s="5" t="str">
        <f t="shared" ref="J2094:K2094" si="2094">SUBSTITUTE(H2094, ",", "")</f>
        <v>3</v>
      </c>
      <c r="K2094" s="5" t="str">
        <f t="shared" si="2094"/>
        <v>Rp252400</v>
      </c>
      <c r="L2094" s="5" t="str">
        <f t="shared" si="3"/>
        <v>252400</v>
      </c>
    </row>
    <row r="2095">
      <c r="A2095" s="6" t="s">
        <v>3277</v>
      </c>
      <c r="B2095" s="7" t="str">
        <f>HYPERLINK("https://shopee.co.id/BRASOV-Serum-Wajah-Anti-Jerawat-30-ML-Le-Docteur-Anti-Acne-Vitamin-C-Face-Serum-BPOM-Halal-XX-CT-i.168925122.8027452814", "https://shopee.co.id/BRASOV-Serum-Wajah-Anti-Jerawat-30-ML-Le-Docteur-Anti-Acne-Vitamin-C-Face-Serum-BPOM-Halal-XX-CT-i.168925122.8027452814")</f>
        <v>https://shopee.co.id/BRASOV-Serum-Wajah-Anti-Jerawat-30-ML-Le-Docteur-Anti-Acne-Vitamin-C-Face-Serum-BPOM-Halal-XX-CT-i.168925122.8027452814</v>
      </c>
      <c r="C2095" s="6" t="s">
        <v>3278</v>
      </c>
      <c r="D2095" s="6" t="s">
        <v>3279</v>
      </c>
      <c r="E2095" s="6" t="s">
        <v>12</v>
      </c>
      <c r="F2095" s="6" t="s">
        <v>13</v>
      </c>
      <c r="G2095" s="6" t="s">
        <v>21</v>
      </c>
      <c r="H2095" s="8" t="s">
        <v>3213</v>
      </c>
      <c r="I2095" s="9">
        <v>225000.0</v>
      </c>
      <c r="J2095" s="5" t="str">
        <f t="shared" ref="J2095:K2095" si="2095">SUBSTITUTE(H2095, ",", "")</f>
        <v>3</v>
      </c>
      <c r="K2095" s="5" t="str">
        <f t="shared" si="2095"/>
        <v>Rp225000</v>
      </c>
      <c r="L2095" s="5" t="str">
        <f t="shared" si="3"/>
        <v>225000</v>
      </c>
    </row>
    <row r="2096">
      <c r="A2096" s="6" t="s">
        <v>3280</v>
      </c>
      <c r="B2096" s="7" t="str">
        <f>HYPERLINK("https://shopee.co.id/Botanity-Flavon-Booster-i.203141970.6021716498", "https://shopee.co.id/Botanity-Flavon-Booster-i.203141970.6021716498")</f>
        <v>https://shopee.co.id/Botanity-Flavon-Booster-i.203141970.6021716498</v>
      </c>
      <c r="C2096" s="6" t="s">
        <v>1459</v>
      </c>
      <c r="D2096" s="6" t="s">
        <v>1460</v>
      </c>
      <c r="E2096" s="6" t="s">
        <v>12</v>
      </c>
      <c r="F2096" s="6" t="s">
        <v>13</v>
      </c>
      <c r="G2096" s="6" t="s">
        <v>21</v>
      </c>
      <c r="H2096" s="8" t="s">
        <v>3213</v>
      </c>
      <c r="I2096" s="9">
        <v>267000.0</v>
      </c>
      <c r="J2096" s="5" t="str">
        <f t="shared" ref="J2096:K2096" si="2096">SUBSTITUTE(H2096, ",", "")</f>
        <v>3</v>
      </c>
      <c r="K2096" s="5" t="str">
        <f t="shared" si="2096"/>
        <v>Rp267000</v>
      </c>
      <c r="L2096" s="5" t="str">
        <f t="shared" si="3"/>
        <v>267000</v>
      </c>
    </row>
    <row r="2097">
      <c r="A2097" s="6" t="s">
        <v>3281</v>
      </c>
      <c r="B2097" s="7" t="str">
        <f>HYPERLINK("https://shopee.co.id/Skind-Aesthetic-Rose-Drip-Crystal-Clear-Serum-Skind-Aesthetic-Age-Refresh-Facial-Cleanser-i.168325789.5794738886", "https://shopee.co.id/Skind-Aesthetic-Rose-Drip-Crystal-Clear-Serum-Skind-Aesthetic-Age-Refresh-Facial-Cleanser-i.168325789.5794738886")</f>
        <v>https://shopee.co.id/Skind-Aesthetic-Rose-Drip-Crystal-Clear-Serum-Skind-Aesthetic-Age-Refresh-Facial-Cleanser-i.168325789.5794738886</v>
      </c>
      <c r="C2097" s="6" t="s">
        <v>2921</v>
      </c>
      <c r="D2097" s="6" t="s">
        <v>3282</v>
      </c>
      <c r="E2097" s="6" t="s">
        <v>12</v>
      </c>
      <c r="F2097" s="6" t="s">
        <v>13</v>
      </c>
      <c r="G2097" s="6" t="s">
        <v>241</v>
      </c>
      <c r="H2097" s="8" t="s">
        <v>3213</v>
      </c>
      <c r="I2097" s="9">
        <v>897600.0</v>
      </c>
      <c r="J2097" s="5" t="str">
        <f t="shared" ref="J2097:K2097" si="2097">SUBSTITUTE(H2097, ",", "")</f>
        <v>3</v>
      </c>
      <c r="K2097" s="5" t="str">
        <f t="shared" si="2097"/>
        <v>Rp897600</v>
      </c>
      <c r="L2097" s="5" t="str">
        <f t="shared" si="3"/>
        <v>897600</v>
      </c>
    </row>
    <row r="2098">
      <c r="A2098" s="6" t="s">
        <v>3283</v>
      </c>
      <c r="B2098" s="7" t="str">
        <f>HYPERLINK("https://shopee.co.id/Safi-Age-Defy-Gold-Water-Essence-100ml-i.30736001.1016567179", "https://shopee.co.id/Safi-Age-Defy-Gold-Water-Essence-100ml-i.30736001.1016567179")</f>
        <v>https://shopee.co.id/Safi-Age-Defy-Gold-Water-Essence-100ml-i.30736001.1016567179</v>
      </c>
      <c r="C2098" s="6" t="s">
        <v>278</v>
      </c>
      <c r="D2098" s="6" t="s">
        <v>335</v>
      </c>
      <c r="E2098" s="6" t="s">
        <v>12</v>
      </c>
      <c r="F2098" s="6" t="s">
        <v>13</v>
      </c>
      <c r="G2098" s="6" t="s">
        <v>36</v>
      </c>
      <c r="H2098" s="8" t="s">
        <v>3213</v>
      </c>
      <c r="I2098" s="9">
        <v>377400.0</v>
      </c>
      <c r="J2098" s="5" t="str">
        <f t="shared" ref="J2098:K2098" si="2098">SUBSTITUTE(H2098, ",", "")</f>
        <v>3</v>
      </c>
      <c r="K2098" s="5" t="str">
        <f t="shared" si="2098"/>
        <v>Rp377400</v>
      </c>
      <c r="L2098" s="5" t="str">
        <f t="shared" si="3"/>
        <v>377400</v>
      </c>
    </row>
    <row r="2099">
      <c r="A2099" s="6" t="s">
        <v>3284</v>
      </c>
      <c r="B2099" s="7" t="str">
        <f>HYPERLINK("https://shopee.co.id/SECA-Treat-Redness-Bundle-Ceramide-Niacinamide--i.373749700.9587295179", "https://shopee.co.id/SECA-Treat-Redness-Bundle-Ceramide-Niacinamide--i.373749700.9587295179")</f>
        <v>https://shopee.co.id/SECA-Treat-Redness-Bundle-Ceramide-Niacinamide--i.373749700.9587295179</v>
      </c>
      <c r="C2099" s="6" t="s">
        <v>985</v>
      </c>
      <c r="D2099" s="6" t="s">
        <v>986</v>
      </c>
      <c r="E2099" s="6" t="s">
        <v>12</v>
      </c>
      <c r="F2099" s="6" t="s">
        <v>13</v>
      </c>
      <c r="G2099" s="6" t="s">
        <v>36</v>
      </c>
      <c r="H2099" s="8" t="s">
        <v>3213</v>
      </c>
      <c r="I2099" s="9">
        <v>362500.0</v>
      </c>
      <c r="J2099" s="5" t="str">
        <f t="shared" ref="J2099:K2099" si="2099">SUBSTITUTE(H2099, ",", "")</f>
        <v>3</v>
      </c>
      <c r="K2099" s="5" t="str">
        <f t="shared" si="2099"/>
        <v>Rp362500</v>
      </c>
      <c r="L2099" s="5" t="str">
        <f t="shared" si="3"/>
        <v>362500</v>
      </c>
    </row>
    <row r="2100">
      <c r="A2100" s="6" t="s">
        <v>3285</v>
      </c>
      <c r="B2100" s="7" t="str">
        <f>HYPERLINK("https://shopee.co.id/Tuesbelle-NOOLA-Breezy-Willow-Moist-Serum-30ml-i.36872574.11623922149", "https://shopee.co.id/Tuesbelle-NOOLA-Breezy-Willow-Moist-Serum-30ml-i.36872574.11623922149")</f>
        <v>https://shopee.co.id/Tuesbelle-NOOLA-Breezy-Willow-Moist-Serum-30ml-i.36872574.11623922149</v>
      </c>
      <c r="C2100" s="6" t="s">
        <v>2794</v>
      </c>
      <c r="D2100" s="6" t="s">
        <v>969</v>
      </c>
      <c r="E2100" s="6" t="s">
        <v>12</v>
      </c>
      <c r="F2100" s="6" t="s">
        <v>13</v>
      </c>
      <c r="G2100" s="6" t="s">
        <v>115</v>
      </c>
      <c r="H2100" s="8" t="s">
        <v>3213</v>
      </c>
      <c r="I2100" s="9">
        <v>327000.0</v>
      </c>
      <c r="J2100" s="5" t="str">
        <f t="shared" ref="J2100:K2100" si="2100">SUBSTITUTE(H2100, ",", "")</f>
        <v>3</v>
      </c>
      <c r="K2100" s="5" t="str">
        <f t="shared" si="2100"/>
        <v>Rp327000</v>
      </c>
      <c r="L2100" s="5" t="str">
        <f t="shared" si="3"/>
        <v>327000</v>
      </c>
    </row>
    <row r="2101">
      <c r="A2101" s="6" t="s">
        <v>3286</v>
      </c>
      <c r="B2101" s="7" t="str">
        <f>HYPERLINK("https://shopee.co.id/Somethinc-5-Niacinamide-Moisture-Sabi-Beet-Serum-40-mL-i.65323877.10819057933", "https://shopee.co.id/Somethinc-5-Niacinamide-Moisture-Sabi-Beet-Serum-40-mL-i.65323877.10819057933")</f>
        <v>https://shopee.co.id/Somethinc-5-Niacinamide-Moisture-Sabi-Beet-Serum-40-mL-i.65323877.10819057933</v>
      </c>
      <c r="C2101" s="6" t="s">
        <v>45</v>
      </c>
      <c r="D2101" s="6" t="s">
        <v>1600</v>
      </c>
      <c r="E2101" s="6" t="s">
        <v>12</v>
      </c>
      <c r="F2101" s="6" t="s">
        <v>13</v>
      </c>
      <c r="G2101" s="6" t="s">
        <v>296</v>
      </c>
      <c r="H2101" s="8" t="s">
        <v>3213</v>
      </c>
      <c r="I2101" s="9">
        <v>185250.0</v>
      </c>
      <c r="J2101" s="5" t="str">
        <f t="shared" ref="J2101:K2101" si="2101">SUBSTITUTE(H2101, ",", "")</f>
        <v>3</v>
      </c>
      <c r="K2101" s="5" t="str">
        <f t="shared" si="2101"/>
        <v>Rp185250</v>
      </c>
      <c r="L2101" s="5" t="str">
        <f t="shared" si="3"/>
        <v>185250</v>
      </c>
    </row>
    <row r="2102">
      <c r="A2102" s="6" t="s">
        <v>3287</v>
      </c>
      <c r="B2102" s="7" t="str">
        <f>HYPERLINK("https://shopee.co.id/PONDS-Serum-Burst-Day-Night-20g-i.30736001.4037497073", "https://shopee.co.id/PONDS-Serum-Burst-Day-Night-20g-i.30736001.4037497073")</f>
        <v>https://shopee.co.id/PONDS-Serum-Burst-Day-Night-20g-i.30736001.4037497073</v>
      </c>
      <c r="C2102" s="6" t="s">
        <v>325</v>
      </c>
      <c r="D2102" s="6" t="s">
        <v>335</v>
      </c>
      <c r="E2102" s="6" t="s">
        <v>12</v>
      </c>
      <c r="F2102" s="6" t="s">
        <v>13</v>
      </c>
      <c r="G2102" s="6" t="s">
        <v>36</v>
      </c>
      <c r="H2102" s="8" t="s">
        <v>3213</v>
      </c>
      <c r="I2102" s="9">
        <v>203550.0</v>
      </c>
      <c r="J2102" s="5" t="str">
        <f t="shared" ref="J2102:K2102" si="2102">SUBSTITUTE(H2102, ",", "")</f>
        <v>3</v>
      </c>
      <c r="K2102" s="5" t="str">
        <f t="shared" si="2102"/>
        <v>Rp203550</v>
      </c>
      <c r="L2102" s="5" t="str">
        <f t="shared" si="3"/>
        <v>203550</v>
      </c>
    </row>
    <row r="2103">
      <c r="A2103" s="6" t="s">
        <v>3288</v>
      </c>
      <c r="B2103" s="7" t="str">
        <f>HYPERLINK("https://shopee.co.id/Bio-Essence-Bio-Renew-Deep-Cleanser-100-gr-i.63822287.3881417876", "https://shopee.co.id/Bio-Essence-Bio-Renew-Deep-Cleanser-100-gr-i.63822287.3881417876")</f>
        <v>https://shopee.co.id/Bio-Essence-Bio-Renew-Deep-Cleanser-100-gr-i.63822287.3881417876</v>
      </c>
      <c r="C2103" s="6" t="s">
        <v>1254</v>
      </c>
      <c r="D2103" s="6" t="s">
        <v>835</v>
      </c>
      <c r="E2103" s="6" t="s">
        <v>12</v>
      </c>
      <c r="F2103" s="6" t="s">
        <v>13</v>
      </c>
      <c r="G2103" s="6" t="s">
        <v>61</v>
      </c>
      <c r="H2103" s="8" t="s">
        <v>3213</v>
      </c>
      <c r="I2103" s="9">
        <v>2219500.0</v>
      </c>
      <c r="J2103" s="5" t="str">
        <f t="shared" ref="J2103:K2103" si="2103">SUBSTITUTE(H2103, ",", "")</f>
        <v>3</v>
      </c>
      <c r="K2103" s="5" t="str">
        <f t="shared" si="2103"/>
        <v>Rp2219500</v>
      </c>
      <c r="L2103" s="5" t="str">
        <f t="shared" si="3"/>
        <v>2219500</v>
      </c>
    </row>
    <row r="2104">
      <c r="A2104" s="6" t="s">
        <v>3289</v>
      </c>
      <c r="B2104" s="7" t="str">
        <f>HYPERLINK("https://shopee.co.id/Utama-Spice-Acne-Day-Serum-30-ml-i.53018304.1265411728", "https://shopee.co.id/Utama-Spice-Acne-Day-Serum-30-ml-i.53018304.1265411728")</f>
        <v>https://shopee.co.id/Utama-Spice-Acne-Day-Serum-30-ml-i.53018304.1265411728</v>
      </c>
      <c r="C2104" s="6" t="s">
        <v>2926</v>
      </c>
      <c r="D2104" s="6" t="s">
        <v>2927</v>
      </c>
      <c r="E2104" s="6" t="s">
        <v>12</v>
      </c>
      <c r="F2104" s="6" t="s">
        <v>13</v>
      </c>
      <c r="G2104" s="6" t="s">
        <v>2928</v>
      </c>
      <c r="H2104" s="8" t="s">
        <v>3213</v>
      </c>
      <c r="I2104" s="9">
        <v>1008599.0</v>
      </c>
      <c r="J2104" s="5" t="str">
        <f t="shared" ref="J2104:K2104" si="2104">SUBSTITUTE(H2104, ",", "")</f>
        <v>3</v>
      </c>
      <c r="K2104" s="5" t="str">
        <f t="shared" si="2104"/>
        <v>Rp1008599</v>
      </c>
      <c r="L2104" s="5" t="str">
        <f t="shared" si="3"/>
        <v>1008599</v>
      </c>
    </row>
    <row r="2105">
      <c r="A2105" s="6" t="s">
        <v>3290</v>
      </c>
      <c r="B2105" s="7" t="str">
        <f>HYPERLINK("https://shopee.co.id/Hydra-Glow-Plumping-Supple-Essence-50ml-Menghidrasi-Kulit-Meredakan-Kemerahan-Akibat-Iritasi-Ringan-i.268493582.5384548520", "https://shopee.co.id/Hydra-Glow-Plumping-Supple-Essence-50ml-Menghidrasi-Kulit-Meredakan-Kemerahan-Akibat-Iritasi-Ringan-i.268493582.5384548520")</f>
        <v>https://shopee.co.id/Hydra-Glow-Plumping-Supple-Essence-50ml-Menghidrasi-Kulit-Meredakan-Kemerahan-Akibat-Iritasi-Ringan-i.268493582.5384548520</v>
      </c>
      <c r="C2105" s="6" t="s">
        <v>1814</v>
      </c>
      <c r="D2105" s="6" t="s">
        <v>2203</v>
      </c>
      <c r="E2105" s="6" t="s">
        <v>12</v>
      </c>
      <c r="F2105" s="6" t="s">
        <v>13</v>
      </c>
      <c r="G2105" s="6" t="s">
        <v>2204</v>
      </c>
      <c r="H2105" s="8" t="s">
        <v>3213</v>
      </c>
      <c r="I2105" s="9">
        <v>713000.0</v>
      </c>
      <c r="J2105" s="5" t="str">
        <f t="shared" ref="J2105:K2105" si="2105">SUBSTITUTE(H2105, ",", "")</f>
        <v>3</v>
      </c>
      <c r="K2105" s="5" t="str">
        <f t="shared" si="2105"/>
        <v>Rp713000</v>
      </c>
      <c r="L2105" s="5" t="str">
        <f t="shared" si="3"/>
        <v>713000</v>
      </c>
    </row>
    <row r="2106">
      <c r="A2106" s="6" t="s">
        <v>3291</v>
      </c>
      <c r="B2106" s="7" t="str">
        <f>HYPERLINK("https://shopee.co.id/HYDRA-BRIGHT-ADVANCED-TREATMENT-SERUM-i.231467354.8858859842", "https://shopee.co.id/HYDRA-BRIGHT-ADVANCED-TREATMENT-SERUM-i.231467354.8858859842")</f>
        <v>https://shopee.co.id/HYDRA-BRIGHT-ADVANCED-TREATMENT-SERUM-i.231467354.8858859842</v>
      </c>
      <c r="C2106" s="6" t="s">
        <v>1814</v>
      </c>
      <c r="D2106" s="6" t="s">
        <v>2879</v>
      </c>
      <c r="E2106" s="6" t="s">
        <v>12</v>
      </c>
      <c r="F2106" s="6" t="s">
        <v>13</v>
      </c>
      <c r="G2106" s="6" t="s">
        <v>532</v>
      </c>
      <c r="H2106" s="8" t="s">
        <v>3213</v>
      </c>
      <c r="I2106" s="9">
        <v>435000.0</v>
      </c>
      <c r="J2106" s="5" t="str">
        <f t="shared" ref="J2106:K2106" si="2106">SUBSTITUTE(H2106, ",", "")</f>
        <v>3</v>
      </c>
      <c r="K2106" s="5" t="str">
        <f t="shared" si="2106"/>
        <v>Rp435000</v>
      </c>
      <c r="L2106" s="5" t="str">
        <f t="shared" si="3"/>
        <v>435000</v>
      </c>
    </row>
    <row r="2107">
      <c r="A2107" s="6" t="s">
        <v>3292</v>
      </c>
      <c r="B2107" s="7" t="str">
        <f>HYPERLINK("https://shopee.co.id/BeautieSS-24K-Gold-Yourth-Glow-Booster-i.48098269.6182398553", "https://shopee.co.id/BeautieSS-24K-Gold-Yourth-Glow-Booster-i.48098269.6182398553")</f>
        <v>https://shopee.co.id/BeautieSS-24K-Gold-Yourth-Glow-Booster-i.48098269.6182398553</v>
      </c>
      <c r="C2107" s="6" t="s">
        <v>3165</v>
      </c>
      <c r="D2107" s="6" t="s">
        <v>3166</v>
      </c>
      <c r="E2107" s="6" t="s">
        <v>12</v>
      </c>
      <c r="F2107" s="6" t="s">
        <v>13</v>
      </c>
      <c r="G2107" s="6" t="s">
        <v>241</v>
      </c>
      <c r="H2107" s="8" t="s">
        <v>3213</v>
      </c>
      <c r="I2107" s="9">
        <v>438000.0</v>
      </c>
      <c r="J2107" s="5" t="str">
        <f t="shared" ref="J2107:K2107" si="2107">SUBSTITUTE(H2107, ",", "")</f>
        <v>3</v>
      </c>
      <c r="K2107" s="5" t="str">
        <f t="shared" si="2107"/>
        <v>Rp438000</v>
      </c>
      <c r="L2107" s="5" t="str">
        <f t="shared" si="3"/>
        <v>438000</v>
      </c>
    </row>
    <row r="2108">
      <c r="A2108" s="6" t="s">
        <v>3293</v>
      </c>
      <c r="B2108" s="7" t="str">
        <f>HYPERLINK("https://shopee.co.id/The-Saem-Urban-Eco-Harakeke-Essence-55ml-i.58386356.1570391030", "https://shopee.co.id/The-Saem-Urban-Eco-Harakeke-Essence-55ml-i.58386356.1570391030")</f>
        <v>https://shopee.co.id/The-Saem-Urban-Eco-Harakeke-Essence-55ml-i.58386356.1570391030</v>
      </c>
      <c r="C2108" s="6" t="s">
        <v>2339</v>
      </c>
      <c r="D2108" s="6" t="s">
        <v>2340</v>
      </c>
      <c r="E2108" s="6" t="s">
        <v>12</v>
      </c>
      <c r="F2108" s="6" t="s">
        <v>13</v>
      </c>
      <c r="G2108" s="6" t="s">
        <v>21</v>
      </c>
      <c r="H2108" s="8" t="s">
        <v>3213</v>
      </c>
      <c r="I2108" s="9">
        <v>924000.0</v>
      </c>
      <c r="J2108" s="5" t="str">
        <f t="shared" ref="J2108:K2108" si="2108">SUBSTITUTE(H2108, ",", "")</f>
        <v>3</v>
      </c>
      <c r="K2108" s="5" t="str">
        <f t="shared" si="2108"/>
        <v>Rp924000</v>
      </c>
      <c r="L2108" s="5" t="str">
        <f t="shared" si="3"/>
        <v>924000</v>
      </c>
    </row>
    <row r="2109">
      <c r="A2109" s="6" t="s">
        <v>3294</v>
      </c>
      <c r="B2109" s="7" t="str">
        <f>HYPERLINK("https://shopee.co.id/Humphrey-Mugwort-Anti-Acne-Package-i.83349.9673537099", "https://shopee.co.id/Humphrey-Mugwort-Anti-Acne-Package-i.83349.9673537099")</f>
        <v>https://shopee.co.id/Humphrey-Mugwort-Anti-Acne-Package-i.83349.9673537099</v>
      </c>
      <c r="C2109" s="6" t="s">
        <v>1832</v>
      </c>
      <c r="D2109" s="6" t="s">
        <v>1833</v>
      </c>
      <c r="E2109" s="6" t="s">
        <v>12</v>
      </c>
      <c r="F2109" s="6" t="s">
        <v>13</v>
      </c>
      <c r="G2109" s="6" t="s">
        <v>21</v>
      </c>
      <c r="H2109" s="8" t="s">
        <v>3213</v>
      </c>
      <c r="I2109" s="9">
        <v>280000.0</v>
      </c>
      <c r="J2109" s="5" t="str">
        <f t="shared" ref="J2109:K2109" si="2109">SUBSTITUTE(H2109, ",", "")</f>
        <v>3</v>
      </c>
      <c r="K2109" s="5" t="str">
        <f t="shared" si="2109"/>
        <v>Rp280000</v>
      </c>
      <c r="L2109" s="5" t="str">
        <f t="shared" si="3"/>
        <v>280000</v>
      </c>
    </row>
    <row r="2110">
      <c r="A2110" s="6" t="s">
        <v>3295</v>
      </c>
      <c r="B2110" s="7" t="str">
        <f>HYPERLINK("https://shopee.co.id/Lokos-me-Pearl-Serum-With-Beads-i.5109240.5161874344", "https://shopee.co.id/Lokos-me-Pearl-Serum-With-Beads-i.5109240.5161874344")</f>
        <v>https://shopee.co.id/Lokos-me-Pearl-Serum-With-Beads-i.5109240.5161874344</v>
      </c>
      <c r="C2110" s="6" t="s">
        <v>3296</v>
      </c>
      <c r="D2110" s="6" t="s">
        <v>3297</v>
      </c>
      <c r="E2110" s="6" t="s">
        <v>12</v>
      </c>
      <c r="F2110" s="6" t="s">
        <v>13</v>
      </c>
      <c r="G2110" s="6" t="s">
        <v>1130</v>
      </c>
      <c r="H2110" s="8" t="s">
        <v>3213</v>
      </c>
      <c r="I2110" s="9">
        <v>375000.0</v>
      </c>
      <c r="J2110" s="5" t="str">
        <f t="shared" ref="J2110:K2110" si="2110">SUBSTITUTE(H2110, ",", "")</f>
        <v>3</v>
      </c>
      <c r="K2110" s="5" t="str">
        <f t="shared" si="2110"/>
        <v>Rp375000</v>
      </c>
      <c r="L2110" s="5" t="str">
        <f t="shared" si="3"/>
        <v>375000</v>
      </c>
    </row>
    <row r="2111">
      <c r="A2111" s="6" t="s">
        <v>3298</v>
      </c>
      <c r="B2111" s="7" t="str">
        <f>HYPERLINK("https://shopee.co.id/Skin-Game-Acne-Combat-Serum-30ml-i.136011044.7185962176", "https://shopee.co.id/Skin-Game-Acne-Combat-Serum-30ml-i.136011044.7185962176")</f>
        <v>https://shopee.co.id/Skin-Game-Acne-Combat-Serum-30ml-i.136011044.7185962176</v>
      </c>
      <c r="C2111" s="6" t="s">
        <v>523</v>
      </c>
      <c r="D2111" s="6" t="s">
        <v>632</v>
      </c>
      <c r="E2111" s="6" t="s">
        <v>12</v>
      </c>
      <c r="F2111" s="6" t="s">
        <v>13</v>
      </c>
      <c r="G2111" s="6" t="s">
        <v>21</v>
      </c>
      <c r="H2111" s="8" t="s">
        <v>3213</v>
      </c>
      <c r="I2111" s="9">
        <v>7950000.0</v>
      </c>
      <c r="J2111" s="5" t="str">
        <f t="shared" ref="J2111:K2111" si="2111">SUBSTITUTE(H2111, ",", "")</f>
        <v>3</v>
      </c>
      <c r="K2111" s="5" t="str">
        <f t="shared" si="2111"/>
        <v>Rp7950000</v>
      </c>
      <c r="L2111" s="5" t="str">
        <f t="shared" si="3"/>
        <v>7950000</v>
      </c>
    </row>
    <row r="2112">
      <c r="A2112" s="6" t="s">
        <v>3299</v>
      </c>
      <c r="B2112" s="7" t="str">
        <f>HYPERLINK("https://shopee.co.id/Rivera-Endless-Bright-Advanced-Brightening-Serum-i.15093776.520389222", "https://shopee.co.id/Rivera-Endless-Bright-Advanced-Brightening-Serum-i.15093776.520389222")</f>
        <v>https://shopee.co.id/Rivera-Endless-Bright-Advanced-Brightening-Serum-i.15093776.520389222</v>
      </c>
      <c r="C2112" s="6" t="s">
        <v>2399</v>
      </c>
      <c r="D2112" s="6" t="s">
        <v>2400</v>
      </c>
      <c r="E2112" s="6" t="s">
        <v>12</v>
      </c>
      <c r="F2112" s="6" t="s">
        <v>13</v>
      </c>
      <c r="G2112" s="6" t="s">
        <v>21</v>
      </c>
      <c r="H2112" s="8" t="s">
        <v>3213</v>
      </c>
      <c r="I2112" s="9">
        <v>387000.0</v>
      </c>
      <c r="J2112" s="5" t="str">
        <f t="shared" ref="J2112:K2112" si="2112">SUBSTITUTE(H2112, ",", "")</f>
        <v>3</v>
      </c>
      <c r="K2112" s="5" t="str">
        <f t="shared" si="2112"/>
        <v>Rp387000</v>
      </c>
      <c r="L2112" s="5" t="str">
        <f t="shared" si="3"/>
        <v>387000</v>
      </c>
    </row>
    <row r="2113">
      <c r="A2113" s="6" t="s">
        <v>3300</v>
      </c>
      <c r="B2113" s="7" t="str">
        <f>HYPERLINK("https://shopee.co.id/Skin-Game-Acne-Combat-Serum-i.270965687.10605442206", "https://shopee.co.id/Skin-Game-Acne-Combat-Serum-i.270965687.10605442206")</f>
        <v>https://shopee.co.id/Skin-Game-Acne-Combat-Serum-i.270965687.10605442206</v>
      </c>
      <c r="C2113" s="6" t="s">
        <v>523</v>
      </c>
      <c r="D2113" s="6" t="s">
        <v>379</v>
      </c>
      <c r="E2113" s="6" t="s">
        <v>12</v>
      </c>
      <c r="F2113" s="6" t="s">
        <v>13</v>
      </c>
      <c r="G2113" s="6" t="s">
        <v>380</v>
      </c>
      <c r="H2113" s="8" t="s">
        <v>3213</v>
      </c>
      <c r="I2113" s="9">
        <v>3150000.0</v>
      </c>
      <c r="J2113" s="5" t="str">
        <f t="shared" ref="J2113:K2113" si="2113">SUBSTITUTE(H2113, ",", "")</f>
        <v>3</v>
      </c>
      <c r="K2113" s="5" t="str">
        <f t="shared" si="2113"/>
        <v>Rp3150000</v>
      </c>
      <c r="L2113" s="5" t="str">
        <f t="shared" si="3"/>
        <v>3150000</v>
      </c>
    </row>
    <row r="2114">
      <c r="A2114" s="6" t="s">
        <v>3301</v>
      </c>
      <c r="B2114" s="7" t="str">
        <f>HYPERLINK("https://shopee.co.id/Click-House-Pore-Refining-Serum-Oily-Free-i.130532371.4542669194", "https://shopee.co.id/Click-House-Pore-Refining-Serum-Oily-Free-i.130532371.4542669194")</f>
        <v>https://shopee.co.id/Click-House-Pore-Refining-Serum-Oily-Free-i.130532371.4542669194</v>
      </c>
      <c r="C2114" s="6" t="s">
        <v>2021</v>
      </c>
      <c r="D2114" s="6" t="s">
        <v>2022</v>
      </c>
      <c r="E2114" s="6" t="s">
        <v>12</v>
      </c>
      <c r="F2114" s="6" t="s">
        <v>13</v>
      </c>
      <c r="G2114" s="6" t="s">
        <v>98</v>
      </c>
      <c r="H2114" s="8" t="s">
        <v>3213</v>
      </c>
      <c r="I2114" s="9">
        <v>3525000.0</v>
      </c>
      <c r="J2114" s="5" t="str">
        <f t="shared" ref="J2114:K2114" si="2114">SUBSTITUTE(H2114, ",", "")</f>
        <v>3</v>
      </c>
      <c r="K2114" s="5" t="str">
        <f t="shared" si="2114"/>
        <v>Rp3525000</v>
      </c>
      <c r="L2114" s="5" t="str">
        <f t="shared" si="3"/>
        <v>3525000</v>
      </c>
    </row>
    <row r="2115">
      <c r="A2115" s="6" t="s">
        <v>3302</v>
      </c>
      <c r="B2115" s="7" t="str">
        <f>HYPERLINK("https://shopee.co.id/ElsheSkin-Radiant-Skin-Serum-20ml-i.825870.1923897080", "https://shopee.co.id/ElsheSkin-Radiant-Skin-Serum-20ml-i.825870.1923897080")</f>
        <v>https://shopee.co.id/ElsheSkin-Radiant-Skin-Serum-20ml-i.825870.1923897080</v>
      </c>
      <c r="C2115" s="6" t="s">
        <v>135</v>
      </c>
      <c r="D2115" s="6" t="s">
        <v>1184</v>
      </c>
      <c r="E2115" s="6" t="s">
        <v>12</v>
      </c>
      <c r="F2115" s="6" t="s">
        <v>13</v>
      </c>
      <c r="G2115" s="6" t="s">
        <v>21</v>
      </c>
      <c r="H2115" s="8" t="s">
        <v>3213</v>
      </c>
      <c r="I2115" s="9">
        <v>637500.0</v>
      </c>
      <c r="J2115" s="5" t="str">
        <f t="shared" ref="J2115:K2115" si="2115">SUBSTITUTE(H2115, ",", "")</f>
        <v>3</v>
      </c>
      <c r="K2115" s="5" t="str">
        <f t="shared" si="2115"/>
        <v>Rp637500</v>
      </c>
      <c r="L2115" s="5" t="str">
        <f t="shared" si="3"/>
        <v>637500</v>
      </c>
    </row>
    <row r="2116">
      <c r="A2116" s="6" t="s">
        <v>3303</v>
      </c>
      <c r="B2116" s="7" t="str">
        <f>HYPERLINK("https://shopee.co.id/Azalea-Amazing-Brightening-Face-Serum-Special-Package-i.38631574.7268935474", "https://shopee.co.id/Azalea-Amazing-Brightening-Face-Serum-Special-Package-i.38631574.7268935474")</f>
        <v>https://shopee.co.id/Azalea-Amazing-Brightening-Face-Serum-Special-Package-i.38631574.7268935474</v>
      </c>
      <c r="C2116" s="6" t="s">
        <v>1463</v>
      </c>
      <c r="D2116" s="6" t="s">
        <v>1235</v>
      </c>
      <c r="E2116" s="6" t="s">
        <v>12</v>
      </c>
      <c r="F2116" s="6" t="s">
        <v>13</v>
      </c>
      <c r="G2116" s="6" t="s">
        <v>469</v>
      </c>
      <c r="H2116" s="8" t="s">
        <v>3213</v>
      </c>
      <c r="I2116" s="9">
        <v>435000.0</v>
      </c>
      <c r="J2116" s="5" t="str">
        <f t="shared" ref="J2116:K2116" si="2116">SUBSTITUTE(H2116, ",", "")</f>
        <v>3</v>
      </c>
      <c r="K2116" s="5" t="str">
        <f t="shared" si="2116"/>
        <v>Rp435000</v>
      </c>
      <c r="L2116" s="5" t="str">
        <f t="shared" si="3"/>
        <v>435000</v>
      </c>
    </row>
    <row r="2117">
      <c r="A2117" s="6" t="s">
        <v>3304</v>
      </c>
      <c r="B2117" s="7" t="str">
        <f>HYPERLINK("https://shopee.co.id/Quesella-Galactomyces-Treatment-Essence-30ml-i.115322454.6717427005", "https://shopee.co.id/Quesella-Galactomyces-Treatment-Essence-30ml-i.115322454.6717427005")</f>
        <v>https://shopee.co.id/Quesella-Galactomyces-Treatment-Essence-30ml-i.115322454.6717427005</v>
      </c>
      <c r="C2117" s="6" t="s">
        <v>3305</v>
      </c>
      <c r="D2117" s="6" t="s">
        <v>3306</v>
      </c>
      <c r="E2117" s="6" t="s">
        <v>12</v>
      </c>
      <c r="F2117" s="6" t="s">
        <v>13</v>
      </c>
      <c r="G2117" s="6" t="s">
        <v>98</v>
      </c>
      <c r="H2117" s="8" t="s">
        <v>3213</v>
      </c>
      <c r="I2117" s="9">
        <v>3750000.0</v>
      </c>
      <c r="J2117" s="5" t="str">
        <f t="shared" ref="J2117:K2117" si="2117">SUBSTITUTE(H2117, ",", "")</f>
        <v>3</v>
      </c>
      <c r="K2117" s="5" t="str">
        <f t="shared" si="2117"/>
        <v>Rp3750000</v>
      </c>
      <c r="L2117" s="5" t="str">
        <f t="shared" si="3"/>
        <v>3750000</v>
      </c>
    </row>
    <row r="2118">
      <c r="A2118" s="6" t="s">
        <v>3307</v>
      </c>
      <c r="B2118" s="7" t="str">
        <f>HYPERLINK("https://shopee.co.id/NATURE-REPUBLIC-Hyalon-Active-10-Blue-Capsule-Serum-Special-Set-i.78838801.5863329139", "https://shopee.co.id/NATURE-REPUBLIC-Hyalon-Active-10-Blue-Capsule-Serum-Special-Set-i.78838801.5863329139")</f>
        <v>https://shopee.co.id/NATURE-REPUBLIC-Hyalon-Active-10-Blue-Capsule-Serum-Special-Set-i.78838801.5863329139</v>
      </c>
      <c r="C2118" s="6" t="s">
        <v>1079</v>
      </c>
      <c r="D2118" s="6" t="s">
        <v>1080</v>
      </c>
      <c r="E2118" s="6" t="s">
        <v>12</v>
      </c>
      <c r="F2118" s="6" t="s">
        <v>13</v>
      </c>
      <c r="G2118" s="6" t="s">
        <v>532</v>
      </c>
      <c r="H2118" s="8" t="s">
        <v>3213</v>
      </c>
      <c r="I2118" s="9">
        <v>252000.0</v>
      </c>
      <c r="J2118" s="5" t="str">
        <f t="shared" ref="J2118:K2118" si="2118">SUBSTITUTE(H2118, ",", "")</f>
        <v>3</v>
      </c>
      <c r="K2118" s="5" t="str">
        <f t="shared" si="2118"/>
        <v>Rp252000</v>
      </c>
      <c r="L2118" s="5" t="str">
        <f t="shared" si="3"/>
        <v>252000</v>
      </c>
    </row>
    <row r="2119">
      <c r="A2119" s="6" t="s">
        <v>3308</v>
      </c>
      <c r="B2119" s="7" t="str">
        <f>HYPERLINK("https://shopee.co.id/Clinelle-Whitenup-Brightening-Spot-Corector-Essence-15ml-i.186214521.6733299050", "https://shopee.co.id/Clinelle-Whitenup-Brightening-Spot-Corector-Essence-15ml-i.186214521.6733299050")</f>
        <v>https://shopee.co.id/Clinelle-Whitenup-Brightening-Spot-Corector-Essence-15ml-i.186214521.6733299050</v>
      </c>
      <c r="C2119" s="6" t="s">
        <v>1456</v>
      </c>
      <c r="D2119" s="6" t="s">
        <v>2293</v>
      </c>
      <c r="E2119" s="6" t="s">
        <v>12</v>
      </c>
      <c r="F2119" s="6" t="s">
        <v>13</v>
      </c>
      <c r="G2119" s="6" t="s">
        <v>61</v>
      </c>
      <c r="H2119" s="8" t="s">
        <v>3213</v>
      </c>
      <c r="I2119" s="9">
        <v>495000.0</v>
      </c>
      <c r="J2119" s="5" t="str">
        <f t="shared" ref="J2119:K2119" si="2119">SUBSTITUTE(H2119, ",", "")</f>
        <v>3</v>
      </c>
      <c r="K2119" s="5" t="str">
        <f t="shared" si="2119"/>
        <v>Rp495000</v>
      </c>
      <c r="L2119" s="5" t="str">
        <f t="shared" si="3"/>
        <v>495000</v>
      </c>
    </row>
    <row r="2120">
      <c r="A2120" s="6" t="s">
        <v>3309</v>
      </c>
      <c r="B2120" s="7" t="str">
        <f>HYPERLINK("https://shopee.co.id/RORO-MENDUT-Orange-Peel-Kojic-Acid-Serum-i.87869551.4481750193", "https://shopee.co.id/RORO-MENDUT-Orange-Peel-Kojic-Acid-Serum-i.87869551.4481750193")</f>
        <v>https://shopee.co.id/RORO-MENDUT-Orange-Peel-Kojic-Acid-Serum-i.87869551.4481750193</v>
      </c>
      <c r="C2120" s="6" t="s">
        <v>1526</v>
      </c>
      <c r="D2120" s="6" t="s">
        <v>1527</v>
      </c>
      <c r="E2120" s="6" t="s">
        <v>12</v>
      </c>
      <c r="F2120" s="6" t="s">
        <v>13</v>
      </c>
      <c r="G2120" s="6" t="s">
        <v>380</v>
      </c>
      <c r="H2120" s="8" t="s">
        <v>3213</v>
      </c>
      <c r="I2120" s="9">
        <v>870000.0</v>
      </c>
      <c r="J2120" s="5" t="str">
        <f t="shared" ref="J2120:K2120" si="2120">SUBSTITUTE(H2120, ",", "")</f>
        <v>3</v>
      </c>
      <c r="K2120" s="5" t="str">
        <f t="shared" si="2120"/>
        <v>Rp870000</v>
      </c>
      <c r="L2120" s="5" t="str">
        <f t="shared" si="3"/>
        <v>870000</v>
      </c>
    </row>
    <row r="2121">
      <c r="A2121" s="6" t="s">
        <v>3310</v>
      </c>
      <c r="B2121" s="7" t="str">
        <f>HYPERLINK("https://shopee.co.id/SAFI-Age-Defy-Gold-Water-Essence-100ml-i.68111.1002624507", "https://shopee.co.id/SAFI-Age-Defy-Gold-Water-Essence-100ml-i.68111.1002624507")</f>
        <v>https://shopee.co.id/SAFI-Age-Defy-Gold-Water-Essence-100ml-i.68111.1002624507</v>
      </c>
      <c r="C2121" s="6" t="s">
        <v>278</v>
      </c>
      <c r="D2121" s="6" t="s">
        <v>441</v>
      </c>
      <c r="E2121" s="6" t="s">
        <v>12</v>
      </c>
      <c r="F2121" s="6" t="s">
        <v>13</v>
      </c>
      <c r="G2121" s="6" t="s">
        <v>130</v>
      </c>
      <c r="H2121" s="8" t="s">
        <v>3213</v>
      </c>
      <c r="I2121" s="9">
        <v>705000.0</v>
      </c>
      <c r="J2121" s="5" t="str">
        <f t="shared" ref="J2121:K2121" si="2121">SUBSTITUTE(H2121, ",", "")</f>
        <v>3</v>
      </c>
      <c r="K2121" s="5" t="str">
        <f t="shared" si="2121"/>
        <v>Rp705000</v>
      </c>
      <c r="L2121" s="5" t="str">
        <f t="shared" si="3"/>
        <v>705000</v>
      </c>
    </row>
    <row r="2122">
      <c r="A2122" s="6" t="s">
        <v>3311</v>
      </c>
      <c r="B2122" s="7" t="str">
        <f>HYPERLINK("https://shopee.co.id/Dear-Me-Beauty-Hyaluronic-Acid-Pomegranate-Extract-Face-Serum-12ml-i.270965687.9158609078", "https://shopee.co.id/Dear-Me-Beauty-Hyaluronic-Acid-Pomegranate-Extract-Face-Serum-12ml-i.270965687.9158609078")</f>
        <v>https://shopee.co.id/Dear-Me-Beauty-Hyaluronic-Acid-Pomegranate-Extract-Face-Serum-12ml-i.270965687.9158609078</v>
      </c>
      <c r="C2122" s="6" t="s">
        <v>70</v>
      </c>
      <c r="D2122" s="6" t="s">
        <v>379</v>
      </c>
      <c r="E2122" s="6" t="s">
        <v>12</v>
      </c>
      <c r="F2122" s="6" t="s">
        <v>13</v>
      </c>
      <c r="G2122" s="6" t="s">
        <v>380</v>
      </c>
      <c r="H2122" s="8" t="s">
        <v>3213</v>
      </c>
      <c r="I2122" s="9">
        <v>284900.0</v>
      </c>
      <c r="J2122" s="5" t="str">
        <f t="shared" ref="J2122:K2122" si="2122">SUBSTITUTE(H2122, ",", "")</f>
        <v>3</v>
      </c>
      <c r="K2122" s="5" t="str">
        <f t="shared" si="2122"/>
        <v>Rp284900</v>
      </c>
      <c r="L2122" s="5" t="str">
        <f t="shared" si="3"/>
        <v>284900</v>
      </c>
    </row>
    <row r="2123">
      <c r="A2123" s="6" t="s">
        <v>3312</v>
      </c>
      <c r="B2123" s="7" t="str">
        <f>HYPERLINK("https://shopee.co.id/Heimish-Bulgarian-Rose-Mist-Serum-i.125116082.2753012293", "https://shopee.co.id/Heimish-Bulgarian-Rose-Mist-Serum-i.125116082.2753012293")</f>
        <v>https://shopee.co.id/Heimish-Bulgarian-Rose-Mist-Serum-i.125116082.2753012293</v>
      </c>
      <c r="C2123" s="6" t="s">
        <v>3313</v>
      </c>
      <c r="D2123" s="6" t="s">
        <v>713</v>
      </c>
      <c r="E2123" s="6" t="s">
        <v>12</v>
      </c>
      <c r="F2123" s="6" t="s">
        <v>13</v>
      </c>
      <c r="G2123" s="6" t="s">
        <v>61</v>
      </c>
      <c r="H2123" s="8" t="s">
        <v>3213</v>
      </c>
      <c r="I2123" s="9">
        <v>387450.0</v>
      </c>
      <c r="J2123" s="5" t="str">
        <f t="shared" ref="J2123:K2123" si="2123">SUBSTITUTE(H2123, ",", "")</f>
        <v>3</v>
      </c>
      <c r="K2123" s="5" t="str">
        <f t="shared" si="2123"/>
        <v>Rp387450</v>
      </c>
      <c r="L2123" s="5" t="str">
        <f t="shared" si="3"/>
        <v>387450</v>
      </c>
    </row>
    <row r="2124">
      <c r="A2124" s="6" t="s">
        <v>3314</v>
      </c>
      <c r="B2124" s="7" t="str">
        <f>HYPERLINK("https://shopee.co.id/Advanced-Serum-Marwah-Skin-Care-i.357101711.7469594301", "https://shopee.co.id/Advanced-Serum-Marwah-Skin-Care-i.357101711.7469594301")</f>
        <v>https://shopee.co.id/Advanced-Serum-Marwah-Skin-Care-i.357101711.7469594301</v>
      </c>
      <c r="C2124" s="6" t="s">
        <v>2249</v>
      </c>
      <c r="D2124" s="6" t="s">
        <v>2250</v>
      </c>
      <c r="E2124" s="6" t="s">
        <v>12</v>
      </c>
      <c r="F2124" s="6" t="s">
        <v>13</v>
      </c>
      <c r="G2124" s="6" t="s">
        <v>370</v>
      </c>
      <c r="H2124" s="8" t="s">
        <v>3213</v>
      </c>
      <c r="I2124" s="9">
        <v>597000.0</v>
      </c>
      <c r="J2124" s="5" t="str">
        <f t="shared" ref="J2124:K2124" si="2124">SUBSTITUTE(H2124, ",", "")</f>
        <v>3</v>
      </c>
      <c r="K2124" s="5" t="str">
        <f t="shared" si="2124"/>
        <v>Rp597000</v>
      </c>
      <c r="L2124" s="5" t="str">
        <f t="shared" si="3"/>
        <v>597000</v>
      </c>
    </row>
    <row r="2125">
      <c r="A2125" s="6" t="s">
        <v>3315</v>
      </c>
      <c r="B2125" s="7" t="str">
        <f>HYPERLINK("https://shopee.co.id/Mireya-Glow-C-Youth-Boost-Serum-i.101578297.3988276949", "https://shopee.co.id/Mireya-Glow-C-Youth-Boost-Serum-i.101578297.3988276949")</f>
        <v>https://shopee.co.id/Mireya-Glow-C-Youth-Boost-Serum-i.101578297.3988276949</v>
      </c>
      <c r="C2125" s="6" t="s">
        <v>2430</v>
      </c>
      <c r="D2125" s="6" t="s">
        <v>2431</v>
      </c>
      <c r="E2125" s="6" t="s">
        <v>12</v>
      </c>
      <c r="F2125" s="6" t="s">
        <v>13</v>
      </c>
      <c r="G2125" s="6" t="s">
        <v>21</v>
      </c>
      <c r="H2125" s="8" t="s">
        <v>3213</v>
      </c>
      <c r="I2125" s="9">
        <v>1140000.0</v>
      </c>
      <c r="J2125" s="5" t="str">
        <f t="shared" ref="J2125:K2125" si="2125">SUBSTITUTE(H2125, ",", "")</f>
        <v>3</v>
      </c>
      <c r="K2125" s="5" t="str">
        <f t="shared" si="2125"/>
        <v>Rp1140000</v>
      </c>
      <c r="L2125" s="5" t="str">
        <f t="shared" si="3"/>
        <v>1140000</v>
      </c>
    </row>
    <row r="2126">
      <c r="A2126" s="6" t="s">
        <v>3316</v>
      </c>
      <c r="B2126" s="7" t="str">
        <f>HYPERLINK("https://shopee.co.id/the-Aubree-Centella-Herb-Serum-Unscented-30ml-i.50948181.4672816765", "https://shopee.co.id/the-Aubree-Centella-Herb-Serum-Unscented-30ml-i.50948181.4672816765")</f>
        <v>https://shopee.co.id/the-Aubree-Centella-Herb-Serum-Unscented-30ml-i.50948181.4672816765</v>
      </c>
      <c r="C2126" s="6" t="s">
        <v>772</v>
      </c>
      <c r="D2126" s="6" t="s">
        <v>1129</v>
      </c>
      <c r="E2126" s="6" t="s">
        <v>12</v>
      </c>
      <c r="F2126" s="6" t="s">
        <v>13</v>
      </c>
      <c r="G2126" s="6" t="s">
        <v>1130</v>
      </c>
      <c r="H2126" s="8" t="s">
        <v>3213</v>
      </c>
      <c r="I2126" s="9">
        <v>627000.0</v>
      </c>
      <c r="J2126" s="5" t="str">
        <f t="shared" ref="J2126:K2126" si="2126">SUBSTITUTE(H2126, ",", "")</f>
        <v>3</v>
      </c>
      <c r="K2126" s="5" t="str">
        <f t="shared" si="2126"/>
        <v>Rp627000</v>
      </c>
      <c r="L2126" s="5" t="str">
        <f t="shared" si="3"/>
        <v>627000</v>
      </c>
    </row>
    <row r="2127">
      <c r="A2127" s="6" t="s">
        <v>3317</v>
      </c>
      <c r="B2127" s="7" t="str">
        <f>HYPERLINK("https://shopee.co.id/Azarine-Lightening-ToneUp-Body-Serum-C-White-100-mL-i.65323877.11119054360", "https://shopee.co.id/Azarine-Lightening-ToneUp-Body-Serum-C-White-100-mL-i.65323877.11119054360")</f>
        <v>https://shopee.co.id/Azarine-Lightening-ToneUp-Body-Serum-C-White-100-mL-i.65323877.11119054360</v>
      </c>
      <c r="C2127" s="6" t="s">
        <v>233</v>
      </c>
      <c r="D2127" s="6" t="s">
        <v>1600</v>
      </c>
      <c r="E2127" s="6" t="s">
        <v>12</v>
      </c>
      <c r="F2127" s="6" t="s">
        <v>13</v>
      </c>
      <c r="G2127" s="6" t="s">
        <v>296</v>
      </c>
      <c r="H2127" s="8" t="s">
        <v>3213</v>
      </c>
      <c r="I2127" s="9">
        <v>589000.0</v>
      </c>
      <c r="J2127" s="5" t="str">
        <f t="shared" ref="J2127:K2127" si="2127">SUBSTITUTE(H2127, ",", "")</f>
        <v>3</v>
      </c>
      <c r="K2127" s="5" t="str">
        <f t="shared" si="2127"/>
        <v>Rp589000</v>
      </c>
      <c r="L2127" s="5" t="str">
        <f t="shared" si="3"/>
        <v>589000</v>
      </c>
    </row>
    <row r="2128">
      <c r="A2128" s="6" t="s">
        <v>3318</v>
      </c>
      <c r="B2128" s="7" t="str">
        <f>HYPERLINK("https://shopee.co.id/Fanbo-Skin-Goals-Bright-Glow-Serum-i.12057760.10739210911", "https://shopee.co.id/Fanbo-Skin-Goals-Bright-Glow-Serum-i.12057760.10739210911")</f>
        <v>https://shopee.co.id/Fanbo-Skin-Goals-Bright-Glow-Serum-i.12057760.10739210911</v>
      </c>
      <c r="C2128" s="6" t="s">
        <v>2376</v>
      </c>
      <c r="D2128" s="6" t="s">
        <v>2377</v>
      </c>
      <c r="E2128" s="6" t="s">
        <v>12</v>
      </c>
      <c r="F2128" s="6" t="s">
        <v>13</v>
      </c>
      <c r="G2128" s="6" t="s">
        <v>21</v>
      </c>
      <c r="H2128" s="8" t="s">
        <v>3213</v>
      </c>
      <c r="I2128" s="9">
        <v>217500.0</v>
      </c>
      <c r="J2128" s="5" t="str">
        <f t="shared" ref="J2128:K2128" si="2128">SUBSTITUTE(H2128, ",", "")</f>
        <v>3</v>
      </c>
      <c r="K2128" s="5" t="str">
        <f t="shared" si="2128"/>
        <v>Rp217500</v>
      </c>
      <c r="L2128" s="5" t="str">
        <f t="shared" si="3"/>
        <v>217500</v>
      </c>
    </row>
    <row r="2129">
      <c r="A2129" s="6" t="s">
        <v>3319</v>
      </c>
      <c r="B2129" s="7" t="str">
        <f>HYPERLINK("https://shopee.co.id/Pyunkang-Yul-Moisture-Serum-100ml-i.136011044.4441651859", "https://shopee.co.id/Pyunkang-Yul-Moisture-Serum-100ml-i.136011044.4441651859")</f>
        <v>https://shopee.co.id/Pyunkang-Yul-Moisture-Serum-100ml-i.136011044.4441651859</v>
      </c>
      <c r="C2129" s="6" t="s">
        <v>475</v>
      </c>
      <c r="D2129" s="6" t="s">
        <v>632</v>
      </c>
      <c r="E2129" s="6" t="s">
        <v>12</v>
      </c>
      <c r="F2129" s="6" t="s">
        <v>13</v>
      </c>
      <c r="G2129" s="6" t="s">
        <v>21</v>
      </c>
      <c r="H2129" s="8" t="s">
        <v>3213</v>
      </c>
      <c r="I2129" s="9">
        <v>372000.0</v>
      </c>
      <c r="J2129" s="5" t="str">
        <f t="shared" ref="J2129:K2129" si="2129">SUBSTITUTE(H2129, ",", "")</f>
        <v>3</v>
      </c>
      <c r="K2129" s="5" t="str">
        <f t="shared" si="2129"/>
        <v>Rp372000</v>
      </c>
      <c r="L2129" s="5" t="str">
        <f t="shared" si="3"/>
        <v>372000</v>
      </c>
    </row>
    <row r="2130">
      <c r="A2130" s="6" t="s">
        <v>3320</v>
      </c>
      <c r="B2130" s="7" t="str">
        <f>HYPERLINK("https://shopee.co.id/-Buy-1-Get-1-Lysca-White-Serum-20ml-Whitening-Booster-i.267190835.3791494361", "https://shopee.co.id/-Buy-1-Get-1-Lysca-White-Serum-20ml-Whitening-Booster-i.267190835.3791494361")</f>
        <v>https://shopee.co.id/-Buy-1-Get-1-Lysca-White-Serum-20ml-Whitening-Booster-i.267190835.3791494361</v>
      </c>
      <c r="C2130" s="6" t="s">
        <v>2097</v>
      </c>
      <c r="D2130" s="6" t="s">
        <v>2098</v>
      </c>
      <c r="E2130" s="6" t="s">
        <v>12</v>
      </c>
      <c r="F2130" s="6" t="s">
        <v>13</v>
      </c>
      <c r="G2130" s="6" t="s">
        <v>115</v>
      </c>
      <c r="H2130" s="8" t="s">
        <v>3213</v>
      </c>
      <c r="I2130" s="9">
        <v>624170.0</v>
      </c>
      <c r="J2130" s="5" t="str">
        <f t="shared" ref="J2130:K2130" si="2130">SUBSTITUTE(H2130, ",", "")</f>
        <v>3</v>
      </c>
      <c r="K2130" s="5" t="str">
        <f t="shared" si="2130"/>
        <v>Rp624170</v>
      </c>
      <c r="L2130" s="5" t="str">
        <f t="shared" si="3"/>
        <v>624170</v>
      </c>
    </row>
    <row r="2131">
      <c r="A2131" s="6" t="s">
        <v>1409</v>
      </c>
      <c r="B2131" s="7" t="str">
        <f>HYPERLINK("https://shopee.co.id/Azarine-AHA-BHA-Miraclear-Herbal-Peeling-Serum-20ml-i.136011044.10715354896", "https://shopee.co.id/Azarine-AHA-BHA-Miraclear-Herbal-Peeling-Serum-20ml-i.136011044.10715354896")</f>
        <v>https://shopee.co.id/Azarine-AHA-BHA-Miraclear-Herbal-Peeling-Serum-20ml-i.136011044.10715354896</v>
      </c>
      <c r="C2131" s="6" t="s">
        <v>233</v>
      </c>
      <c r="D2131" s="6" t="s">
        <v>632</v>
      </c>
      <c r="E2131" s="6" t="s">
        <v>12</v>
      </c>
      <c r="F2131" s="6" t="s">
        <v>13</v>
      </c>
      <c r="G2131" s="6" t="s">
        <v>21</v>
      </c>
      <c r="H2131" s="8" t="s">
        <v>3213</v>
      </c>
      <c r="I2131" s="9">
        <v>297000.0</v>
      </c>
      <c r="J2131" s="5" t="str">
        <f t="shared" ref="J2131:K2131" si="2131">SUBSTITUTE(H2131, ",", "")</f>
        <v>3</v>
      </c>
      <c r="K2131" s="5" t="str">
        <f t="shared" si="2131"/>
        <v>Rp297000</v>
      </c>
      <c r="L2131" s="5" t="str">
        <f t="shared" si="3"/>
        <v>297000</v>
      </c>
    </row>
    <row r="2132">
      <c r="A2132" s="6" t="s">
        <v>3321</v>
      </c>
      <c r="B2132" s="7" t="str">
        <f>HYPERLINK("https://shopee.co.id/Yoqueen-Beauty-Essence-60ml-Free-Yogurt-Mask-100ml-i.48380572.8487030254", "https://shopee.co.id/Yoqueen-Beauty-Essence-60ml-Free-Yogurt-Mask-100ml-i.48380572.8487030254")</f>
        <v>https://shopee.co.id/Yoqueen-Beauty-Essence-60ml-Free-Yogurt-Mask-100ml-i.48380572.8487030254</v>
      </c>
      <c r="C2132" s="6" t="s">
        <v>3103</v>
      </c>
      <c r="D2132" s="6" t="s">
        <v>2119</v>
      </c>
      <c r="E2132" s="6" t="s">
        <v>12</v>
      </c>
      <c r="F2132" s="6" t="s">
        <v>13</v>
      </c>
      <c r="G2132" s="6" t="s">
        <v>2120</v>
      </c>
      <c r="H2132" s="8" t="s">
        <v>3213</v>
      </c>
      <c r="I2132" s="9">
        <v>2526600.0</v>
      </c>
      <c r="J2132" s="5" t="str">
        <f t="shared" ref="J2132:K2132" si="2132">SUBSTITUTE(H2132, ",", "")</f>
        <v>3</v>
      </c>
      <c r="K2132" s="5" t="str">
        <f t="shared" si="2132"/>
        <v>Rp2526600</v>
      </c>
      <c r="L2132" s="5" t="str">
        <f t="shared" si="3"/>
        <v>2526600</v>
      </c>
    </row>
    <row r="2133">
      <c r="A2133" s="6" t="s">
        <v>3322</v>
      </c>
      <c r="B2133" s="7" t="str">
        <f>HYPERLINK("https://shopee.co.id/TRUEVE-Galactomyces-Peptide-Anti-Aging-Serum-30ml-i.270965687.9722968368", "https://shopee.co.id/TRUEVE-Galactomyces-Peptide-Anti-Aging-Serum-30ml-i.270965687.9722968368")</f>
        <v>https://shopee.co.id/TRUEVE-Galactomyces-Peptide-Anti-Aging-Serum-30ml-i.270965687.9722968368</v>
      </c>
      <c r="C2133" s="6" t="s">
        <v>34</v>
      </c>
      <c r="D2133" s="6" t="s">
        <v>379</v>
      </c>
      <c r="E2133" s="6" t="s">
        <v>12</v>
      </c>
      <c r="F2133" s="6" t="s">
        <v>13</v>
      </c>
      <c r="G2133" s="6" t="s">
        <v>380</v>
      </c>
      <c r="H2133" s="8" t="s">
        <v>3213</v>
      </c>
      <c r="I2133" s="9">
        <v>229890.0</v>
      </c>
      <c r="J2133" s="5" t="str">
        <f t="shared" ref="J2133:K2133" si="2133">SUBSTITUTE(H2133, ",", "")</f>
        <v>3</v>
      </c>
      <c r="K2133" s="5" t="str">
        <f t="shared" si="2133"/>
        <v>Rp229890</v>
      </c>
      <c r="L2133" s="5" t="str">
        <f t="shared" si="3"/>
        <v>229890</v>
      </c>
    </row>
    <row r="2134">
      <c r="A2134" s="6" t="s">
        <v>1270</v>
      </c>
      <c r="B2134" s="7" t="str">
        <f>HYPERLINK("https://shopee.co.id/SNP-Prep-Peptaronic-Serum-220ml-i.10689.10510949919", "https://shopee.co.id/SNP-Prep-Peptaronic-Serum-220ml-i.10689.10510949919")</f>
        <v>https://shopee.co.id/SNP-Prep-Peptaronic-Serum-220ml-i.10689.10510949919</v>
      </c>
      <c r="C2134" s="6" t="s">
        <v>565</v>
      </c>
      <c r="D2134" s="6" t="s">
        <v>745</v>
      </c>
      <c r="E2134" s="6" t="s">
        <v>12</v>
      </c>
      <c r="F2134" s="6" t="s">
        <v>13</v>
      </c>
      <c r="G2134" s="6" t="s">
        <v>61</v>
      </c>
      <c r="H2134" s="8" t="s">
        <v>3213</v>
      </c>
      <c r="I2134" s="9">
        <v>296100.0</v>
      </c>
      <c r="J2134" s="5" t="str">
        <f t="shared" ref="J2134:K2134" si="2134">SUBSTITUTE(H2134, ",", "")</f>
        <v>3</v>
      </c>
      <c r="K2134" s="5" t="str">
        <f t="shared" si="2134"/>
        <v>Rp296100</v>
      </c>
      <c r="L2134" s="5" t="str">
        <f t="shared" si="3"/>
        <v>296100</v>
      </c>
    </row>
    <row r="2135">
      <c r="A2135" s="6" t="s">
        <v>3323</v>
      </c>
      <c r="B2135" s="7" t="str">
        <f>HYPERLINK("https://shopee.co.id/I-Trust-Nature-Licorice-Serum-30ml-i.10689.3652465204", "https://shopee.co.id/I-Trust-Nature-Licorice-Serum-30ml-i.10689.3652465204")</f>
        <v>https://shopee.co.id/I-Trust-Nature-Licorice-Serum-30ml-i.10689.3652465204</v>
      </c>
      <c r="C2135" s="6" t="s">
        <v>1650</v>
      </c>
      <c r="D2135" s="6" t="s">
        <v>745</v>
      </c>
      <c r="E2135" s="6" t="s">
        <v>12</v>
      </c>
      <c r="F2135" s="6" t="s">
        <v>13</v>
      </c>
      <c r="G2135" s="6" t="s">
        <v>61</v>
      </c>
      <c r="H2135" s="8" t="s">
        <v>3213</v>
      </c>
      <c r="I2135" s="9">
        <v>1794000.0</v>
      </c>
      <c r="J2135" s="5" t="str">
        <f t="shared" ref="J2135:K2135" si="2135">SUBSTITUTE(H2135, ",", "")</f>
        <v>3</v>
      </c>
      <c r="K2135" s="5" t="str">
        <f t="shared" si="2135"/>
        <v>Rp1794000</v>
      </c>
      <c r="L2135" s="5" t="str">
        <f t="shared" si="3"/>
        <v>1794000</v>
      </c>
    </row>
    <row r="2136">
      <c r="A2136" s="6" t="s">
        <v>3324</v>
      </c>
      <c r="B2136" s="7" t="str">
        <f>HYPERLINK("https://shopee.co.id/Glowlabs-Special-Bundling-Retinol-Cica-Night-Serum-i.336869851.9453885237", "https://shopee.co.id/Glowlabs-Special-Bundling-Retinol-Cica-Night-Serum-i.336869851.9453885237")</f>
        <v>https://shopee.co.id/Glowlabs-Special-Bundling-Retinol-Cica-Night-Serum-i.336869851.9453885237</v>
      </c>
      <c r="C2136" s="6" t="s">
        <v>407</v>
      </c>
      <c r="D2136" s="6" t="s">
        <v>408</v>
      </c>
      <c r="E2136" s="6" t="s">
        <v>12</v>
      </c>
      <c r="F2136" s="6" t="s">
        <v>13</v>
      </c>
      <c r="G2136" s="6" t="s">
        <v>409</v>
      </c>
      <c r="H2136" s="8" t="s">
        <v>3213</v>
      </c>
      <c r="I2136" s="9">
        <v>750000.0</v>
      </c>
      <c r="J2136" s="5" t="str">
        <f t="shared" ref="J2136:K2136" si="2136">SUBSTITUTE(H2136, ",", "")</f>
        <v>3</v>
      </c>
      <c r="K2136" s="5" t="str">
        <f t="shared" si="2136"/>
        <v>Rp750000</v>
      </c>
      <c r="L2136" s="5" t="str">
        <f t="shared" si="3"/>
        <v>750000</v>
      </c>
    </row>
    <row r="2137">
      <c r="A2137" s="6" t="s">
        <v>3325</v>
      </c>
      <c r="B2137" s="7" t="str">
        <f>HYPERLINK("https://shopee.co.id/Mini-Size-Face-Oil-Clearly-Gold-Serum--i.161217472.9814541521", "https://shopee.co.id/Mini-Size-Face-Oil-Clearly-Gold-Serum--i.161217472.9814541521")</f>
        <v>https://shopee.co.id/Mini-Size-Face-Oil-Clearly-Gold-Serum--i.161217472.9814541521</v>
      </c>
      <c r="C2137" s="6" t="s">
        <v>2190</v>
      </c>
      <c r="D2137" s="6" t="s">
        <v>2191</v>
      </c>
      <c r="E2137" s="6" t="s">
        <v>12</v>
      </c>
      <c r="F2137" s="6" t="s">
        <v>13</v>
      </c>
      <c r="G2137" s="6" t="s">
        <v>1314</v>
      </c>
      <c r="H2137" s="8" t="s">
        <v>3213</v>
      </c>
      <c r="I2137" s="9">
        <v>667740.0</v>
      </c>
      <c r="J2137" s="5" t="str">
        <f t="shared" ref="J2137:K2137" si="2137">SUBSTITUTE(H2137, ",", "")</f>
        <v>3</v>
      </c>
      <c r="K2137" s="5" t="str">
        <f t="shared" si="2137"/>
        <v>Rp667740</v>
      </c>
      <c r="L2137" s="5" t="str">
        <f t="shared" si="3"/>
        <v>667740</v>
      </c>
    </row>
    <row r="2138">
      <c r="A2138" s="6" t="s">
        <v>3326</v>
      </c>
      <c r="B2138" s="7" t="str">
        <f>HYPERLINK("https://shopee.co.id/Azarine-Lightening-ToneUp-Body-Serum-100-ml-C-White-i.110573301.8942622618", "https://shopee.co.id/Azarine-Lightening-ToneUp-Body-Serum-100-ml-C-White-i.110573301.8942622618")</f>
        <v>https://shopee.co.id/Azarine-Lightening-ToneUp-Body-Serum-100-ml-C-White-i.110573301.8942622618</v>
      </c>
      <c r="C2138" s="6" t="s">
        <v>233</v>
      </c>
      <c r="D2138" s="6" t="s">
        <v>227</v>
      </c>
      <c r="E2138" s="6" t="s">
        <v>12</v>
      </c>
      <c r="F2138" s="6" t="s">
        <v>13</v>
      </c>
      <c r="G2138" s="6" t="s">
        <v>61</v>
      </c>
      <c r="H2138" s="8" t="s">
        <v>3213</v>
      </c>
      <c r="I2138" s="9">
        <v>822500.0</v>
      </c>
      <c r="J2138" s="5" t="str">
        <f t="shared" ref="J2138:K2138" si="2138">SUBSTITUTE(H2138, ",", "")</f>
        <v>3</v>
      </c>
      <c r="K2138" s="5" t="str">
        <f t="shared" si="2138"/>
        <v>Rp822500</v>
      </c>
      <c r="L2138" s="5" t="str">
        <f t="shared" si="3"/>
        <v>822500</v>
      </c>
    </row>
    <row r="2139">
      <c r="A2139" s="6" t="s">
        <v>3327</v>
      </c>
      <c r="B2139" s="7" t="str">
        <f>HYPERLINK("https://shopee.co.id/Tuesbelle-SKIN-GAME-Focus-Spot-Guard-Serum-30ml-i.36872574.8285479895", "https://shopee.co.id/Tuesbelle-SKIN-GAME-Focus-Spot-Guard-Serum-30ml-i.36872574.8285479895")</f>
        <v>https://shopee.co.id/Tuesbelle-SKIN-GAME-Focus-Spot-Guard-Serum-30ml-i.36872574.8285479895</v>
      </c>
      <c r="C2139" s="6" t="s">
        <v>523</v>
      </c>
      <c r="D2139" s="6" t="s">
        <v>969</v>
      </c>
      <c r="E2139" s="6" t="s">
        <v>12</v>
      </c>
      <c r="F2139" s="6" t="s">
        <v>13</v>
      </c>
      <c r="G2139" s="6" t="s">
        <v>115</v>
      </c>
      <c r="H2139" s="8" t="s">
        <v>3213</v>
      </c>
      <c r="I2139" s="9">
        <v>429000.0</v>
      </c>
      <c r="J2139" s="5" t="str">
        <f t="shared" ref="J2139:K2139" si="2139">SUBSTITUTE(H2139, ",", "")</f>
        <v>3</v>
      </c>
      <c r="K2139" s="5" t="str">
        <f t="shared" si="2139"/>
        <v>Rp429000</v>
      </c>
      <c r="L2139" s="5" t="str">
        <f t="shared" si="3"/>
        <v>429000</v>
      </c>
    </row>
    <row r="2140">
      <c r="A2140" s="6" t="s">
        <v>3328</v>
      </c>
      <c r="B2140" s="7" t="str">
        <f>HYPERLINK("https://shopee.co.id/WHITELAB-Hydrating-Face-Essence-60ml-i.270965687.8225312606", "https://shopee.co.id/WHITELAB-Hydrating-Face-Essence-60ml-i.270965687.8225312606")</f>
        <v>https://shopee.co.id/WHITELAB-Hydrating-Face-Essence-60ml-i.270965687.8225312606</v>
      </c>
      <c r="C2140" s="6" t="s">
        <v>59</v>
      </c>
      <c r="D2140" s="6" t="s">
        <v>379</v>
      </c>
      <c r="E2140" s="6" t="s">
        <v>12</v>
      </c>
      <c r="F2140" s="6" t="s">
        <v>13</v>
      </c>
      <c r="G2140" s="6" t="s">
        <v>380</v>
      </c>
      <c r="H2140" s="8" t="s">
        <v>3213</v>
      </c>
      <c r="I2140" s="9">
        <v>237381.0</v>
      </c>
      <c r="J2140" s="5" t="str">
        <f t="shared" ref="J2140:K2140" si="2140">SUBSTITUTE(H2140, ",", "")</f>
        <v>3</v>
      </c>
      <c r="K2140" s="5" t="str">
        <f t="shared" si="2140"/>
        <v>Rp237381</v>
      </c>
      <c r="L2140" s="5" t="str">
        <f t="shared" si="3"/>
        <v>237381</v>
      </c>
    </row>
    <row r="2141">
      <c r="A2141" s="6" t="s">
        <v>3329</v>
      </c>
      <c r="B2141" s="7" t="str">
        <f>HYPERLINK("https://shopee.co.id/-BUY-1-GET-1-FREE-Biokos-Derma-Bright-Int-Brightening-Serum-30-ml-FREE-DERMA-TONER-i.34904037.3383424980", "https://shopee.co.id/-BUY-1-GET-1-FREE-Biokos-Derma-Bright-Int-Brightening-Serum-30-ml-FREE-DERMA-TONER-i.34904037.3383424980")</f>
        <v>https://shopee.co.id/-BUY-1-GET-1-FREE-Biokos-Derma-Bright-Int-Brightening-Serum-30-ml-FREE-DERMA-TONER-i.34904037.3383424980</v>
      </c>
      <c r="C2141" s="6" t="s">
        <v>1873</v>
      </c>
      <c r="D2141" s="6" t="s">
        <v>1874</v>
      </c>
      <c r="E2141" s="6" t="s">
        <v>12</v>
      </c>
      <c r="F2141" s="6" t="s">
        <v>13</v>
      </c>
      <c r="G2141" s="6" t="s">
        <v>469</v>
      </c>
      <c r="H2141" s="8" t="s">
        <v>3213</v>
      </c>
      <c r="I2141" s="9">
        <v>58500.0</v>
      </c>
      <c r="J2141" s="5" t="str">
        <f t="shared" ref="J2141:K2141" si="2141">SUBSTITUTE(H2141, ",", "")</f>
        <v>3</v>
      </c>
      <c r="K2141" s="5" t="str">
        <f t="shared" si="2141"/>
        <v>Rp58500</v>
      </c>
      <c r="L2141" s="5" t="str">
        <f t="shared" si="3"/>
        <v>58500</v>
      </c>
    </row>
    <row r="2142">
      <c r="A2142" s="6" t="s">
        <v>3330</v>
      </c>
      <c r="B2142" s="7" t="str">
        <f>HYPERLINK("https://shopee.co.id/Mamonde-First-Energy-Serum-100ml-Global--i.160417197.6067260557", "https://shopee.co.id/Mamonde-First-Energy-Serum-100ml-Global--i.160417197.6067260557")</f>
        <v>https://shopee.co.id/Mamonde-First-Energy-Serum-100ml-Global--i.160417197.6067260557</v>
      </c>
      <c r="C2142" s="6" t="s">
        <v>447</v>
      </c>
      <c r="D2142" s="6" t="s">
        <v>448</v>
      </c>
      <c r="E2142" s="6" t="s">
        <v>12</v>
      </c>
      <c r="F2142" s="6" t="s">
        <v>13</v>
      </c>
      <c r="G2142" s="6" t="s">
        <v>61</v>
      </c>
      <c r="H2142" s="8" t="s">
        <v>3213</v>
      </c>
      <c r="I2142" s="9">
        <v>228552.0</v>
      </c>
      <c r="J2142" s="5" t="str">
        <f t="shared" ref="J2142:K2142" si="2142">SUBSTITUTE(H2142, ",", "")</f>
        <v>3</v>
      </c>
      <c r="K2142" s="5" t="str">
        <f t="shared" si="2142"/>
        <v>Rp228552</v>
      </c>
      <c r="L2142" s="5" t="str">
        <f t="shared" si="3"/>
        <v>228552</v>
      </c>
    </row>
    <row r="2143">
      <c r="A2143" s="6" t="s">
        <v>3331</v>
      </c>
      <c r="B2143" s="7" t="str">
        <f>HYPERLINK("https://shopee.co.id/ElsheSkin-5-in-1-Eyessential-Night-Serum-18ml-i.825870.5188279383", "https://shopee.co.id/ElsheSkin-5-in-1-Eyessential-Night-Serum-18ml-i.825870.5188279383")</f>
        <v>https://shopee.co.id/ElsheSkin-5-in-1-Eyessential-Night-Serum-18ml-i.825870.5188279383</v>
      </c>
      <c r="C2143" s="6" t="s">
        <v>135</v>
      </c>
      <c r="D2143" s="6" t="s">
        <v>1184</v>
      </c>
      <c r="E2143" s="6" t="s">
        <v>12</v>
      </c>
      <c r="F2143" s="6" t="s">
        <v>13</v>
      </c>
      <c r="G2143" s="6" t="s">
        <v>21</v>
      </c>
      <c r="H2143" s="8" t="s">
        <v>3213</v>
      </c>
      <c r="I2143" s="9">
        <v>447000.0</v>
      </c>
      <c r="J2143" s="5" t="str">
        <f t="shared" ref="J2143:K2143" si="2143">SUBSTITUTE(H2143, ",", "")</f>
        <v>3</v>
      </c>
      <c r="K2143" s="5" t="str">
        <f t="shared" si="2143"/>
        <v>Rp447000</v>
      </c>
      <c r="L2143" s="5" t="str">
        <f t="shared" si="3"/>
        <v>447000</v>
      </c>
    </row>
    <row r="2144">
      <c r="A2144" s="6" t="s">
        <v>3332</v>
      </c>
      <c r="B2144" s="7" t="str">
        <f>HYPERLINK("https://shopee.co.id/Loreal-Dex-Revitalift-H-A-Serum-30Ml-i.186214521.7588597537", "https://shopee.co.id/Loreal-Dex-Revitalift-H-A-Serum-30Ml-i.186214521.7588597537")</f>
        <v>https://shopee.co.id/Loreal-Dex-Revitalift-H-A-Serum-30Ml-i.186214521.7588597537</v>
      </c>
      <c r="C2144" s="6" t="s">
        <v>105</v>
      </c>
      <c r="D2144" s="6" t="s">
        <v>2293</v>
      </c>
      <c r="E2144" s="6" t="s">
        <v>12</v>
      </c>
      <c r="F2144" s="6" t="s">
        <v>13</v>
      </c>
      <c r="G2144" s="6" t="s">
        <v>61</v>
      </c>
      <c r="H2144" s="8" t="s">
        <v>3213</v>
      </c>
      <c r="I2144" s="9">
        <v>428700.0</v>
      </c>
      <c r="J2144" s="5" t="str">
        <f t="shared" ref="J2144:K2144" si="2144">SUBSTITUTE(H2144, ",", "")</f>
        <v>3</v>
      </c>
      <c r="K2144" s="5" t="str">
        <f t="shared" si="2144"/>
        <v>Rp428700</v>
      </c>
      <c r="L2144" s="5" t="str">
        <f t="shared" si="3"/>
        <v>428700</v>
      </c>
    </row>
    <row r="2145">
      <c r="A2145" s="6" t="s">
        <v>3333</v>
      </c>
      <c r="B2145" s="7" t="str">
        <f>HYPERLINK("https://shopee.co.id/PLACENTOR-Regenerating-Serum-10ml-Serum-Wajah-Pertama-Yang-Mampu-Menyamakan-Jam-Biologis-Kulit-i.304477244.10936615455", "https://shopee.co.id/PLACENTOR-Regenerating-Serum-10ml-Serum-Wajah-Pertama-Yang-Mampu-Menyamakan-Jam-Biologis-Kulit-i.304477244.10936615455")</f>
        <v>https://shopee.co.id/PLACENTOR-Regenerating-Serum-10ml-Serum-Wajah-Pertama-Yang-Mampu-Menyamakan-Jam-Biologis-Kulit-i.304477244.10936615455</v>
      </c>
      <c r="C2145" s="6" t="s">
        <v>2346</v>
      </c>
      <c r="D2145" s="6" t="s">
        <v>2347</v>
      </c>
      <c r="E2145" s="6" t="s">
        <v>12</v>
      </c>
      <c r="F2145" s="6" t="s">
        <v>13</v>
      </c>
      <c r="G2145" s="6" t="s">
        <v>532</v>
      </c>
      <c r="H2145" s="8" t="s">
        <v>3213</v>
      </c>
      <c r="I2145" s="9">
        <v>473000.0</v>
      </c>
      <c r="J2145" s="5" t="str">
        <f t="shared" ref="J2145:K2145" si="2145">SUBSTITUTE(H2145, ",", "")</f>
        <v>3</v>
      </c>
      <c r="K2145" s="5" t="str">
        <f t="shared" si="2145"/>
        <v>Rp473000</v>
      </c>
      <c r="L2145" s="5" t="str">
        <f t="shared" si="3"/>
        <v>473000</v>
      </c>
    </row>
    <row r="2146">
      <c r="A2146" s="6" t="s">
        <v>3334</v>
      </c>
      <c r="B2146" s="7" t="str">
        <f>HYPERLINK("https://shopee.co.id/Somethinc-10-Niacinamide-Barrier-Serum-40ml-i.825870.5094261235", "https://shopee.co.id/Somethinc-10-Niacinamide-Barrier-Serum-40ml-i.825870.5094261235")</f>
        <v>https://shopee.co.id/Somethinc-10-Niacinamide-Barrier-Serum-40ml-i.825870.5094261235</v>
      </c>
      <c r="C2146" s="6" t="s">
        <v>45</v>
      </c>
      <c r="D2146" s="6" t="s">
        <v>1184</v>
      </c>
      <c r="E2146" s="6" t="s">
        <v>12</v>
      </c>
      <c r="F2146" s="6" t="s">
        <v>13</v>
      </c>
      <c r="G2146" s="6" t="s">
        <v>21</v>
      </c>
      <c r="H2146" s="8" t="s">
        <v>3213</v>
      </c>
      <c r="I2146" s="9">
        <v>202500.0</v>
      </c>
      <c r="J2146" s="5" t="str">
        <f t="shared" ref="J2146:K2146" si="2146">SUBSTITUTE(H2146, ",", "")</f>
        <v>3</v>
      </c>
      <c r="K2146" s="5" t="str">
        <f t="shared" si="2146"/>
        <v>Rp202500</v>
      </c>
      <c r="L2146" s="5" t="str">
        <f t="shared" si="3"/>
        <v>202500</v>
      </c>
    </row>
    <row r="2147">
      <c r="A2147" s="6" t="s">
        <v>3335</v>
      </c>
      <c r="B2147" s="7" t="str">
        <f>HYPERLINK("https://shopee.co.id/Indoganic-Beauty-Brightening-Vitamin-C-Serum-15ml-i.10689.4735712471", "https://shopee.co.id/Indoganic-Beauty-Brightening-Vitamin-C-Serum-15ml-i.10689.4735712471")</f>
        <v>https://shopee.co.id/Indoganic-Beauty-Brightening-Vitamin-C-Serum-15ml-i.10689.4735712471</v>
      </c>
      <c r="C2147" s="6" t="s">
        <v>995</v>
      </c>
      <c r="D2147" s="6" t="s">
        <v>745</v>
      </c>
      <c r="E2147" s="6" t="s">
        <v>12</v>
      </c>
      <c r="F2147" s="6" t="s">
        <v>13</v>
      </c>
      <c r="G2147" s="6" t="s">
        <v>61</v>
      </c>
      <c r="H2147" s="8" t="s">
        <v>3213</v>
      </c>
      <c r="I2147" s="9">
        <v>4320000.0</v>
      </c>
      <c r="J2147" s="5" t="str">
        <f t="shared" ref="J2147:K2147" si="2147">SUBSTITUTE(H2147, ",", "")</f>
        <v>3</v>
      </c>
      <c r="K2147" s="5" t="str">
        <f t="shared" si="2147"/>
        <v>Rp4320000</v>
      </c>
      <c r="L2147" s="5" t="str">
        <f t="shared" si="3"/>
        <v>4320000</v>
      </c>
    </row>
    <row r="2148">
      <c r="A2148" s="6" t="s">
        <v>3336</v>
      </c>
      <c r="B2148" s="7" t="str">
        <f>HYPERLINK("https://shopee.co.id/AIZEN-Acnefique-Serum-i.68111.8137133558", "https://shopee.co.id/AIZEN-Acnefique-Serum-i.68111.8137133558")</f>
        <v>https://shopee.co.id/AIZEN-Acnefique-Serum-i.68111.8137133558</v>
      </c>
      <c r="C2148" s="6" t="s">
        <v>1325</v>
      </c>
      <c r="D2148" s="6" t="s">
        <v>441</v>
      </c>
      <c r="E2148" s="6" t="s">
        <v>12</v>
      </c>
      <c r="F2148" s="6" t="s">
        <v>13</v>
      </c>
      <c r="G2148" s="6" t="s">
        <v>130</v>
      </c>
      <c r="H2148" s="8" t="s">
        <v>3213</v>
      </c>
      <c r="I2148" s="9">
        <v>170100.0</v>
      </c>
      <c r="J2148" s="5" t="str">
        <f t="shared" ref="J2148:K2148" si="2148">SUBSTITUTE(H2148, ",", "")</f>
        <v>3</v>
      </c>
      <c r="K2148" s="5" t="str">
        <f t="shared" si="2148"/>
        <v>Rp170100</v>
      </c>
      <c r="L2148" s="5" t="str">
        <f t="shared" si="3"/>
        <v>170100</v>
      </c>
    </row>
    <row r="2149">
      <c r="A2149" s="6" t="s">
        <v>3337</v>
      </c>
      <c r="B2149" s="7" t="str">
        <f>HYPERLINK("https://shopee.co.id/AIZEN-Niacinamide-Ascorbate-15-Ultra-Ampoule-i.68111.3188143619", "https://shopee.co.id/AIZEN-Niacinamide-Ascorbate-15-Ultra-Ampoule-i.68111.3188143619")</f>
        <v>https://shopee.co.id/AIZEN-Niacinamide-Ascorbate-15-Ultra-Ampoule-i.68111.3188143619</v>
      </c>
      <c r="C2149" s="6" t="s">
        <v>1325</v>
      </c>
      <c r="D2149" s="6" t="s">
        <v>441</v>
      </c>
      <c r="E2149" s="6" t="s">
        <v>12</v>
      </c>
      <c r="F2149" s="6" t="s">
        <v>13</v>
      </c>
      <c r="G2149" s="6" t="s">
        <v>130</v>
      </c>
      <c r="H2149" s="8" t="s">
        <v>3213</v>
      </c>
      <c r="I2149" s="9">
        <v>299750.0</v>
      </c>
      <c r="J2149" s="5" t="str">
        <f t="shared" ref="J2149:K2149" si="2149">SUBSTITUTE(H2149, ",", "")</f>
        <v>3</v>
      </c>
      <c r="K2149" s="5" t="str">
        <f t="shared" si="2149"/>
        <v>Rp299750</v>
      </c>
      <c r="L2149" s="5" t="str">
        <f t="shared" si="3"/>
        <v>299750</v>
      </c>
    </row>
    <row r="2150">
      <c r="A2150" s="6" t="s">
        <v>3338</v>
      </c>
      <c r="B2150" s="7" t="str">
        <f>HYPERLINK("https://shopee.co.id/Skiner-Micro-Collagen-Krim-Wajah-Anti-Wrinkle-Essence-40gr-i.262681941.5058569724", "https://shopee.co.id/Skiner-Micro-Collagen-Krim-Wajah-Anti-Wrinkle-Essence-40gr-i.262681941.5058569724")</f>
        <v>https://shopee.co.id/Skiner-Micro-Collagen-Krim-Wajah-Anti-Wrinkle-Essence-40gr-i.262681941.5058569724</v>
      </c>
      <c r="C2150" s="6" t="s">
        <v>3339</v>
      </c>
      <c r="D2150" s="6" t="s">
        <v>3340</v>
      </c>
      <c r="E2150" s="6" t="s">
        <v>12</v>
      </c>
      <c r="F2150" s="6" t="s">
        <v>13</v>
      </c>
      <c r="G2150" s="6" t="s">
        <v>2690</v>
      </c>
      <c r="H2150" s="8" t="s">
        <v>3213</v>
      </c>
      <c r="I2150" s="9">
        <v>6336000.0</v>
      </c>
      <c r="J2150" s="5" t="str">
        <f t="shared" ref="J2150:K2150" si="2150">SUBSTITUTE(H2150, ",", "")</f>
        <v>3</v>
      </c>
      <c r="K2150" s="5" t="str">
        <f t="shared" si="2150"/>
        <v>Rp6336000</v>
      </c>
      <c r="L2150" s="5" t="str">
        <f t="shared" si="3"/>
        <v>6336000</v>
      </c>
    </row>
    <row r="2151">
      <c r="A2151" s="6" t="s">
        <v>1044</v>
      </c>
      <c r="B2151" s="7" t="str">
        <f>HYPERLINK("https://shopee.co.id/Somethinc-10-Niacinamide-Moisture-Sabi-White-Max-Brightening-Serum-40ml-i.65323877.8279240819", "https://shopee.co.id/Somethinc-10-Niacinamide-Moisture-Sabi-White-Max-Brightening-Serum-40ml-i.65323877.8279240819")</f>
        <v>https://shopee.co.id/Somethinc-10-Niacinamide-Moisture-Sabi-White-Max-Brightening-Serum-40ml-i.65323877.8279240819</v>
      </c>
      <c r="C2151" s="6" t="s">
        <v>45</v>
      </c>
      <c r="D2151" s="6" t="s">
        <v>1600</v>
      </c>
      <c r="E2151" s="6" t="s">
        <v>12</v>
      </c>
      <c r="F2151" s="6" t="s">
        <v>13</v>
      </c>
      <c r="G2151" s="6" t="s">
        <v>296</v>
      </c>
      <c r="H2151" s="8" t="s">
        <v>3213</v>
      </c>
      <c r="I2151" s="9">
        <v>87000.0</v>
      </c>
      <c r="J2151" s="5" t="str">
        <f t="shared" ref="J2151:K2151" si="2151">SUBSTITUTE(H2151, ",", "")</f>
        <v>3</v>
      </c>
      <c r="K2151" s="5" t="str">
        <f t="shared" si="2151"/>
        <v>Rp87000</v>
      </c>
      <c r="L2151" s="5" t="str">
        <f t="shared" si="3"/>
        <v>87000</v>
      </c>
    </row>
    <row r="2152">
      <c r="A2152" s="6" t="s">
        <v>3341</v>
      </c>
      <c r="B2152" s="7" t="str">
        <f>HYPERLINK("https://shopee.co.id/GLOWINC-POTION-HYDRALIVE-Moisture-Lock-Serum-i.487788169.11332262515", "https://shopee.co.id/GLOWINC-POTION-HYDRALIVE-Moisture-Lock-Serum-i.487788169.11332262515")</f>
        <v>https://shopee.co.id/GLOWINC-POTION-HYDRALIVE-Moisture-Lock-Serum-i.487788169.11332262515</v>
      </c>
      <c r="C2152" s="6" t="s">
        <v>1898</v>
      </c>
      <c r="D2152" s="6" t="s">
        <v>1899</v>
      </c>
      <c r="E2152" s="6" t="s">
        <v>12</v>
      </c>
      <c r="F2152" s="6" t="s">
        <v>13</v>
      </c>
      <c r="G2152" s="6" t="s">
        <v>21</v>
      </c>
      <c r="H2152" s="8" t="s">
        <v>3213</v>
      </c>
      <c r="I2152" s="9">
        <v>886820.0</v>
      </c>
      <c r="J2152" s="5" t="str">
        <f t="shared" ref="J2152:K2152" si="2152">SUBSTITUTE(H2152, ",", "")</f>
        <v>3</v>
      </c>
      <c r="K2152" s="5" t="str">
        <f t="shared" si="2152"/>
        <v>Rp886820</v>
      </c>
      <c r="L2152" s="5" t="str">
        <f t="shared" si="3"/>
        <v>886820</v>
      </c>
    </row>
    <row r="2153">
      <c r="A2153" s="6" t="s">
        <v>3342</v>
      </c>
      <c r="B2153" s="7" t="str">
        <f>HYPERLINK("https://shopee.co.id/Loreal-Dex-Rev-Crystal-Micro-Essen-65-ml-i.186214521.4916797548", "https://shopee.co.id/Loreal-Dex-Rev-Crystal-Micro-Essen-65-ml-i.186214521.4916797548")</f>
        <v>https://shopee.co.id/Loreal-Dex-Rev-Crystal-Micro-Essen-65-ml-i.186214521.4916797548</v>
      </c>
      <c r="C2153" s="6" t="s">
        <v>105</v>
      </c>
      <c r="D2153" s="6" t="s">
        <v>2293</v>
      </c>
      <c r="E2153" s="6" t="s">
        <v>12</v>
      </c>
      <c r="F2153" s="6" t="s">
        <v>13</v>
      </c>
      <c r="G2153" s="6" t="s">
        <v>61</v>
      </c>
      <c r="H2153" s="8" t="s">
        <v>3213</v>
      </c>
      <c r="I2153" s="9">
        <v>432100.0</v>
      </c>
      <c r="J2153" s="5" t="str">
        <f t="shared" ref="J2153:K2153" si="2153">SUBSTITUTE(H2153, ",", "")</f>
        <v>3</v>
      </c>
      <c r="K2153" s="5" t="str">
        <f t="shared" si="2153"/>
        <v>Rp432100</v>
      </c>
      <c r="L2153" s="5" t="str">
        <f t="shared" si="3"/>
        <v>432100</v>
      </c>
    </row>
    <row r="2154">
      <c r="A2154" s="6" t="s">
        <v>3343</v>
      </c>
      <c r="B2154" s="7" t="str">
        <f>HYPERLINK("https://shopee.co.id/Melanox-Premium-Serum-15-ml-i.30736001.739185603", "https://shopee.co.id/Melanox-Premium-Serum-15-ml-i.30736001.739185603")</f>
        <v>https://shopee.co.id/Melanox-Premium-Serum-15-ml-i.30736001.739185603</v>
      </c>
      <c r="C2154" s="6" t="s">
        <v>1606</v>
      </c>
      <c r="D2154" s="6" t="s">
        <v>335</v>
      </c>
      <c r="E2154" s="6" t="s">
        <v>12</v>
      </c>
      <c r="F2154" s="6" t="s">
        <v>13</v>
      </c>
      <c r="G2154" s="6" t="s">
        <v>36</v>
      </c>
      <c r="H2154" s="8" t="s">
        <v>3213</v>
      </c>
      <c r="I2154" s="9">
        <v>433000.0</v>
      </c>
      <c r="J2154" s="5" t="str">
        <f t="shared" ref="J2154:K2154" si="2154">SUBSTITUTE(H2154, ",", "")</f>
        <v>3</v>
      </c>
      <c r="K2154" s="5" t="str">
        <f t="shared" si="2154"/>
        <v>Rp433000</v>
      </c>
      <c r="L2154" s="5" t="str">
        <f t="shared" si="3"/>
        <v>433000</v>
      </c>
    </row>
    <row r="2155">
      <c r="A2155" s="6" t="s">
        <v>3344</v>
      </c>
      <c r="B2155" s="7" t="str">
        <f>HYPERLINK("https://shopee.co.id/iUNIK-Beta-Glucan-Power-Moisture-Serum-15ml-i.825870.4645321385", "https://shopee.co.id/iUNIK-Beta-Glucan-Power-Moisture-Serum-15ml-i.825870.4645321385")</f>
        <v>https://shopee.co.id/iUNIK-Beta-Glucan-Power-Moisture-Serum-15ml-i.825870.4645321385</v>
      </c>
      <c r="C2155" s="6" t="s">
        <v>1658</v>
      </c>
      <c r="D2155" s="6" t="s">
        <v>1184</v>
      </c>
      <c r="E2155" s="6" t="s">
        <v>12</v>
      </c>
      <c r="F2155" s="6" t="s">
        <v>13</v>
      </c>
      <c r="G2155" s="6" t="s">
        <v>21</v>
      </c>
      <c r="H2155" s="8" t="s">
        <v>3213</v>
      </c>
      <c r="I2155" s="9">
        <v>408000.0</v>
      </c>
      <c r="J2155" s="5" t="str">
        <f t="shared" ref="J2155:K2155" si="2155">SUBSTITUTE(H2155, ",", "")</f>
        <v>3</v>
      </c>
      <c r="K2155" s="5" t="str">
        <f t="shared" si="2155"/>
        <v>Rp408000</v>
      </c>
      <c r="L2155" s="5" t="str">
        <f t="shared" si="3"/>
        <v>408000</v>
      </c>
    </row>
    <row r="2156">
      <c r="A2156" s="6" t="s">
        <v>3345</v>
      </c>
      <c r="B2156" s="7" t="str">
        <f>HYPERLINK("https://shopee.co.id/Whitelab-Acne-Calming-Serum-20ml-i.825870.5377315976", "https://shopee.co.id/Whitelab-Acne-Calming-Serum-20ml-i.825870.5377315976")</f>
        <v>https://shopee.co.id/Whitelab-Acne-Calming-Serum-20ml-i.825870.5377315976</v>
      </c>
      <c r="C2156" s="6" t="s">
        <v>59</v>
      </c>
      <c r="D2156" s="6" t="s">
        <v>1184</v>
      </c>
      <c r="E2156" s="6" t="s">
        <v>12</v>
      </c>
      <c r="F2156" s="6" t="s">
        <v>13</v>
      </c>
      <c r="G2156" s="6" t="s">
        <v>21</v>
      </c>
      <c r="H2156" s="8" t="s">
        <v>3213</v>
      </c>
      <c r="I2156" s="9">
        <v>693000.0</v>
      </c>
      <c r="J2156" s="5" t="str">
        <f t="shared" ref="J2156:K2156" si="2156">SUBSTITUTE(H2156, ",", "")</f>
        <v>3</v>
      </c>
      <c r="K2156" s="5" t="str">
        <f t="shared" si="2156"/>
        <v>Rp693000</v>
      </c>
      <c r="L2156" s="5" t="str">
        <f t="shared" si="3"/>
        <v>693000</v>
      </c>
    </row>
    <row r="2157">
      <c r="A2157" s="6" t="s">
        <v>3346</v>
      </c>
      <c r="B2157" s="7" t="str">
        <f>HYPERLINK("https://shopee.co.id/Originally-Serum-Vit-C-i.33521171.505205999", "https://shopee.co.id/Originally-Serum-Vit-C-i.33521171.505205999")</f>
        <v>https://shopee.co.id/Originally-Serum-Vit-C-i.33521171.505205999</v>
      </c>
      <c r="C2157" s="6" t="s">
        <v>3347</v>
      </c>
      <c r="D2157" s="6" t="s">
        <v>3348</v>
      </c>
      <c r="E2157" s="6" t="s">
        <v>12</v>
      </c>
      <c r="F2157" s="6" t="s">
        <v>13</v>
      </c>
      <c r="G2157" s="6" t="s">
        <v>1048</v>
      </c>
      <c r="H2157" s="8" t="s">
        <v>3213</v>
      </c>
      <c r="I2157" s="9">
        <v>903900.0</v>
      </c>
      <c r="J2157" s="5" t="str">
        <f t="shared" ref="J2157:K2157" si="2157">SUBSTITUTE(H2157, ",", "")</f>
        <v>3</v>
      </c>
      <c r="K2157" s="5" t="str">
        <f t="shared" si="2157"/>
        <v>Rp903900</v>
      </c>
      <c r="L2157" s="5" t="str">
        <f t="shared" si="3"/>
        <v>903900</v>
      </c>
    </row>
    <row r="2158">
      <c r="A2158" s="6" t="s">
        <v>3083</v>
      </c>
      <c r="B2158" s="7" t="str">
        <f>HYPERLINK("https://shopee.co.id/The-Ordinary-Hyaluronic-Acid-2-B5-30ml-i.110573301.11501945074", "https://shopee.co.id/The-Ordinary-Hyaluronic-Acid-2-B5-30ml-i.110573301.11501945074")</f>
        <v>https://shopee.co.id/The-Ordinary-Hyaluronic-Acid-2-B5-30ml-i.110573301.11501945074</v>
      </c>
      <c r="C2158" s="6" t="s">
        <v>1245</v>
      </c>
      <c r="D2158" s="6" t="s">
        <v>227</v>
      </c>
      <c r="E2158" s="6" t="s">
        <v>12</v>
      </c>
      <c r="F2158" s="6" t="s">
        <v>13</v>
      </c>
      <c r="G2158" s="6" t="s">
        <v>61</v>
      </c>
      <c r="H2158" s="8" t="s">
        <v>3213</v>
      </c>
      <c r="I2158" s="9">
        <v>444600.0</v>
      </c>
      <c r="J2158" s="5" t="str">
        <f t="shared" ref="J2158:K2158" si="2158">SUBSTITUTE(H2158, ",", "")</f>
        <v>3</v>
      </c>
      <c r="K2158" s="5" t="str">
        <f t="shared" si="2158"/>
        <v>Rp444600</v>
      </c>
      <c r="L2158" s="5" t="str">
        <f t="shared" si="3"/>
        <v>444600</v>
      </c>
    </row>
    <row r="2159">
      <c r="A2159" s="6" t="s">
        <v>3349</v>
      </c>
      <c r="B2159" s="7" t="str">
        <f>HYPERLINK("https://shopee.co.id/IUNIK-Tea-Tree-Relief-Serum-i.270965687.3992049490", "https://shopee.co.id/IUNIK-Tea-Tree-Relief-Serum-i.270965687.3992049490")</f>
        <v>https://shopee.co.id/IUNIK-Tea-Tree-Relief-Serum-i.270965687.3992049490</v>
      </c>
      <c r="C2159" s="6" t="s">
        <v>1658</v>
      </c>
      <c r="D2159" s="6" t="s">
        <v>379</v>
      </c>
      <c r="E2159" s="6" t="s">
        <v>12</v>
      </c>
      <c r="F2159" s="6" t="s">
        <v>13</v>
      </c>
      <c r="G2159" s="6" t="s">
        <v>380</v>
      </c>
      <c r="H2159" s="8" t="s">
        <v>3213</v>
      </c>
      <c r="I2159" s="9">
        <v>387000.0</v>
      </c>
      <c r="J2159" s="5" t="str">
        <f t="shared" ref="J2159:K2159" si="2159">SUBSTITUTE(H2159, ",", "")</f>
        <v>3</v>
      </c>
      <c r="K2159" s="5" t="str">
        <f t="shared" si="2159"/>
        <v>Rp387000</v>
      </c>
      <c r="L2159" s="5" t="str">
        <f t="shared" si="3"/>
        <v>387000</v>
      </c>
    </row>
    <row r="2160">
      <c r="A2160" s="6" t="s">
        <v>2397</v>
      </c>
      <c r="B2160" s="7" t="str">
        <f>HYPERLINK("https://shopee.co.id/COSRX-Galactomyces-95-Tone-Balancing-Essence-100ml-i.270965687.6349216040", "https://shopee.co.id/COSRX-Galactomyces-95-Tone-Balancing-Essence-100ml-i.270965687.6349216040")</f>
        <v>https://shopee.co.id/COSRX-Galactomyces-95-Tone-Balancing-Essence-100ml-i.270965687.6349216040</v>
      </c>
      <c r="C2160" s="6" t="s">
        <v>305</v>
      </c>
      <c r="D2160" s="6" t="s">
        <v>379</v>
      </c>
      <c r="E2160" s="6" t="s">
        <v>12</v>
      </c>
      <c r="F2160" s="6" t="s">
        <v>13</v>
      </c>
      <c r="G2160" s="6" t="s">
        <v>380</v>
      </c>
      <c r="H2160" s="8" t="s">
        <v>3213</v>
      </c>
      <c r="I2160" s="9">
        <v>826800.0</v>
      </c>
      <c r="J2160" s="5" t="str">
        <f t="shared" ref="J2160:K2160" si="2160">SUBSTITUTE(H2160, ",", "")</f>
        <v>3</v>
      </c>
      <c r="K2160" s="5" t="str">
        <f t="shared" si="2160"/>
        <v>Rp826800</v>
      </c>
      <c r="L2160" s="5" t="str">
        <f t="shared" si="3"/>
        <v>826800</v>
      </c>
    </row>
    <row r="2161">
      <c r="A2161" s="6" t="s">
        <v>3350</v>
      </c>
      <c r="B2161" s="7" t="str">
        <f>HYPERLINK("https://shopee.co.id/Mineral-Botanica-Acne-Care-Serum-i.30736001.1043896270", "https://shopee.co.id/Mineral-Botanica-Acne-Care-Serum-i.30736001.1043896270")</f>
        <v>https://shopee.co.id/Mineral-Botanica-Acne-Care-Serum-i.30736001.1043896270</v>
      </c>
      <c r="C2161" s="6" t="s">
        <v>807</v>
      </c>
      <c r="D2161" s="6" t="s">
        <v>335</v>
      </c>
      <c r="E2161" s="6" t="s">
        <v>12</v>
      </c>
      <c r="F2161" s="6" t="s">
        <v>13</v>
      </c>
      <c r="G2161" s="6" t="s">
        <v>36</v>
      </c>
      <c r="H2161" s="8" t="s">
        <v>3213</v>
      </c>
      <c r="I2161" s="9">
        <v>597000.0</v>
      </c>
      <c r="J2161" s="5" t="str">
        <f t="shared" ref="J2161:K2161" si="2161">SUBSTITUTE(H2161, ",", "")</f>
        <v>3</v>
      </c>
      <c r="K2161" s="5" t="str">
        <f t="shared" si="2161"/>
        <v>Rp597000</v>
      </c>
      <c r="L2161" s="5" t="str">
        <f t="shared" si="3"/>
        <v>597000</v>
      </c>
    </row>
    <row r="2162">
      <c r="A2162" s="6" t="s">
        <v>3351</v>
      </c>
      <c r="B2162" s="7" t="str">
        <f>HYPERLINK("https://shopee.co.id/Tuesbelle-JUMISO-Hello-Skin-All-Day-Vitamin-Brightening-Balancing-Facial-Serum-30ml-i.36872574.7015400481", "https://shopee.co.id/Tuesbelle-JUMISO-Hello-Skin-All-Day-Vitamin-Brightening-Balancing-Facial-Serum-30ml-i.36872574.7015400481")</f>
        <v>https://shopee.co.id/Tuesbelle-JUMISO-Hello-Skin-All-Day-Vitamin-Brightening-Balancing-Facial-Serum-30ml-i.36872574.7015400481</v>
      </c>
      <c r="C2162" s="6" t="s">
        <v>1113</v>
      </c>
      <c r="D2162" s="6" t="s">
        <v>969</v>
      </c>
      <c r="E2162" s="6" t="s">
        <v>12</v>
      </c>
      <c r="F2162" s="6" t="s">
        <v>13</v>
      </c>
      <c r="G2162" s="6" t="s">
        <v>115</v>
      </c>
      <c r="H2162" s="8" t="s">
        <v>3213</v>
      </c>
      <c r="I2162" s="9">
        <v>6598500.0</v>
      </c>
      <c r="J2162" s="5" t="str">
        <f t="shared" ref="J2162:K2162" si="2162">SUBSTITUTE(H2162, ",", "")</f>
        <v>3</v>
      </c>
      <c r="K2162" s="5" t="str">
        <f t="shared" si="2162"/>
        <v>Rp6598500</v>
      </c>
      <c r="L2162" s="5" t="str">
        <f t="shared" si="3"/>
        <v>6598500</v>
      </c>
    </row>
    <row r="2163">
      <c r="A2163" s="6" t="s">
        <v>3352</v>
      </c>
      <c r="B2163" s="7" t="str">
        <f>HYPERLINK("https://shopee.co.id/Z-Skincare-Luminous-Glow-Serum-i.136496322.2086400395", "https://shopee.co.id/Z-Skincare-Luminous-Glow-Serum-i.136496322.2086400395")</f>
        <v>https://shopee.co.id/Z-Skincare-Luminous-Glow-Serum-i.136496322.2086400395</v>
      </c>
      <c r="C2163" s="6" t="s">
        <v>3229</v>
      </c>
      <c r="D2163" s="6" t="s">
        <v>3230</v>
      </c>
      <c r="E2163" s="6" t="s">
        <v>12</v>
      </c>
      <c r="F2163" s="6" t="s">
        <v>13</v>
      </c>
      <c r="G2163" s="6" t="s">
        <v>469</v>
      </c>
      <c r="H2163" s="8" t="s">
        <v>3213</v>
      </c>
      <c r="I2163" s="9">
        <v>3640000.0</v>
      </c>
      <c r="J2163" s="5" t="str">
        <f t="shared" ref="J2163:K2163" si="2163">SUBSTITUTE(H2163, ",", "")</f>
        <v>3</v>
      </c>
      <c r="K2163" s="5" t="str">
        <f t="shared" si="2163"/>
        <v>Rp3640000</v>
      </c>
      <c r="L2163" s="5" t="str">
        <f t="shared" si="3"/>
        <v>3640000</v>
      </c>
    </row>
    <row r="2164">
      <c r="A2164" s="6" t="s">
        <v>3353</v>
      </c>
      <c r="B2164" s="7" t="str">
        <f>HYPERLINK("https://shopee.co.id/LORE-Brightamin-C-Serum-30-ml-i.68740273.2253615387", "https://shopee.co.id/LORE-Brightamin-C-Serum-30-ml-i.68740273.2253615387")</f>
        <v>https://shopee.co.id/LORE-Brightamin-C-Serum-30-ml-i.68740273.2253615387</v>
      </c>
      <c r="C2164" s="6" t="s">
        <v>2565</v>
      </c>
      <c r="D2164" s="6" t="s">
        <v>2566</v>
      </c>
      <c r="E2164" s="6" t="s">
        <v>12</v>
      </c>
      <c r="F2164" s="6" t="s">
        <v>13</v>
      </c>
      <c r="G2164" s="6" t="s">
        <v>409</v>
      </c>
      <c r="H2164" s="8" t="s">
        <v>3213</v>
      </c>
      <c r="I2164" s="9">
        <v>6900000.0</v>
      </c>
      <c r="J2164" s="5" t="str">
        <f t="shared" ref="J2164:K2164" si="2164">SUBSTITUTE(H2164, ",", "")</f>
        <v>3</v>
      </c>
      <c r="K2164" s="5" t="str">
        <f t="shared" si="2164"/>
        <v>Rp6900000</v>
      </c>
      <c r="L2164" s="5" t="str">
        <f t="shared" si="3"/>
        <v>6900000</v>
      </c>
    </row>
    <row r="2165">
      <c r="A2165" s="6" t="s">
        <v>3354</v>
      </c>
      <c r="B2165" s="7" t="str">
        <f>HYPERLINK("https://shopee.co.id/Safi-Age-Defy-Gold-Water-Essence-i.10689.1537515410", "https://shopee.co.id/Safi-Age-Defy-Gold-Water-Essence-i.10689.1537515410")</f>
        <v>https://shopee.co.id/Safi-Age-Defy-Gold-Water-Essence-i.10689.1537515410</v>
      </c>
      <c r="C2165" s="6" t="s">
        <v>278</v>
      </c>
      <c r="D2165" s="6" t="s">
        <v>745</v>
      </c>
      <c r="E2165" s="6" t="s">
        <v>12</v>
      </c>
      <c r="F2165" s="6" t="s">
        <v>13</v>
      </c>
      <c r="G2165" s="6" t="s">
        <v>61</v>
      </c>
      <c r="H2165" s="8" t="s">
        <v>3213</v>
      </c>
      <c r="I2165" s="9">
        <v>277200.0</v>
      </c>
      <c r="J2165" s="5" t="str">
        <f t="shared" ref="J2165:K2165" si="2165">SUBSTITUTE(H2165, ",", "")</f>
        <v>3</v>
      </c>
      <c r="K2165" s="5" t="str">
        <f t="shared" si="2165"/>
        <v>Rp277200</v>
      </c>
      <c r="L2165" s="5" t="str">
        <f t="shared" si="3"/>
        <v>277200</v>
      </c>
    </row>
    <row r="2166">
      <c r="A2166" s="6" t="s">
        <v>3355</v>
      </c>
      <c r="B2166" s="7" t="str">
        <f>HYPERLINK("https://shopee.co.id/Histoire-Naturelle-Brightening-Duo-i.315746431.8934518456", "https://shopee.co.id/Histoire-Naturelle-Brightening-Duo-i.315746431.8934518456")</f>
        <v>https://shopee.co.id/Histoire-Naturelle-Brightening-Duo-i.315746431.8934518456</v>
      </c>
      <c r="C2166" s="6" t="s">
        <v>1854</v>
      </c>
      <c r="D2166" s="6" t="s">
        <v>1855</v>
      </c>
      <c r="E2166" s="6" t="s">
        <v>12</v>
      </c>
      <c r="F2166" s="6" t="s">
        <v>13</v>
      </c>
      <c r="G2166" s="6" t="s">
        <v>130</v>
      </c>
      <c r="H2166" s="8" t="s">
        <v>3213</v>
      </c>
      <c r="I2166" s="9">
        <v>252450.0</v>
      </c>
      <c r="J2166" s="5" t="str">
        <f t="shared" ref="J2166:K2166" si="2166">SUBSTITUTE(H2166, ",", "")</f>
        <v>3</v>
      </c>
      <c r="K2166" s="5" t="str">
        <f t="shared" si="2166"/>
        <v>Rp252450</v>
      </c>
      <c r="L2166" s="5" t="str">
        <f t="shared" si="3"/>
        <v>252450</v>
      </c>
    </row>
    <row r="2167">
      <c r="A2167" s="6" t="s">
        <v>3356</v>
      </c>
      <c r="B2167" s="7" t="str">
        <f>HYPERLINK("https://shopee.co.id/MSBB-Purivera-Fermented-Red-Serum-Oil-Whitening-Glowing-Vitamin-C-Kojic-Acid-i.288588702.9273142141", "https://shopee.co.id/MSBB-Purivera-Fermented-Red-Serum-Oil-Whitening-Glowing-Vitamin-C-Kojic-Acid-i.288588702.9273142141")</f>
        <v>https://shopee.co.id/MSBB-Purivera-Fermented-Red-Serum-Oil-Whitening-Glowing-Vitamin-C-Kojic-Acid-i.288588702.9273142141</v>
      </c>
      <c r="C2167" s="6" t="s">
        <v>428</v>
      </c>
      <c r="D2167" s="6" t="s">
        <v>79</v>
      </c>
      <c r="E2167" s="6" t="s">
        <v>12</v>
      </c>
      <c r="F2167" s="6" t="s">
        <v>13</v>
      </c>
      <c r="G2167" s="6" t="s">
        <v>80</v>
      </c>
      <c r="H2167" s="8" t="s">
        <v>3213</v>
      </c>
      <c r="I2167" s="9">
        <v>267300.0</v>
      </c>
      <c r="J2167" s="5" t="str">
        <f t="shared" ref="J2167:K2167" si="2167">SUBSTITUTE(H2167, ",", "")</f>
        <v>3</v>
      </c>
      <c r="K2167" s="5" t="str">
        <f t="shared" si="2167"/>
        <v>Rp267300</v>
      </c>
      <c r="L2167" s="5" t="str">
        <f t="shared" si="3"/>
        <v>267300</v>
      </c>
    </row>
    <row r="2168">
      <c r="A2168" s="6" t="s">
        <v>3357</v>
      </c>
      <c r="B2168" s="7" t="str">
        <f>HYPERLINK("https://shopee.co.id/Avoskin-Your-Skin-Bae-Lactic-Acid-10-Kiwi-5-Nia-2-5-Serum-30ml-i.825870.8872074967", "https://shopee.co.id/Avoskin-Your-Skin-Bae-Lactic-Acid-10-Kiwi-5-Nia-2-5-Serum-30ml-i.825870.8872074967")</f>
        <v>https://shopee.co.id/Avoskin-Your-Skin-Bae-Lactic-Acid-10-Kiwi-5-Nia-2-5-Serum-30ml-i.825870.8872074967</v>
      </c>
      <c r="C2168" s="6" t="s">
        <v>83</v>
      </c>
      <c r="D2168" s="6" t="s">
        <v>1184</v>
      </c>
      <c r="E2168" s="6" t="s">
        <v>12</v>
      </c>
      <c r="F2168" s="6" t="s">
        <v>13</v>
      </c>
      <c r="G2168" s="6" t="s">
        <v>21</v>
      </c>
      <c r="H2168" s="8" t="s">
        <v>3213</v>
      </c>
      <c r="I2168" s="9">
        <v>1560000.0</v>
      </c>
      <c r="J2168" s="5" t="str">
        <f t="shared" ref="J2168:K2168" si="2168">SUBSTITUTE(H2168, ",", "")</f>
        <v>3</v>
      </c>
      <c r="K2168" s="5" t="str">
        <f t="shared" si="2168"/>
        <v>Rp1560000</v>
      </c>
      <c r="L2168" s="5" t="str">
        <f t="shared" si="3"/>
        <v>1560000</v>
      </c>
    </row>
    <row r="2169">
      <c r="A2169" s="6" t="s">
        <v>3358</v>
      </c>
      <c r="B2169" s="7" t="str">
        <f>HYPERLINK("https://shopee.co.id/Keaj-Beaute-Glow-Up-Serum-i.324866227.8952742008", "https://shopee.co.id/Keaj-Beaute-Glow-Up-Serum-i.324866227.8952742008")</f>
        <v>https://shopee.co.id/Keaj-Beaute-Glow-Up-Serum-i.324866227.8952742008</v>
      </c>
      <c r="C2169" s="6" t="s">
        <v>3359</v>
      </c>
      <c r="D2169" s="6" t="s">
        <v>3360</v>
      </c>
      <c r="E2169" s="6" t="s">
        <v>12</v>
      </c>
      <c r="F2169" s="6" t="s">
        <v>13</v>
      </c>
      <c r="G2169" s="6" t="s">
        <v>2690</v>
      </c>
      <c r="H2169" s="8" t="s">
        <v>3213</v>
      </c>
      <c r="I2169" s="9">
        <v>520000.0</v>
      </c>
      <c r="J2169" s="5" t="str">
        <f t="shared" ref="J2169:K2169" si="2169">SUBSTITUTE(H2169, ",", "")</f>
        <v>3</v>
      </c>
      <c r="K2169" s="5" t="str">
        <f t="shared" si="2169"/>
        <v>Rp520000</v>
      </c>
      <c r="L2169" s="5" t="str">
        <f t="shared" si="3"/>
        <v>520000</v>
      </c>
    </row>
    <row r="2170">
      <c r="A2170" s="6" t="s">
        <v>3361</v>
      </c>
      <c r="B2170" s="7" t="str">
        <f>HYPERLINK("https://shopee.co.id/Somethinc-Holygrail-Multipeptide-Youth-Elixir-20ml-i.136011044.5588927281", "https://shopee.co.id/Somethinc-Holygrail-Multipeptide-Youth-Elixir-20ml-i.136011044.5588927281")</f>
        <v>https://shopee.co.id/Somethinc-Holygrail-Multipeptide-Youth-Elixir-20ml-i.136011044.5588927281</v>
      </c>
      <c r="C2170" s="6" t="s">
        <v>45</v>
      </c>
      <c r="D2170" s="6" t="s">
        <v>632</v>
      </c>
      <c r="E2170" s="6" t="s">
        <v>12</v>
      </c>
      <c r="F2170" s="6" t="s">
        <v>13</v>
      </c>
      <c r="G2170" s="6" t="s">
        <v>21</v>
      </c>
      <c r="H2170" s="8" t="s">
        <v>3213</v>
      </c>
      <c r="I2170" s="9">
        <v>451500.0</v>
      </c>
      <c r="J2170" s="5" t="str">
        <f t="shared" ref="J2170:K2170" si="2170">SUBSTITUTE(H2170, ",", "")</f>
        <v>3</v>
      </c>
      <c r="K2170" s="5" t="str">
        <f t="shared" si="2170"/>
        <v>Rp451500</v>
      </c>
      <c r="L2170" s="5" t="str">
        <f t="shared" si="3"/>
        <v>451500</v>
      </c>
    </row>
    <row r="2171">
      <c r="A2171" s="6" t="s">
        <v>3362</v>
      </c>
      <c r="B2171" s="7" t="str">
        <f>HYPERLINK("https://shopee.co.id/Secret-Wish-by-Angel-Lelga-Acne-Solution-Serum-Acne-Serum-10ml-secretwishofficial-i.240781486.5855306529", "https://shopee.co.id/Secret-Wish-by-Angel-Lelga-Acne-Solution-Serum-Acne-Serum-10ml-secretwishofficial-i.240781486.5855306529")</f>
        <v>https://shopee.co.id/Secret-Wish-by-Angel-Lelga-Acne-Solution-Serum-Acne-Serum-10ml-secretwishofficial-i.240781486.5855306529</v>
      </c>
      <c r="C2171" s="6" t="s">
        <v>1956</v>
      </c>
      <c r="D2171" s="6" t="s">
        <v>1957</v>
      </c>
      <c r="E2171" s="6" t="s">
        <v>12</v>
      </c>
      <c r="F2171" s="6" t="s">
        <v>13</v>
      </c>
      <c r="G2171" s="6" t="s">
        <v>61</v>
      </c>
      <c r="H2171" s="8" t="s">
        <v>3213</v>
      </c>
      <c r="I2171" s="9">
        <v>2158200.0</v>
      </c>
      <c r="J2171" s="5" t="str">
        <f t="shared" ref="J2171:K2171" si="2171">SUBSTITUTE(H2171, ",", "")</f>
        <v>3</v>
      </c>
      <c r="K2171" s="5" t="str">
        <f t="shared" si="2171"/>
        <v>Rp2158200</v>
      </c>
      <c r="L2171" s="5" t="str">
        <f t="shared" si="3"/>
        <v>2158200</v>
      </c>
    </row>
    <row r="2172">
      <c r="A2172" s="6" t="s">
        <v>3363</v>
      </c>
      <c r="B2172" s="7" t="str">
        <f>HYPERLINK("https://shopee.co.id/Daneen-Twin-Pack-3G-Vitamin-C-Serum-10ml-i.328329669.6291387444", "https://shopee.co.id/Daneen-Twin-Pack-3G-Vitamin-C-Serum-10ml-i.328329669.6291387444")</f>
        <v>https://shopee.co.id/Daneen-Twin-Pack-3G-Vitamin-C-Serum-10ml-i.328329669.6291387444</v>
      </c>
      <c r="C2172" s="6" t="s">
        <v>2675</v>
      </c>
      <c r="D2172" s="6" t="s">
        <v>2676</v>
      </c>
      <c r="E2172" s="6" t="s">
        <v>12</v>
      </c>
      <c r="F2172" s="6" t="s">
        <v>13</v>
      </c>
      <c r="G2172" s="6" t="s">
        <v>36</v>
      </c>
      <c r="H2172" s="8" t="s">
        <v>3213</v>
      </c>
      <c r="I2172" s="9">
        <v>544050.0</v>
      </c>
      <c r="J2172" s="5" t="str">
        <f t="shared" ref="J2172:K2172" si="2172">SUBSTITUTE(H2172, ",", "")</f>
        <v>3</v>
      </c>
      <c r="K2172" s="5" t="str">
        <f t="shared" si="2172"/>
        <v>Rp544050</v>
      </c>
      <c r="L2172" s="5" t="str">
        <f t="shared" si="3"/>
        <v>544050</v>
      </c>
    </row>
    <row r="2173">
      <c r="A2173" s="6" t="s">
        <v>3364</v>
      </c>
      <c r="B2173" s="7" t="str">
        <f>HYPERLINK("https://shopee.co.id/MSBB-N-Pure-Face-Serum-Marigold-15-ml-i.288588702.5763307851", "https://shopee.co.id/MSBB-N-Pure-Face-Serum-Marigold-15-ml-i.288588702.5763307851")</f>
        <v>https://shopee.co.id/MSBB-N-Pure-Face-Serum-Marigold-15-ml-i.288588702.5763307851</v>
      </c>
      <c r="C2173" s="6" t="s">
        <v>78</v>
      </c>
      <c r="D2173" s="6" t="s">
        <v>79</v>
      </c>
      <c r="E2173" s="6" t="s">
        <v>12</v>
      </c>
      <c r="F2173" s="6" t="s">
        <v>13</v>
      </c>
      <c r="G2173" s="6" t="s">
        <v>80</v>
      </c>
      <c r="H2173" s="8" t="s">
        <v>3213</v>
      </c>
      <c r="I2173" s="9">
        <v>456000.0</v>
      </c>
      <c r="J2173" s="5" t="str">
        <f t="shared" ref="J2173:K2173" si="2173">SUBSTITUTE(H2173, ",", "")</f>
        <v>3</v>
      </c>
      <c r="K2173" s="5" t="str">
        <f t="shared" si="2173"/>
        <v>Rp456000</v>
      </c>
      <c r="L2173" s="5" t="str">
        <f t="shared" si="3"/>
        <v>456000</v>
      </c>
    </row>
    <row r="2174">
      <c r="A2174" s="6" t="s">
        <v>3365</v>
      </c>
      <c r="B2174" s="7" t="str">
        <f>HYPERLINK("https://shopee.co.id/maggie-glow-acne-serum-serum-pengilang-jerawat-pemutih-wajah-flek-i.23831802.702045635", "https://shopee.co.id/maggie-glow-acne-serum-serum-pengilang-jerawat-pemutih-wajah-flek-i.23831802.702045635")</f>
        <v>https://shopee.co.id/maggie-glow-acne-serum-serum-pengilang-jerawat-pemutih-wajah-flek-i.23831802.702045635</v>
      </c>
      <c r="C2174" s="6" t="s">
        <v>1083</v>
      </c>
      <c r="D2174" s="6" t="s">
        <v>1084</v>
      </c>
      <c r="E2174" s="6" t="s">
        <v>12</v>
      </c>
      <c r="F2174" s="6" t="s">
        <v>13</v>
      </c>
      <c r="G2174" s="6" t="s">
        <v>1085</v>
      </c>
      <c r="H2174" s="8" t="s">
        <v>3213</v>
      </c>
      <c r="I2174" s="9">
        <v>402300.0</v>
      </c>
      <c r="J2174" s="5" t="str">
        <f t="shared" ref="J2174:K2174" si="2174">SUBSTITUTE(H2174, ",", "")</f>
        <v>3</v>
      </c>
      <c r="K2174" s="5" t="str">
        <f t="shared" si="2174"/>
        <v>Rp402300</v>
      </c>
      <c r="L2174" s="5" t="str">
        <f t="shared" si="3"/>
        <v>402300</v>
      </c>
    </row>
    <row r="2175">
      <c r="A2175" s="6" t="s">
        <v>3366</v>
      </c>
      <c r="B2175" s="7" t="str">
        <f>HYPERLINK("https://shopee.co.id/TRILOGY-VERY-GENTLE-CALMING-SERUM-30ML-i.53497038.9909724163", "https://shopee.co.id/TRILOGY-VERY-GENTLE-CALMING-SERUM-30ML-i.53497038.9909724163")</f>
        <v>https://shopee.co.id/TRILOGY-VERY-GENTLE-CALMING-SERUM-30ML-i.53497038.9909724163</v>
      </c>
      <c r="C2175" s="6" t="s">
        <v>906</v>
      </c>
      <c r="D2175" s="6" t="s">
        <v>907</v>
      </c>
      <c r="E2175" s="6" t="s">
        <v>12</v>
      </c>
      <c r="F2175" s="6" t="s">
        <v>13</v>
      </c>
      <c r="G2175" s="6" t="s">
        <v>61</v>
      </c>
      <c r="H2175" s="8" t="s">
        <v>3213</v>
      </c>
      <c r="I2175" s="9">
        <v>3525000.0</v>
      </c>
      <c r="J2175" s="5" t="str">
        <f t="shared" ref="J2175:K2175" si="2175">SUBSTITUTE(H2175, ",", "")</f>
        <v>3</v>
      </c>
      <c r="K2175" s="5" t="str">
        <f t="shared" si="2175"/>
        <v>Rp3525000</v>
      </c>
      <c r="L2175" s="5" t="str">
        <f t="shared" si="3"/>
        <v>3525000</v>
      </c>
    </row>
    <row r="2176">
      <c r="A2176" s="6" t="s">
        <v>3367</v>
      </c>
      <c r="B2176" s="7" t="str">
        <f>HYPERLINK("https://shopee.co.id/The-Aubree-Centella-Herb-Serum-Unscented-30-ml-i.110573301.3383549960", "https://shopee.co.id/The-Aubree-Centella-Herb-Serum-Unscented-30-ml-i.110573301.3383549960")</f>
        <v>https://shopee.co.id/The-Aubree-Centella-Herb-Serum-Unscented-30-ml-i.110573301.3383549960</v>
      </c>
      <c r="C2176" s="6" t="s">
        <v>772</v>
      </c>
      <c r="D2176" s="6" t="s">
        <v>227</v>
      </c>
      <c r="E2176" s="6" t="s">
        <v>12</v>
      </c>
      <c r="F2176" s="6" t="s">
        <v>13</v>
      </c>
      <c r="G2176" s="6" t="s">
        <v>61</v>
      </c>
      <c r="H2176" s="8" t="s">
        <v>3213</v>
      </c>
      <c r="I2176" s="9">
        <v>2235000.0</v>
      </c>
      <c r="J2176" s="5" t="str">
        <f t="shared" ref="J2176:K2176" si="2176">SUBSTITUTE(H2176, ",", "")</f>
        <v>3</v>
      </c>
      <c r="K2176" s="5" t="str">
        <f t="shared" si="2176"/>
        <v>Rp2235000</v>
      </c>
      <c r="L2176" s="5" t="str">
        <f t="shared" si="3"/>
        <v>2235000</v>
      </c>
    </row>
    <row r="2177">
      <c r="A2177" s="6" t="s">
        <v>1150</v>
      </c>
      <c r="B2177" s="7" t="str">
        <f>HYPERLINK("https://shopee.co.id/The-Aubree-Rose-Bloom-Petal-Essence-120-ml-i.110573301.3383554696", "https://shopee.co.id/The-Aubree-Rose-Bloom-Petal-Essence-120-ml-i.110573301.3383554696")</f>
        <v>https://shopee.co.id/The-Aubree-Rose-Bloom-Petal-Essence-120-ml-i.110573301.3383554696</v>
      </c>
      <c r="C2177" s="6" t="s">
        <v>772</v>
      </c>
      <c r="D2177" s="6" t="s">
        <v>227</v>
      </c>
      <c r="E2177" s="6" t="s">
        <v>12</v>
      </c>
      <c r="F2177" s="6" t="s">
        <v>13</v>
      </c>
      <c r="G2177" s="6" t="s">
        <v>61</v>
      </c>
      <c r="H2177" s="8" t="s">
        <v>3213</v>
      </c>
      <c r="I2177" s="9">
        <v>3837000.0</v>
      </c>
      <c r="J2177" s="5" t="str">
        <f t="shared" ref="J2177:K2177" si="2177">SUBSTITUTE(H2177, ",", "")</f>
        <v>3</v>
      </c>
      <c r="K2177" s="5" t="str">
        <f t="shared" si="2177"/>
        <v>Rp3837000</v>
      </c>
      <c r="L2177" s="5" t="str">
        <f t="shared" si="3"/>
        <v>3837000</v>
      </c>
    </row>
    <row r="2178">
      <c r="A2178" s="6" t="s">
        <v>3368</v>
      </c>
      <c r="B2178" s="7" t="str">
        <f>HYPERLINK("https://shopee.co.id/ERHA-Truwhite-Vit-C-Peptides-Brightening-Serum-20-ml-Serum-Pencerah-Wajah-i.187117294.6649952447", "https://shopee.co.id/ERHA-Truwhite-Vit-C-Peptides-Brightening-Serum-20-ml-Serum-Pencerah-Wajah-i.187117294.6649952447")</f>
        <v>https://shopee.co.id/ERHA-Truwhite-Vit-C-Peptides-Brightening-Serum-20-ml-Serum-Pencerah-Wajah-i.187117294.6649952447</v>
      </c>
      <c r="C2178" s="6" t="s">
        <v>181</v>
      </c>
      <c r="D2178" s="6" t="s">
        <v>2366</v>
      </c>
      <c r="E2178" s="6" t="s">
        <v>12</v>
      </c>
      <c r="F2178" s="6" t="s">
        <v>13</v>
      </c>
      <c r="G2178" s="6" t="s">
        <v>469</v>
      </c>
      <c r="H2178" s="8" t="s">
        <v>3213</v>
      </c>
      <c r="I2178" s="9">
        <v>216630.0</v>
      </c>
      <c r="J2178" s="5" t="str">
        <f t="shared" ref="J2178:K2178" si="2178">SUBSTITUTE(H2178, ",", "")</f>
        <v>3</v>
      </c>
      <c r="K2178" s="5" t="str">
        <f t="shared" si="2178"/>
        <v>Rp216630</v>
      </c>
      <c r="L2178" s="5" t="str">
        <f t="shared" si="3"/>
        <v>216630</v>
      </c>
    </row>
    <row r="2179">
      <c r="A2179" s="6" t="s">
        <v>3369</v>
      </c>
      <c r="B2179" s="7" t="str">
        <f>HYPERLINK("https://shopee.co.id/Botanity-Set-2-Flavon-Serum-Intensive-Cream--i.203141970.3148623619", "https://shopee.co.id/Botanity-Set-2-Flavon-Serum-Intensive-Cream--i.203141970.3148623619")</f>
        <v>https://shopee.co.id/Botanity-Set-2-Flavon-Serum-Intensive-Cream--i.203141970.3148623619</v>
      </c>
      <c r="C2179" s="6" t="s">
        <v>1459</v>
      </c>
      <c r="D2179" s="6" t="s">
        <v>1460</v>
      </c>
      <c r="E2179" s="6" t="s">
        <v>12</v>
      </c>
      <c r="F2179" s="6" t="s">
        <v>13</v>
      </c>
      <c r="G2179" s="6" t="s">
        <v>21</v>
      </c>
      <c r="H2179" s="8" t="s">
        <v>3213</v>
      </c>
      <c r="I2179" s="9">
        <v>2770650.0</v>
      </c>
      <c r="J2179" s="5" t="str">
        <f t="shared" ref="J2179:K2179" si="2179">SUBSTITUTE(H2179, ",", "")</f>
        <v>3</v>
      </c>
      <c r="K2179" s="5" t="str">
        <f t="shared" si="2179"/>
        <v>Rp2770650</v>
      </c>
      <c r="L2179" s="5" t="str">
        <f t="shared" si="3"/>
        <v>2770650</v>
      </c>
    </row>
    <row r="2180">
      <c r="A2180" s="6" t="s">
        <v>3370</v>
      </c>
      <c r="B2180" s="7" t="str">
        <f>HYPERLINK("https://shopee.co.id/LUMIER-ADVANCED-YUJA-BRIGHTENING-AND-REPAIR-NIGHT-SERUM-i.231467354.8815998796", "https://shopee.co.id/LUMIER-ADVANCED-YUJA-BRIGHTENING-AND-REPAIR-NIGHT-SERUM-i.231467354.8815998796")</f>
        <v>https://shopee.co.id/LUMIER-ADVANCED-YUJA-BRIGHTENING-AND-REPAIR-NIGHT-SERUM-i.231467354.8815998796</v>
      </c>
      <c r="C2180" s="6" t="s">
        <v>2878</v>
      </c>
      <c r="D2180" s="6" t="s">
        <v>2879</v>
      </c>
      <c r="E2180" s="6" t="s">
        <v>12</v>
      </c>
      <c r="F2180" s="6" t="s">
        <v>13</v>
      </c>
      <c r="G2180" s="6" t="s">
        <v>532</v>
      </c>
      <c r="H2180" s="8" t="s">
        <v>3213</v>
      </c>
      <c r="I2180" s="9">
        <v>715500.0</v>
      </c>
      <c r="J2180" s="5" t="str">
        <f t="shared" ref="J2180:K2180" si="2180">SUBSTITUTE(H2180, ",", "")</f>
        <v>3</v>
      </c>
      <c r="K2180" s="5" t="str">
        <f t="shared" si="2180"/>
        <v>Rp715500</v>
      </c>
      <c r="L2180" s="5" t="str">
        <f t="shared" si="3"/>
        <v>715500</v>
      </c>
    </row>
    <row r="2181">
      <c r="A2181" s="6" t="s">
        <v>3371</v>
      </c>
      <c r="B2181" s="7" t="str">
        <f>HYPERLINK("https://shopee.co.id/Beautybarme-The-Ordinary-Caffeine-Solution-5-Egcg-i.28781862.6217076809", "https://shopee.co.id/Beautybarme-The-Ordinary-Caffeine-Solution-5-Egcg-i.28781862.6217076809")</f>
        <v>https://shopee.co.id/Beautybarme-The-Ordinary-Caffeine-Solution-5-Egcg-i.28781862.6217076809</v>
      </c>
      <c r="C2181" s="6" t="s">
        <v>1245</v>
      </c>
      <c r="D2181" s="6" t="s">
        <v>1189</v>
      </c>
      <c r="E2181" s="6" t="s">
        <v>12</v>
      </c>
      <c r="F2181" s="6" t="s">
        <v>13</v>
      </c>
      <c r="G2181" s="6" t="s">
        <v>1190</v>
      </c>
      <c r="H2181" s="8" t="s">
        <v>3213</v>
      </c>
      <c r="I2181" s="9">
        <v>297000.0</v>
      </c>
      <c r="J2181" s="5" t="str">
        <f t="shared" ref="J2181:K2181" si="2181">SUBSTITUTE(H2181, ",", "")</f>
        <v>3</v>
      </c>
      <c r="K2181" s="5" t="str">
        <f t="shared" si="2181"/>
        <v>Rp297000</v>
      </c>
      <c r="L2181" s="5" t="str">
        <f t="shared" si="3"/>
        <v>297000</v>
      </c>
    </row>
    <row r="2182">
      <c r="A2182" s="6" t="s">
        <v>3372</v>
      </c>
      <c r="B2182" s="7" t="str">
        <f>HYPERLINK("https://shopee.co.id/Hada-Labo-Gokujyun-Alpha-Essence-30-gr-i.78713320.7714514624", "https://shopee.co.id/Hada-Labo-Gokujyun-Alpha-Essence-30-gr-i.78713320.7714514624")</f>
        <v>https://shopee.co.id/Hada-Labo-Gokujyun-Alpha-Essence-30-gr-i.78713320.7714514624</v>
      </c>
      <c r="C2182" s="6" t="s">
        <v>2090</v>
      </c>
      <c r="D2182" s="6" t="s">
        <v>831</v>
      </c>
      <c r="E2182" s="6" t="s">
        <v>12</v>
      </c>
      <c r="F2182" s="6" t="s">
        <v>13</v>
      </c>
      <c r="G2182" s="6" t="s">
        <v>61</v>
      </c>
      <c r="H2182" s="8" t="s">
        <v>3213</v>
      </c>
      <c r="I2182" s="9">
        <v>211050.0</v>
      </c>
      <c r="J2182" s="5" t="str">
        <f t="shared" ref="J2182:K2182" si="2182">SUBSTITUTE(H2182, ",", "")</f>
        <v>3</v>
      </c>
      <c r="K2182" s="5" t="str">
        <f t="shared" si="2182"/>
        <v>Rp211050</v>
      </c>
      <c r="L2182" s="5" t="str">
        <f t="shared" si="3"/>
        <v>211050</v>
      </c>
    </row>
    <row r="2183">
      <c r="A2183" s="6" t="s">
        <v>3373</v>
      </c>
      <c r="B2183" s="7" t="str">
        <f>HYPERLINK("https://shopee.co.id/BRTC-The-First-Ampoule-Essence-150ml-i.24803305.7652511224", "https://shopee.co.id/BRTC-The-First-Ampoule-Essence-150ml-i.24803305.7652511224")</f>
        <v>https://shopee.co.id/BRTC-The-First-Ampoule-Essence-150ml-i.24803305.7652511224</v>
      </c>
      <c r="C2183" s="6" t="s">
        <v>3374</v>
      </c>
      <c r="D2183" s="6" t="s">
        <v>3375</v>
      </c>
      <c r="E2183" s="6" t="s">
        <v>12</v>
      </c>
      <c r="F2183" s="6" t="s">
        <v>13</v>
      </c>
      <c r="G2183" s="6" t="s">
        <v>130</v>
      </c>
      <c r="H2183" s="8" t="s">
        <v>3213</v>
      </c>
      <c r="I2183" s="9">
        <v>330000.0</v>
      </c>
      <c r="J2183" s="5" t="str">
        <f t="shared" ref="J2183:K2183" si="2183">SUBSTITUTE(H2183, ",", "")</f>
        <v>3</v>
      </c>
      <c r="K2183" s="5" t="str">
        <f t="shared" si="2183"/>
        <v>Rp330000</v>
      </c>
      <c r="L2183" s="5" t="str">
        <f t="shared" si="3"/>
        <v>330000</v>
      </c>
    </row>
    <row r="2184">
      <c r="A2184" s="6" t="s">
        <v>3376</v>
      </c>
      <c r="B2184" s="7" t="str">
        <f>HYPERLINK("https://shopee.co.id/BeautieSS-Skin-Solution-Anti-Wrinkle-Aging-Mengandung-Snail-Mucin-i.48098269.5819392002", "https://shopee.co.id/BeautieSS-Skin-Solution-Anti-Wrinkle-Aging-Mengandung-Snail-Mucin-i.48098269.5819392002")</f>
        <v>https://shopee.co.id/BeautieSS-Skin-Solution-Anti-Wrinkle-Aging-Mengandung-Snail-Mucin-i.48098269.5819392002</v>
      </c>
      <c r="C2184" s="6" t="s">
        <v>3377</v>
      </c>
      <c r="D2184" s="6" t="s">
        <v>3166</v>
      </c>
      <c r="E2184" s="6" t="s">
        <v>12</v>
      </c>
      <c r="F2184" s="6" t="s">
        <v>13</v>
      </c>
      <c r="G2184" s="6" t="s">
        <v>241</v>
      </c>
      <c r="H2184" s="8" t="s">
        <v>3378</v>
      </c>
      <c r="I2184" s="9">
        <v>108300.0</v>
      </c>
      <c r="J2184" s="5" t="str">
        <f t="shared" ref="J2184:K2184" si="2184">SUBSTITUTE(H2184, ",", "")</f>
        <v>2</v>
      </c>
      <c r="K2184" s="5" t="str">
        <f t="shared" si="2184"/>
        <v>Rp108300</v>
      </c>
      <c r="L2184" s="5" t="str">
        <f t="shared" si="3"/>
        <v>108300</v>
      </c>
    </row>
    <row r="2185">
      <c r="A2185" s="6" t="s">
        <v>3379</v>
      </c>
      <c r="B2185" s="7" t="str">
        <f>HYPERLINK("https://shopee.co.id/J-GLOW-Luxury-Acne-Serum-Membantu-Merawat-Kulit-Berjerawat-Dapat-Menjaga-Kelembaban-Kulit-30ml-i.165212611.5546826033", "https://shopee.co.id/J-GLOW-Luxury-Acne-Serum-Membantu-Merawat-Kulit-Berjerawat-Dapat-Menjaga-Kelembaban-Kulit-30ml-i.165212611.5546826033")</f>
        <v>https://shopee.co.id/J-GLOW-Luxury-Acne-Serum-Membantu-Merawat-Kulit-Berjerawat-Dapat-Menjaga-Kelembaban-Kulit-30ml-i.165212611.5546826033</v>
      </c>
      <c r="C2185" s="6" t="s">
        <v>1553</v>
      </c>
      <c r="D2185" s="6" t="s">
        <v>1554</v>
      </c>
      <c r="E2185" s="6" t="s">
        <v>12</v>
      </c>
      <c r="F2185" s="6" t="s">
        <v>13</v>
      </c>
      <c r="G2185" s="6" t="s">
        <v>241</v>
      </c>
      <c r="H2185" s="8" t="s">
        <v>3378</v>
      </c>
      <c r="I2185" s="9">
        <v>296000.0</v>
      </c>
      <c r="J2185" s="5" t="str">
        <f t="shared" ref="J2185:K2185" si="2185">SUBSTITUTE(H2185, ",", "")</f>
        <v>2</v>
      </c>
      <c r="K2185" s="5" t="str">
        <f t="shared" si="2185"/>
        <v>Rp296000</v>
      </c>
      <c r="L2185" s="5" t="str">
        <f t="shared" si="3"/>
        <v>296000</v>
      </c>
    </row>
    <row r="2186">
      <c r="A2186" s="6" t="s">
        <v>3380</v>
      </c>
      <c r="B2186" s="7" t="str">
        <f>HYPERLINK("https://shopee.co.id/Wardah-Crystallure-Oil-Serum-30Ml-i.186214521.3325758788", "https://shopee.co.id/Wardah-Crystallure-Oil-Serum-30Ml-i.186214521.3325758788")</f>
        <v>https://shopee.co.id/Wardah-Crystallure-Oil-Serum-30Ml-i.186214521.3325758788</v>
      </c>
      <c r="C2186" s="6" t="s">
        <v>169</v>
      </c>
      <c r="D2186" s="6" t="s">
        <v>2293</v>
      </c>
      <c r="E2186" s="6" t="s">
        <v>12</v>
      </c>
      <c r="F2186" s="6" t="s">
        <v>13</v>
      </c>
      <c r="G2186" s="6" t="s">
        <v>61</v>
      </c>
      <c r="H2186" s="8" t="s">
        <v>3378</v>
      </c>
      <c r="I2186" s="9">
        <v>95713.0</v>
      </c>
      <c r="J2186" s="5" t="str">
        <f t="shared" ref="J2186:K2186" si="2186">SUBSTITUTE(H2186, ",", "")</f>
        <v>2</v>
      </c>
      <c r="K2186" s="5" t="str">
        <f t="shared" si="2186"/>
        <v>Rp95713</v>
      </c>
      <c r="L2186" s="5" t="str">
        <f t="shared" si="3"/>
        <v>95713</v>
      </c>
    </row>
    <row r="2187">
      <c r="A2187" s="6" t="s">
        <v>3381</v>
      </c>
      <c r="B2187" s="7" t="str">
        <f>HYPERLINK("https://shopee.co.id/Indoganic-Promo-Brightening-Vit-C-Serum-Rose-Quartz-Roller-i.4706308.5569869430", "https://shopee.co.id/Indoganic-Promo-Brightening-Vit-C-Serum-Rose-Quartz-Roller-i.4706308.5569869430")</f>
        <v>https://shopee.co.id/Indoganic-Promo-Brightening-Vit-C-Serum-Rose-Quartz-Roller-i.4706308.5569869430</v>
      </c>
      <c r="C2187" s="6" t="s">
        <v>995</v>
      </c>
      <c r="D2187" s="6" t="s">
        <v>996</v>
      </c>
      <c r="E2187" s="6" t="s">
        <v>12</v>
      </c>
      <c r="F2187" s="6" t="s">
        <v>13</v>
      </c>
      <c r="G2187" s="6" t="s">
        <v>241</v>
      </c>
      <c r="H2187" s="8" t="s">
        <v>3378</v>
      </c>
      <c r="I2187" s="9">
        <v>243000.0</v>
      </c>
      <c r="J2187" s="5" t="str">
        <f t="shared" ref="J2187:K2187" si="2187">SUBSTITUTE(H2187, ",", "")</f>
        <v>2</v>
      </c>
      <c r="K2187" s="5" t="str">
        <f t="shared" si="2187"/>
        <v>Rp243000</v>
      </c>
      <c r="L2187" s="5" t="str">
        <f t="shared" si="3"/>
        <v>243000</v>
      </c>
    </row>
    <row r="2188">
      <c r="A2188" s="6" t="s">
        <v>3382</v>
      </c>
      <c r="B2188" s="7" t="str">
        <f>HYPERLINK("https://shopee.co.id/Glowlabs-Ultimate-Team-FREE-POUCH-Probiome-Acne-Serum-Gentle-Glow-Essence-Peptide-Moist--i.336869851.8485880305", "https://shopee.co.id/Glowlabs-Ultimate-Team-FREE-POUCH-Probiome-Acne-Serum-Gentle-Glow-Essence-Peptide-Moist--i.336869851.8485880305")</f>
        <v>https://shopee.co.id/Glowlabs-Ultimate-Team-FREE-POUCH-Probiome-Acne-Serum-Gentle-Glow-Essence-Peptide-Moist--i.336869851.8485880305</v>
      </c>
      <c r="C2188" s="6" t="s">
        <v>2240</v>
      </c>
      <c r="D2188" s="6" t="s">
        <v>408</v>
      </c>
      <c r="E2188" s="6" t="s">
        <v>12</v>
      </c>
      <c r="F2188" s="6" t="s">
        <v>13</v>
      </c>
      <c r="G2188" s="6" t="s">
        <v>409</v>
      </c>
      <c r="H2188" s="8" t="s">
        <v>3378</v>
      </c>
      <c r="I2188" s="9">
        <v>278000.0</v>
      </c>
      <c r="J2188" s="5" t="str">
        <f t="shared" ref="J2188:K2188" si="2188">SUBSTITUTE(H2188, ",", "")</f>
        <v>2</v>
      </c>
      <c r="K2188" s="5" t="str">
        <f t="shared" si="2188"/>
        <v>Rp278000</v>
      </c>
      <c r="L2188" s="5" t="str">
        <f t="shared" si="3"/>
        <v>278000</v>
      </c>
    </row>
    <row r="2189">
      <c r="A2189" s="6" t="s">
        <v>3383</v>
      </c>
      <c r="B2189" s="7" t="str">
        <f>HYPERLINK("https://shopee.co.id/DERMEVA-Anti-Acne-Purifier-Essence--i.79020312.9373899552", "https://shopee.co.id/DERMEVA-Anti-Acne-Purifier-Essence--i.79020312.9373899552")</f>
        <v>https://shopee.co.id/DERMEVA-Anti-Acne-Purifier-Essence--i.79020312.9373899552</v>
      </c>
      <c r="C2189" s="6" t="s">
        <v>3384</v>
      </c>
      <c r="D2189" s="6" t="s">
        <v>3385</v>
      </c>
      <c r="E2189" s="6" t="s">
        <v>12</v>
      </c>
      <c r="F2189" s="6" t="s">
        <v>13</v>
      </c>
      <c r="G2189" s="6" t="s">
        <v>21</v>
      </c>
      <c r="H2189" s="8" t="s">
        <v>3378</v>
      </c>
      <c r="I2189" s="9">
        <v>188100.0</v>
      </c>
      <c r="J2189" s="5" t="str">
        <f t="shared" ref="J2189:K2189" si="2189">SUBSTITUTE(H2189, ",", "")</f>
        <v>2</v>
      </c>
      <c r="K2189" s="5" t="str">
        <f t="shared" si="2189"/>
        <v>Rp188100</v>
      </c>
      <c r="L2189" s="5" t="str">
        <f t="shared" si="3"/>
        <v>188100</v>
      </c>
    </row>
    <row r="2190">
      <c r="A2190" s="6" t="s">
        <v>3386</v>
      </c>
      <c r="B2190" s="7" t="str">
        <f>HYPERLINK("https://shopee.co.id/NATURE-REACTION-CRYSTAL-BRIGHT-SERUM-WAJAH-GLOWING-PEMUTIH-WAJAH-WANITA-PRIA-ORIGINAL-BPOM-i.375565670.10726094980", "https://shopee.co.id/NATURE-REACTION-CRYSTAL-BRIGHT-SERUM-WAJAH-GLOWING-PEMUTIH-WAJAH-WANITA-PRIA-ORIGINAL-BPOM-i.375565670.10726094980")</f>
        <v>https://shopee.co.id/NATURE-REACTION-CRYSTAL-BRIGHT-SERUM-WAJAH-GLOWING-PEMUTIH-WAJAH-WANITA-PRIA-ORIGINAL-BPOM-i.375565670.10726094980</v>
      </c>
      <c r="C2190" s="6" t="s">
        <v>530</v>
      </c>
      <c r="D2190" s="6" t="s">
        <v>531</v>
      </c>
      <c r="E2190" s="6" t="s">
        <v>12</v>
      </c>
      <c r="F2190" s="6" t="s">
        <v>13</v>
      </c>
      <c r="G2190" s="6" t="s">
        <v>532</v>
      </c>
      <c r="H2190" s="8" t="s">
        <v>3378</v>
      </c>
      <c r="I2190" s="9">
        <v>676800.0</v>
      </c>
      <c r="J2190" s="5" t="str">
        <f t="shared" ref="J2190:K2190" si="2190">SUBSTITUTE(H2190, ",", "")</f>
        <v>2</v>
      </c>
      <c r="K2190" s="5" t="str">
        <f t="shared" si="2190"/>
        <v>Rp676800</v>
      </c>
      <c r="L2190" s="5" t="str">
        <f t="shared" si="3"/>
        <v>676800</v>
      </c>
    </row>
    <row r="2191">
      <c r="A2191" s="6" t="s">
        <v>3387</v>
      </c>
      <c r="B2191" s="7" t="str">
        <f>HYPERLINK("https://shopee.co.id/-LIMITED-BUNDLE-Aesthetic-Bluepin-AHA-BHA-Peeling-Solution-Excellent-C-Face-Serum-Rose-Drip-i.54874680.5296367729", "https://shopee.co.id/-LIMITED-BUNDLE-Aesthetic-Bluepin-AHA-BHA-Peeling-Solution-Excellent-C-Face-Serum-Rose-Drip-i.54874680.5296367729")</f>
        <v>https://shopee.co.id/-LIMITED-BUNDLE-Aesthetic-Bluepin-AHA-BHA-Peeling-Solution-Excellent-C-Face-Serum-Rose-Drip-i.54874680.5296367729</v>
      </c>
      <c r="C2191" s="6" t="s">
        <v>3388</v>
      </c>
      <c r="D2191" s="6" t="s">
        <v>1425</v>
      </c>
      <c r="E2191" s="6" t="s">
        <v>12</v>
      </c>
      <c r="F2191" s="6" t="s">
        <v>13</v>
      </c>
      <c r="G2191" s="6" t="s">
        <v>80</v>
      </c>
      <c r="H2191" s="8" t="s">
        <v>3378</v>
      </c>
      <c r="I2191" s="9">
        <v>904500.0</v>
      </c>
      <c r="J2191" s="5" t="str">
        <f t="shared" ref="J2191:K2191" si="2191">SUBSTITUTE(H2191, ",", "")</f>
        <v>2</v>
      </c>
      <c r="K2191" s="5" t="str">
        <f t="shared" si="2191"/>
        <v>Rp904500</v>
      </c>
      <c r="L2191" s="5" t="str">
        <f t="shared" si="3"/>
        <v>904500</v>
      </c>
    </row>
    <row r="2192">
      <c r="A2192" s="6" t="s">
        <v>3389</v>
      </c>
      <c r="B2192" s="7" t="str">
        <f>HYPERLINK("https://shopee.co.id/Oeil-Paris-Glow-Brightening-Serum-i.250766364.9177267717", "https://shopee.co.id/Oeil-Paris-Glow-Brightening-Serum-i.250766364.9177267717")</f>
        <v>https://shopee.co.id/Oeil-Paris-Glow-Brightening-Serum-i.250766364.9177267717</v>
      </c>
      <c r="C2192" s="6" t="s">
        <v>2068</v>
      </c>
      <c r="D2192" s="6" t="s">
        <v>2069</v>
      </c>
      <c r="E2192" s="6" t="s">
        <v>12</v>
      </c>
      <c r="F2192" s="6" t="s">
        <v>13</v>
      </c>
      <c r="G2192" s="6" t="s">
        <v>61</v>
      </c>
      <c r="H2192" s="8" t="s">
        <v>3378</v>
      </c>
      <c r="I2192" s="9">
        <v>157700.0</v>
      </c>
      <c r="J2192" s="5" t="str">
        <f t="shared" ref="J2192:K2192" si="2192">SUBSTITUTE(H2192, ",", "")</f>
        <v>2</v>
      </c>
      <c r="K2192" s="5" t="str">
        <f t="shared" si="2192"/>
        <v>Rp157700</v>
      </c>
      <c r="L2192" s="5" t="str">
        <f t="shared" si="3"/>
        <v>157700</v>
      </c>
    </row>
    <row r="2193">
      <c r="A2193" s="6" t="s">
        <v>3390</v>
      </c>
      <c r="B2193" s="7" t="str">
        <f>HYPERLINK("https://shopee.co.id/BeautieSS-Advance-Dark-Spot-Corrector-Serum-i.48098269.9727972606", "https://shopee.co.id/BeautieSS-Advance-Dark-Spot-Corrector-Serum-i.48098269.9727972606")</f>
        <v>https://shopee.co.id/BeautieSS-Advance-Dark-Spot-Corrector-Serum-i.48098269.9727972606</v>
      </c>
      <c r="C2193" s="6" t="s">
        <v>3165</v>
      </c>
      <c r="D2193" s="6" t="s">
        <v>3166</v>
      </c>
      <c r="E2193" s="6" t="s">
        <v>12</v>
      </c>
      <c r="F2193" s="6" t="s">
        <v>13</v>
      </c>
      <c r="G2193" s="6" t="s">
        <v>241</v>
      </c>
      <c r="H2193" s="8" t="s">
        <v>3378</v>
      </c>
      <c r="I2193" s="9">
        <v>152880.0</v>
      </c>
      <c r="J2193" s="5" t="str">
        <f t="shared" ref="J2193:K2193" si="2193">SUBSTITUTE(H2193, ",", "")</f>
        <v>2</v>
      </c>
      <c r="K2193" s="5" t="str">
        <f t="shared" si="2193"/>
        <v>Rp152880</v>
      </c>
      <c r="L2193" s="5" t="str">
        <f t="shared" si="3"/>
        <v>152880</v>
      </c>
    </row>
    <row r="2194">
      <c r="A2194" s="6" t="s">
        <v>3391</v>
      </c>
      <c r="B2194" s="7" t="str">
        <f>HYPERLINK("https://shopee.co.id/First-Spray-Serum-Peptide-Cleanser-i.489174620.12911454671", "https://shopee.co.id/First-Spray-Serum-Peptide-Cleanser-i.489174620.12911454671")</f>
        <v>https://shopee.co.id/First-Spray-Serum-Peptide-Cleanser-i.489174620.12911454671</v>
      </c>
      <c r="C2194" s="6" t="s">
        <v>1694</v>
      </c>
      <c r="D2194" s="6" t="s">
        <v>3052</v>
      </c>
      <c r="E2194" s="6" t="s">
        <v>12</v>
      </c>
      <c r="F2194" s="6" t="s">
        <v>13</v>
      </c>
      <c r="G2194" s="6" t="s">
        <v>80</v>
      </c>
      <c r="H2194" s="8" t="s">
        <v>3378</v>
      </c>
      <c r="I2194" s="9">
        <v>960000.0</v>
      </c>
      <c r="J2194" s="5" t="str">
        <f t="shared" ref="J2194:K2194" si="2194">SUBSTITUTE(H2194, ",", "")</f>
        <v>2</v>
      </c>
      <c r="K2194" s="5" t="str">
        <f t="shared" si="2194"/>
        <v>Rp960000</v>
      </c>
      <c r="L2194" s="5" t="str">
        <f t="shared" si="3"/>
        <v>960000</v>
      </c>
    </row>
    <row r="2195">
      <c r="A2195" s="6" t="s">
        <v>3392</v>
      </c>
      <c r="B2195" s="7" t="str">
        <f>HYPERLINK("https://shopee.co.id/BREYLEE-Serum-Mata-Roll-On-Retinol-Menyamarkan-Kerutan-Halus-15ml-i.68111.8653351393", "https://shopee.co.id/BREYLEE-Serum-Mata-Roll-On-Retinol-Menyamarkan-Kerutan-Halus-15ml-i.68111.8653351393")</f>
        <v>https://shopee.co.id/BREYLEE-Serum-Mata-Roll-On-Retinol-Menyamarkan-Kerutan-Halus-15ml-i.68111.8653351393</v>
      </c>
      <c r="C2195" s="6" t="s">
        <v>852</v>
      </c>
      <c r="D2195" s="6" t="s">
        <v>441</v>
      </c>
      <c r="E2195" s="6" t="s">
        <v>12</v>
      </c>
      <c r="F2195" s="6" t="s">
        <v>13</v>
      </c>
      <c r="G2195" s="6" t="s">
        <v>130</v>
      </c>
      <c r="H2195" s="8" t="s">
        <v>3378</v>
      </c>
      <c r="I2195" s="9">
        <v>518000.0</v>
      </c>
      <c r="J2195" s="5" t="str">
        <f t="shared" ref="J2195:K2195" si="2195">SUBSTITUTE(H2195, ",", "")</f>
        <v>2</v>
      </c>
      <c r="K2195" s="5" t="str">
        <f t="shared" si="2195"/>
        <v>Rp518000</v>
      </c>
      <c r="L2195" s="5" t="str">
        <f t="shared" si="3"/>
        <v>518000</v>
      </c>
    </row>
    <row r="2196">
      <c r="A2196" s="6" t="s">
        <v>3393</v>
      </c>
      <c r="B2196" s="7" t="str">
        <f>HYPERLINK("https://shopee.co.id/Clay-Botanicals-Hampers-i.57616006.9245667546", "https://shopee.co.id/Clay-Botanicals-Hampers-i.57616006.9245667546")</f>
        <v>https://shopee.co.id/Clay-Botanicals-Hampers-i.57616006.9245667546</v>
      </c>
      <c r="C2196" s="6" t="s">
        <v>3394</v>
      </c>
      <c r="D2196" s="6" t="s">
        <v>3395</v>
      </c>
      <c r="E2196" s="6" t="s">
        <v>12</v>
      </c>
      <c r="F2196" s="6" t="s">
        <v>13</v>
      </c>
      <c r="G2196" s="6" t="s">
        <v>409</v>
      </c>
      <c r="H2196" s="8" t="s">
        <v>3378</v>
      </c>
      <c r="I2196" s="9">
        <v>544600.0</v>
      </c>
      <c r="J2196" s="5" t="str">
        <f t="shared" ref="J2196:K2196" si="2196">SUBSTITUTE(H2196, ",", "")</f>
        <v>2</v>
      </c>
      <c r="K2196" s="5" t="str">
        <f t="shared" si="2196"/>
        <v>Rp544600</v>
      </c>
      <c r="L2196" s="5" t="str">
        <f t="shared" si="3"/>
        <v>544600</v>
      </c>
    </row>
    <row r="2197">
      <c r="A2197" s="6" t="s">
        <v>202</v>
      </c>
      <c r="B2197" s="7" t="str">
        <f>HYPERLINK("https://shopee.co.id/Garnier-Sakura-White-Daily-Kit-Krim-Pagi-dan-Malam-Untuk-Kulit-Cerah-Merona--i.65323877.9279914546", "https://shopee.co.id/Garnier-Sakura-White-Daily-Kit-Krim-Pagi-dan-Malam-Untuk-Kulit-Cerah-Merona--i.65323877.9279914546")</f>
        <v>https://shopee.co.id/Garnier-Sakura-White-Daily-Kit-Krim-Pagi-dan-Malam-Untuk-Kulit-Cerah-Merona--i.65323877.9279914546</v>
      </c>
      <c r="C2197" s="6" t="s">
        <v>74</v>
      </c>
      <c r="D2197" s="6" t="s">
        <v>1600</v>
      </c>
      <c r="E2197" s="6" t="s">
        <v>12</v>
      </c>
      <c r="F2197" s="6" t="s">
        <v>13</v>
      </c>
      <c r="G2197" s="6" t="s">
        <v>296</v>
      </c>
      <c r="H2197" s="8" t="s">
        <v>3378</v>
      </c>
      <c r="I2197" s="9">
        <v>614400.0</v>
      </c>
      <c r="J2197" s="5" t="str">
        <f t="shared" ref="J2197:K2197" si="2197">SUBSTITUTE(H2197, ",", "")</f>
        <v>2</v>
      </c>
      <c r="K2197" s="5" t="str">
        <f t="shared" si="2197"/>
        <v>Rp614400</v>
      </c>
      <c r="L2197" s="5" t="str">
        <f t="shared" si="3"/>
        <v>614400</v>
      </c>
    </row>
    <row r="2198">
      <c r="A2198" s="6" t="s">
        <v>3396</v>
      </c>
      <c r="B2198" s="7" t="str">
        <f>HYPERLINK("https://shopee.co.id/Sbcskin-Bundling-Serum-Vit-C-Retinol-Renewal-Serum-i.229435322.6360929687", "https://shopee.co.id/Sbcskin-Bundling-Serum-Vit-C-Retinol-Renewal-Serum-i.229435322.6360929687")</f>
        <v>https://shopee.co.id/Sbcskin-Bundling-Serum-Vit-C-Retinol-Renewal-Serum-i.229435322.6360929687</v>
      </c>
      <c r="C2198" s="6" t="s">
        <v>1775</v>
      </c>
      <c r="D2198" s="6" t="s">
        <v>1776</v>
      </c>
      <c r="E2198" s="6" t="s">
        <v>12</v>
      </c>
      <c r="F2198" s="6" t="s">
        <v>13</v>
      </c>
      <c r="G2198" s="6" t="s">
        <v>1777</v>
      </c>
      <c r="H2198" s="8" t="s">
        <v>3378</v>
      </c>
      <c r="I2198" s="9">
        <v>238000.0</v>
      </c>
      <c r="J2198" s="5" t="str">
        <f t="shared" ref="J2198:K2198" si="2198">SUBSTITUTE(H2198, ",", "")</f>
        <v>2</v>
      </c>
      <c r="K2198" s="5" t="str">
        <f t="shared" si="2198"/>
        <v>Rp238000</v>
      </c>
      <c r="L2198" s="5" t="str">
        <f t="shared" si="3"/>
        <v>238000</v>
      </c>
    </row>
    <row r="2199">
      <c r="A2199" s="6" t="s">
        <v>3397</v>
      </c>
      <c r="B2199" s="7" t="str">
        <f>HYPERLINK("https://shopee.co.id/Esther-Derma-Bright-Serum-i.258793984.5779446036", "https://shopee.co.id/Esther-Derma-Bright-Serum-i.258793984.5779446036")</f>
        <v>https://shopee.co.id/Esther-Derma-Bright-Serum-i.258793984.5779446036</v>
      </c>
      <c r="C2199" s="6" t="s">
        <v>3398</v>
      </c>
      <c r="D2199" s="6" t="s">
        <v>3399</v>
      </c>
      <c r="E2199" s="6" t="s">
        <v>12</v>
      </c>
      <c r="F2199" s="6" t="s">
        <v>13</v>
      </c>
      <c r="G2199" s="6" t="s">
        <v>350</v>
      </c>
      <c r="H2199" s="8" t="s">
        <v>3378</v>
      </c>
      <c r="I2199" s="9">
        <v>264100.0</v>
      </c>
      <c r="J2199" s="5" t="str">
        <f t="shared" ref="J2199:K2199" si="2199">SUBSTITUTE(H2199, ",", "")</f>
        <v>2</v>
      </c>
      <c r="K2199" s="5" t="str">
        <f t="shared" si="2199"/>
        <v>Rp264100</v>
      </c>
      <c r="L2199" s="5" t="str">
        <f t="shared" si="3"/>
        <v>264100</v>
      </c>
    </row>
    <row r="2200">
      <c r="A2200" s="6" t="s">
        <v>3400</v>
      </c>
      <c r="B2200" s="7" t="str">
        <f>HYPERLINK("https://shopee.co.id/HERSALL-Watermelon-Ice-Cream-Serum-AHA-BHA-Watermelon-Extract-i.329847628.8487975550", "https://shopee.co.id/HERSALL-Watermelon-Ice-Cream-Serum-AHA-BHA-Watermelon-Extract-i.329847628.8487975550")</f>
        <v>https://shopee.co.id/HERSALL-Watermelon-Ice-Cream-Serum-AHA-BHA-Watermelon-Extract-i.329847628.8487975550</v>
      </c>
      <c r="C2200" s="6" t="s">
        <v>2000</v>
      </c>
      <c r="D2200" s="6" t="s">
        <v>2001</v>
      </c>
      <c r="E2200" s="6" t="s">
        <v>12</v>
      </c>
      <c r="F2200" s="6" t="s">
        <v>13</v>
      </c>
      <c r="G2200" s="6" t="s">
        <v>61</v>
      </c>
      <c r="H2200" s="8" t="s">
        <v>3378</v>
      </c>
      <c r="I2200" s="9">
        <v>264100.0</v>
      </c>
      <c r="J2200" s="5" t="str">
        <f t="shared" ref="J2200:K2200" si="2200">SUBSTITUTE(H2200, ",", "")</f>
        <v>2</v>
      </c>
      <c r="K2200" s="5" t="str">
        <f t="shared" si="2200"/>
        <v>Rp264100</v>
      </c>
      <c r="L2200" s="5" t="str">
        <f t="shared" si="3"/>
        <v>264100</v>
      </c>
    </row>
    <row r="2201">
      <c r="A2201" s="6" t="s">
        <v>3401</v>
      </c>
      <c r="B2201" s="7" t="str">
        <f>HYPERLINK("https://shopee.co.id/Hada-Labo-Gokujyun-Alpha-Essence-30g-i.10689.115636", "https://shopee.co.id/Hada-Labo-Gokujyun-Alpha-Essence-30g-i.10689.115636")</f>
        <v>https://shopee.co.id/Hada-Labo-Gokujyun-Alpha-Essence-30g-i.10689.115636</v>
      </c>
      <c r="C2201" s="6" t="s">
        <v>2090</v>
      </c>
      <c r="D2201" s="6" t="s">
        <v>745</v>
      </c>
      <c r="E2201" s="6" t="s">
        <v>12</v>
      </c>
      <c r="F2201" s="6" t="s">
        <v>13</v>
      </c>
      <c r="G2201" s="6" t="s">
        <v>61</v>
      </c>
      <c r="H2201" s="8" t="s">
        <v>3378</v>
      </c>
      <c r="I2201" s="9">
        <v>208000.0</v>
      </c>
      <c r="J2201" s="5" t="str">
        <f t="shared" ref="J2201:K2201" si="2201">SUBSTITUTE(H2201, ",", "")</f>
        <v>2</v>
      </c>
      <c r="K2201" s="5" t="str">
        <f t="shared" si="2201"/>
        <v>Rp208000</v>
      </c>
      <c r="L2201" s="5" t="str">
        <f t="shared" si="3"/>
        <v>208000</v>
      </c>
    </row>
    <row r="2202">
      <c r="A2202" s="6" t="s">
        <v>3402</v>
      </c>
      <c r="B2202" s="7" t="str">
        <f>HYPERLINK("https://shopee.co.id/Nu-Aroma-Rosehip-Oil-Natural-Serum-Wajah-Serum-Rambut--i.262175945.3657169304", "https://shopee.co.id/Nu-Aroma-Rosehip-Oil-Natural-Serum-Wajah-Serum-Rambut--i.262175945.3657169304")</f>
        <v>https://shopee.co.id/Nu-Aroma-Rosehip-Oil-Natural-Serum-Wajah-Serum-Rambut--i.262175945.3657169304</v>
      </c>
      <c r="C2202" s="6" t="s">
        <v>2863</v>
      </c>
      <c r="D2202" s="6" t="s">
        <v>2864</v>
      </c>
      <c r="E2202" s="6" t="s">
        <v>12</v>
      </c>
      <c r="F2202" s="6" t="s">
        <v>13</v>
      </c>
      <c r="G2202" s="6" t="s">
        <v>945</v>
      </c>
      <c r="H2202" s="8" t="s">
        <v>3378</v>
      </c>
      <c r="I2202" s="9">
        <v>1228000.0</v>
      </c>
      <c r="J2202" s="5" t="str">
        <f t="shared" ref="J2202:K2202" si="2202">SUBSTITUTE(H2202, ",", "")</f>
        <v>2</v>
      </c>
      <c r="K2202" s="5" t="str">
        <f t="shared" si="2202"/>
        <v>Rp1228000</v>
      </c>
      <c r="L2202" s="5" t="str">
        <f t="shared" si="3"/>
        <v>1228000</v>
      </c>
    </row>
    <row r="2203">
      <c r="A2203" s="6" t="s">
        <v>3403</v>
      </c>
      <c r="B2203" s="7" t="str">
        <f>HYPERLINK("https://shopee.co.id/Calmedi-7-in-1-Cica-Essence-for-Skin-Barrier-i.129229117.4193943838", "https://shopee.co.id/Calmedi-7-in-1-Cica-Essence-for-Skin-Barrier-i.129229117.4193943838")</f>
        <v>https://shopee.co.id/Calmedi-7-in-1-Cica-Essence-for-Skin-Barrier-i.129229117.4193943838</v>
      </c>
      <c r="C2203" s="6" t="s">
        <v>2931</v>
      </c>
      <c r="D2203" s="6" t="s">
        <v>2932</v>
      </c>
      <c r="E2203" s="6" t="s">
        <v>12</v>
      </c>
      <c r="F2203" s="6" t="s">
        <v>13</v>
      </c>
      <c r="G2203" s="6" t="s">
        <v>98</v>
      </c>
      <c r="H2203" s="8" t="s">
        <v>3378</v>
      </c>
      <c r="I2203" s="9">
        <v>150000.0</v>
      </c>
      <c r="J2203" s="5" t="str">
        <f t="shared" ref="J2203:K2203" si="2203">SUBSTITUTE(H2203, ",", "")</f>
        <v>2</v>
      </c>
      <c r="K2203" s="5" t="str">
        <f t="shared" si="2203"/>
        <v>Rp150000</v>
      </c>
      <c r="L2203" s="5" t="str">
        <f t="shared" si="3"/>
        <v>150000</v>
      </c>
    </row>
    <row r="2204">
      <c r="A2204" s="6" t="s">
        <v>3404</v>
      </c>
      <c r="B2204" s="7" t="str">
        <f>HYPERLINK("https://shopee.co.id/Ahc-The-Aesthe-Youth-Serum-30ml-i.30736001.9668008263", "https://shopee.co.id/Ahc-The-Aesthe-Youth-Serum-30ml-i.30736001.9668008263")</f>
        <v>https://shopee.co.id/Ahc-The-Aesthe-Youth-Serum-30ml-i.30736001.9668008263</v>
      </c>
      <c r="C2204" s="6" t="s">
        <v>2053</v>
      </c>
      <c r="D2204" s="6" t="s">
        <v>335</v>
      </c>
      <c r="E2204" s="6" t="s">
        <v>12</v>
      </c>
      <c r="F2204" s="6" t="s">
        <v>13</v>
      </c>
      <c r="G2204" s="6" t="s">
        <v>36</v>
      </c>
      <c r="H2204" s="8" t="s">
        <v>3378</v>
      </c>
      <c r="I2204" s="9">
        <v>1840000.0</v>
      </c>
      <c r="J2204" s="5" t="str">
        <f t="shared" ref="J2204:K2204" si="2204">SUBSTITUTE(H2204, ",", "")</f>
        <v>2</v>
      </c>
      <c r="K2204" s="5" t="str">
        <f t="shared" si="2204"/>
        <v>Rp1840000</v>
      </c>
      <c r="L2204" s="5" t="str">
        <f t="shared" si="3"/>
        <v>1840000</v>
      </c>
    </row>
    <row r="2205">
      <c r="A2205" s="6" t="s">
        <v>3405</v>
      </c>
      <c r="B2205" s="7" t="str">
        <f>HYPERLINK("https://shopee.co.id/-The-Face-Shop-Energy-Seed-Serum-Essence-170ml-Original-i.34671748.3579632903", "https://shopee.co.id/-The-Face-Shop-Energy-Seed-Serum-Essence-170ml-Original-i.34671748.3579632903")</f>
        <v>https://shopee.co.id/-The-Face-Shop-Energy-Seed-Serum-Essence-170ml-Original-i.34671748.3579632903</v>
      </c>
      <c r="C2205" s="6" t="s">
        <v>1217</v>
      </c>
      <c r="D2205" s="6" t="s">
        <v>1218</v>
      </c>
      <c r="E2205" s="6" t="s">
        <v>12</v>
      </c>
      <c r="F2205" s="6" t="s">
        <v>13</v>
      </c>
      <c r="G2205" s="6" t="s">
        <v>61</v>
      </c>
      <c r="H2205" s="8" t="s">
        <v>3378</v>
      </c>
      <c r="I2205" s="9">
        <v>140000.0</v>
      </c>
      <c r="J2205" s="5" t="str">
        <f t="shared" ref="J2205:K2205" si="2205">SUBSTITUTE(H2205, ",", "")</f>
        <v>2</v>
      </c>
      <c r="K2205" s="5" t="str">
        <f t="shared" si="2205"/>
        <v>Rp140000</v>
      </c>
      <c r="L2205" s="5" t="str">
        <f t="shared" si="3"/>
        <v>140000</v>
      </c>
    </row>
    <row r="2206">
      <c r="A2206" s="6" t="s">
        <v>3406</v>
      </c>
      <c r="B2206" s="7" t="str">
        <f>HYPERLINK("https://shopee.co.id/Radi-Skin-Serum-Bundle-Set-i.147850476.5410647658", "https://shopee.co.id/Radi-Skin-Serum-Bundle-Set-i.147850476.5410647658")</f>
        <v>https://shopee.co.id/Radi-Skin-Serum-Bundle-Set-i.147850476.5410647658</v>
      </c>
      <c r="C2206" s="6" t="s">
        <v>1879</v>
      </c>
      <c r="D2206" s="6" t="s">
        <v>1880</v>
      </c>
      <c r="E2206" s="6" t="s">
        <v>12</v>
      </c>
      <c r="F2206" s="6" t="s">
        <v>13</v>
      </c>
      <c r="G2206" s="6" t="s">
        <v>61</v>
      </c>
      <c r="H2206" s="8" t="s">
        <v>3378</v>
      </c>
      <c r="I2206" s="9">
        <v>188100.0</v>
      </c>
      <c r="J2206" s="5" t="str">
        <f t="shared" ref="J2206:K2206" si="2206">SUBSTITUTE(H2206, ",", "")</f>
        <v>2</v>
      </c>
      <c r="K2206" s="5" t="str">
        <f t="shared" si="2206"/>
        <v>Rp188100</v>
      </c>
      <c r="L2206" s="5" t="str">
        <f t="shared" si="3"/>
        <v>188100</v>
      </c>
    </row>
    <row r="2207">
      <c r="A2207" s="6" t="s">
        <v>3407</v>
      </c>
      <c r="B2207" s="7" t="str">
        <f>HYPERLINK("https://shopee.co.id/Bio-Essence-24K-Bio-Gold-Water-100ml-i.10689.1010694056", "https://shopee.co.id/Bio-Essence-24K-Bio-Gold-Water-100ml-i.10689.1010694056")</f>
        <v>https://shopee.co.id/Bio-Essence-24K-Bio-Gold-Water-100ml-i.10689.1010694056</v>
      </c>
      <c r="C2207" s="6" t="s">
        <v>834</v>
      </c>
      <c r="D2207" s="6" t="s">
        <v>745</v>
      </c>
      <c r="E2207" s="6" t="s">
        <v>12</v>
      </c>
      <c r="F2207" s="6" t="s">
        <v>13</v>
      </c>
      <c r="G2207" s="6" t="s">
        <v>61</v>
      </c>
      <c r="H2207" s="8" t="s">
        <v>3378</v>
      </c>
      <c r="I2207" s="9">
        <v>198000.0</v>
      </c>
      <c r="J2207" s="5" t="str">
        <f t="shared" ref="J2207:K2207" si="2207">SUBSTITUTE(H2207, ",", "")</f>
        <v>2</v>
      </c>
      <c r="K2207" s="5" t="str">
        <f t="shared" si="2207"/>
        <v>Rp198000</v>
      </c>
      <c r="L2207" s="5" t="str">
        <f t="shared" si="3"/>
        <v>198000</v>
      </c>
    </row>
    <row r="2208">
      <c r="A2208" s="6" t="s">
        <v>3408</v>
      </c>
      <c r="B2208" s="7" t="str">
        <f>HYPERLINK("https://shopee.co.id/AXIS-Y-TRIAL-SIZE-Dark-Spot-Correcting-Glow-Serum-5ml--i.47255270.8358331073", "https://shopee.co.id/AXIS-Y-TRIAL-SIZE-Dark-Spot-Correcting-Glow-Serum-5ml--i.47255270.8358331073")</f>
        <v>https://shopee.co.id/AXIS-Y-TRIAL-SIZE-Dark-Spot-Correcting-Glow-Serum-5ml--i.47255270.8358331073</v>
      </c>
      <c r="C2208" s="6" t="s">
        <v>710</v>
      </c>
      <c r="D2208" s="6" t="s">
        <v>1978</v>
      </c>
      <c r="E2208" s="6" t="s">
        <v>12</v>
      </c>
      <c r="F2208" s="6" t="s">
        <v>13</v>
      </c>
      <c r="G2208" s="6" t="s">
        <v>241</v>
      </c>
      <c r="H2208" s="8" t="s">
        <v>3378</v>
      </c>
      <c r="I2208" s="9">
        <v>478000.0</v>
      </c>
      <c r="J2208" s="5" t="str">
        <f t="shared" ref="J2208:K2208" si="2208">SUBSTITUTE(H2208, ",", "")</f>
        <v>2</v>
      </c>
      <c r="K2208" s="5" t="str">
        <f t="shared" si="2208"/>
        <v>Rp478000</v>
      </c>
      <c r="L2208" s="5" t="str">
        <f t="shared" si="3"/>
        <v>478000</v>
      </c>
    </row>
    <row r="2209">
      <c r="A2209" s="6" t="s">
        <v>3409</v>
      </c>
      <c r="B2209" s="7" t="str">
        <f>HYPERLINK("https://shopee.co.id/Fat-Panda-Fight-Acne-Pore-Ampoule-20ml-Serum-Anti-Jerawat-Acne-Serum-i.206623679.9684929211", "https://shopee.co.id/Fat-Panda-Fight-Acne-Pore-Ampoule-20ml-Serum-Anti-Jerawat-Acne-Serum-i.206623679.9684929211")</f>
        <v>https://shopee.co.id/Fat-Panda-Fight-Acne-Pore-Ampoule-20ml-Serum-Anti-Jerawat-Acne-Serum-i.206623679.9684929211</v>
      </c>
      <c r="C2209" s="6" t="s">
        <v>2716</v>
      </c>
      <c r="D2209" s="6" t="s">
        <v>2717</v>
      </c>
      <c r="E2209" s="6" t="s">
        <v>12</v>
      </c>
      <c r="F2209" s="6" t="s">
        <v>13</v>
      </c>
      <c r="G2209" s="6" t="s">
        <v>130</v>
      </c>
      <c r="H2209" s="8" t="s">
        <v>3378</v>
      </c>
      <c r="I2209" s="9">
        <v>177000.0</v>
      </c>
      <c r="J2209" s="5" t="str">
        <f t="shared" ref="J2209:K2209" si="2209">SUBSTITUTE(H2209, ",", "")</f>
        <v>2</v>
      </c>
      <c r="K2209" s="5" t="str">
        <f t="shared" si="2209"/>
        <v>Rp177000</v>
      </c>
      <c r="L2209" s="5" t="str">
        <f t="shared" si="3"/>
        <v>177000</v>
      </c>
    </row>
    <row r="2210">
      <c r="A2210" s="6" t="s">
        <v>3410</v>
      </c>
      <c r="B2210" s="7" t="str">
        <f>HYPERLINK("https://shopee.co.id/Fat-Panda-Vita-C-Brightening-Ampoule-20ml-Serum-Vitamin-C-Menyamarkan-Flek-Hitam-Bekas-Jerawat-i.206623679.6196207097", "https://shopee.co.id/Fat-Panda-Vita-C-Brightening-Ampoule-20ml-Serum-Vitamin-C-Menyamarkan-Flek-Hitam-Bekas-Jerawat-i.206623679.6196207097")</f>
        <v>https://shopee.co.id/Fat-Panda-Vita-C-Brightening-Ampoule-20ml-Serum-Vitamin-C-Menyamarkan-Flek-Hitam-Bekas-Jerawat-i.206623679.6196207097</v>
      </c>
      <c r="C2210" s="6" t="s">
        <v>2716</v>
      </c>
      <c r="D2210" s="6" t="s">
        <v>2717</v>
      </c>
      <c r="E2210" s="6" t="s">
        <v>12</v>
      </c>
      <c r="F2210" s="6" t="s">
        <v>13</v>
      </c>
      <c r="G2210" s="6" t="s">
        <v>130</v>
      </c>
      <c r="H2210" s="8" t="s">
        <v>3378</v>
      </c>
      <c r="I2210" s="9">
        <v>4600000.0</v>
      </c>
      <c r="J2210" s="5" t="str">
        <f t="shared" ref="J2210:K2210" si="2210">SUBSTITUTE(H2210, ",", "")</f>
        <v>2</v>
      </c>
      <c r="K2210" s="5" t="str">
        <f t="shared" si="2210"/>
        <v>Rp4600000</v>
      </c>
      <c r="L2210" s="5" t="str">
        <f t="shared" si="3"/>
        <v>4600000</v>
      </c>
    </row>
    <row r="2211">
      <c r="A2211" s="6" t="s">
        <v>3411</v>
      </c>
      <c r="B2211" s="7" t="str">
        <f>HYPERLINK("https://shopee.co.id/Aubree-Rose-Bloom-Petal-Essence-120ml-i.825870.4855178159", "https://shopee.co.id/Aubree-Rose-Bloom-Petal-Essence-120ml-i.825870.4855178159")</f>
        <v>https://shopee.co.id/Aubree-Rose-Bloom-Petal-Essence-120ml-i.825870.4855178159</v>
      </c>
      <c r="C2211" s="6" t="s">
        <v>2642</v>
      </c>
      <c r="D2211" s="6" t="s">
        <v>1184</v>
      </c>
      <c r="E2211" s="6" t="s">
        <v>12</v>
      </c>
      <c r="F2211" s="6" t="s">
        <v>13</v>
      </c>
      <c r="G2211" s="6" t="s">
        <v>21</v>
      </c>
      <c r="H2211" s="8" t="s">
        <v>3378</v>
      </c>
      <c r="I2211" s="9">
        <v>437500.0</v>
      </c>
      <c r="J2211" s="5" t="str">
        <f t="shared" ref="J2211:K2211" si="2211">SUBSTITUTE(H2211, ",", "")</f>
        <v>2</v>
      </c>
      <c r="K2211" s="5" t="str">
        <f t="shared" si="2211"/>
        <v>Rp437500</v>
      </c>
      <c r="L2211" s="5" t="str">
        <f t="shared" si="3"/>
        <v>437500</v>
      </c>
    </row>
    <row r="2212">
      <c r="A2212" s="6" t="s">
        <v>3412</v>
      </c>
      <c r="B2212" s="7" t="str">
        <f>HYPERLINK("https://shopee.co.id/The-Aubree-Centella-Herb-Serum-Unscented-30ml-i.136011044.7778774735", "https://shopee.co.id/The-Aubree-Centella-Herb-Serum-Unscented-30ml-i.136011044.7778774735")</f>
        <v>https://shopee.co.id/The-Aubree-Centella-Herb-Serum-Unscented-30ml-i.136011044.7778774735</v>
      </c>
      <c r="C2212" s="6" t="s">
        <v>772</v>
      </c>
      <c r="D2212" s="6" t="s">
        <v>632</v>
      </c>
      <c r="E2212" s="6" t="s">
        <v>12</v>
      </c>
      <c r="F2212" s="6" t="s">
        <v>13</v>
      </c>
      <c r="G2212" s="6" t="s">
        <v>21</v>
      </c>
      <c r="H2212" s="8" t="s">
        <v>3378</v>
      </c>
      <c r="I2212" s="9">
        <v>370000.0</v>
      </c>
      <c r="J2212" s="5" t="str">
        <f t="shared" ref="J2212:K2212" si="2212">SUBSTITUTE(H2212, ",", "")</f>
        <v>2</v>
      </c>
      <c r="K2212" s="5" t="str">
        <f t="shared" si="2212"/>
        <v>Rp370000</v>
      </c>
      <c r="L2212" s="5" t="str">
        <f t="shared" si="3"/>
        <v>370000</v>
      </c>
    </row>
    <row r="2213">
      <c r="A2213" s="6" t="s">
        <v>2610</v>
      </c>
      <c r="B2213" s="7" t="str">
        <f>HYPERLINK("https://shopee.co.id/The-Aubree-Niacinamide-Skin-Booster-30ml-i.10689.9800721149", "https://shopee.co.id/The-Aubree-Niacinamide-Skin-Booster-30ml-i.10689.9800721149")</f>
        <v>https://shopee.co.id/The-Aubree-Niacinamide-Skin-Booster-30ml-i.10689.9800721149</v>
      </c>
      <c r="C2213" s="6" t="s">
        <v>772</v>
      </c>
      <c r="D2213" s="6" t="s">
        <v>745</v>
      </c>
      <c r="E2213" s="6" t="s">
        <v>12</v>
      </c>
      <c r="F2213" s="6" t="s">
        <v>13</v>
      </c>
      <c r="G2213" s="6" t="s">
        <v>61</v>
      </c>
      <c r="H2213" s="8" t="s">
        <v>3378</v>
      </c>
      <c r="I2213" s="9">
        <v>338000.0</v>
      </c>
      <c r="J2213" s="5" t="str">
        <f t="shared" ref="J2213:K2213" si="2213">SUBSTITUTE(H2213, ",", "")</f>
        <v>2</v>
      </c>
      <c r="K2213" s="5" t="str">
        <f t="shared" si="2213"/>
        <v>Rp338000</v>
      </c>
      <c r="L2213" s="5" t="str">
        <f t="shared" si="3"/>
        <v>338000</v>
      </c>
    </row>
    <row r="2214">
      <c r="A2214" s="6" t="s">
        <v>3413</v>
      </c>
      <c r="B2214" s="7" t="str">
        <f>HYPERLINK("https://shopee.co.id/Safi-Age-Defy-Gold-Water-Essence-30Ml-i.186214521.6488102180", "https://shopee.co.id/Safi-Age-Defy-Gold-Water-Essence-30Ml-i.186214521.6488102180")</f>
        <v>https://shopee.co.id/Safi-Age-Defy-Gold-Water-Essence-30Ml-i.186214521.6488102180</v>
      </c>
      <c r="C2214" s="6" t="s">
        <v>278</v>
      </c>
      <c r="D2214" s="6" t="s">
        <v>2293</v>
      </c>
      <c r="E2214" s="6" t="s">
        <v>12</v>
      </c>
      <c r="F2214" s="6" t="s">
        <v>13</v>
      </c>
      <c r="G2214" s="6" t="s">
        <v>61</v>
      </c>
      <c r="H2214" s="8" t="s">
        <v>3378</v>
      </c>
      <c r="I2214" s="9">
        <v>378000.0</v>
      </c>
      <c r="J2214" s="5" t="str">
        <f t="shared" ref="J2214:K2214" si="2214">SUBSTITUTE(H2214, ",", "")</f>
        <v>2</v>
      </c>
      <c r="K2214" s="5" t="str">
        <f t="shared" si="2214"/>
        <v>Rp378000</v>
      </c>
      <c r="L2214" s="5" t="str">
        <f t="shared" si="3"/>
        <v>378000</v>
      </c>
    </row>
    <row r="2215">
      <c r="A2215" s="6" t="s">
        <v>3414</v>
      </c>
      <c r="B2215" s="7" t="str">
        <f>HYPERLINK("https://shopee.co.id/BLOOMKA-Edelweiss-Hyaluronate-Facial-Hydrating-Serum-20ml-i.68111.9517831954", "https://shopee.co.id/BLOOMKA-Edelweiss-Hyaluronate-Facial-Hydrating-Serum-20ml-i.68111.9517831954")</f>
        <v>https://shopee.co.id/BLOOMKA-Edelweiss-Hyaluronate-Facial-Hydrating-Serum-20ml-i.68111.9517831954</v>
      </c>
      <c r="C2215" s="6" t="s">
        <v>375</v>
      </c>
      <c r="D2215" s="6" t="s">
        <v>441</v>
      </c>
      <c r="E2215" s="6" t="s">
        <v>12</v>
      </c>
      <c r="F2215" s="6" t="s">
        <v>13</v>
      </c>
      <c r="G2215" s="6" t="s">
        <v>130</v>
      </c>
      <c r="H2215" s="8" t="s">
        <v>3378</v>
      </c>
      <c r="I2215" s="9">
        <v>270000.0</v>
      </c>
      <c r="J2215" s="5" t="str">
        <f t="shared" ref="J2215:K2215" si="2215">SUBSTITUTE(H2215, ",", "")</f>
        <v>2</v>
      </c>
      <c r="K2215" s="5" t="str">
        <f t="shared" si="2215"/>
        <v>Rp270000</v>
      </c>
      <c r="L2215" s="5" t="str">
        <f t="shared" si="3"/>
        <v>270000</v>
      </c>
    </row>
    <row r="2216">
      <c r="A2216" s="6" t="s">
        <v>3415</v>
      </c>
      <c r="B2216" s="7" t="str">
        <f>HYPERLINK("https://shopee.co.id/L-OREAL-Revitalift-Crystal-Micro-Essence-Serum-Mask-i.30736001.6986479724", "https://shopee.co.id/L-OREAL-Revitalift-Crystal-Micro-Essence-Serum-Mask-i.30736001.6986479724")</f>
        <v>https://shopee.co.id/L-OREAL-Revitalift-Crystal-Micro-Essence-Serum-Mask-i.30736001.6986479724</v>
      </c>
      <c r="C2216" s="6" t="s">
        <v>105</v>
      </c>
      <c r="D2216" s="6" t="s">
        <v>335</v>
      </c>
      <c r="E2216" s="6" t="s">
        <v>12</v>
      </c>
      <c r="F2216" s="6" t="s">
        <v>13</v>
      </c>
      <c r="G2216" s="6" t="s">
        <v>36</v>
      </c>
      <c r="H2216" s="8" t="s">
        <v>3378</v>
      </c>
      <c r="I2216" s="9">
        <v>534000.0</v>
      </c>
      <c r="J2216" s="5" t="str">
        <f t="shared" ref="J2216:K2216" si="2216">SUBSTITUTE(H2216, ",", "")</f>
        <v>2</v>
      </c>
      <c r="K2216" s="5" t="str">
        <f t="shared" si="2216"/>
        <v>Rp534000</v>
      </c>
      <c r="L2216" s="5" t="str">
        <f t="shared" si="3"/>
        <v>534000</v>
      </c>
    </row>
    <row r="2217">
      <c r="A2217" s="6" t="s">
        <v>3416</v>
      </c>
      <c r="B2217" s="7" t="str">
        <f>HYPERLINK("https://shopee.co.id/Probio-C-Vitamin-C-Spray-10ml-i.121791179.3217749465", "https://shopee.co.id/Probio-C-Vitamin-C-Spray-10ml-i.121791179.3217749465")</f>
        <v>https://shopee.co.id/Probio-C-Vitamin-C-Spray-10ml-i.121791179.3217749465</v>
      </c>
      <c r="C2217" s="6" t="s">
        <v>2671</v>
      </c>
      <c r="D2217" s="6" t="s">
        <v>1733</v>
      </c>
      <c r="E2217" s="6" t="s">
        <v>12</v>
      </c>
      <c r="F2217" s="6" t="s">
        <v>13</v>
      </c>
      <c r="G2217" s="6" t="s">
        <v>36</v>
      </c>
      <c r="H2217" s="8" t="s">
        <v>3378</v>
      </c>
      <c r="I2217" s="9">
        <v>562000.0</v>
      </c>
      <c r="J2217" s="5" t="str">
        <f t="shared" ref="J2217:K2217" si="2217">SUBSTITUTE(H2217, ",", "")</f>
        <v>2</v>
      </c>
      <c r="K2217" s="5" t="str">
        <f t="shared" si="2217"/>
        <v>Rp562000</v>
      </c>
      <c r="L2217" s="5" t="str">
        <f t="shared" si="3"/>
        <v>562000</v>
      </c>
    </row>
    <row r="2218">
      <c r="A2218" s="6" t="s">
        <v>3417</v>
      </c>
      <c r="B2218" s="7" t="str">
        <f>HYPERLINK("https://shopee.co.id/Klairs-Freshly-Juiced-Vitamin-Drop-35ml-i.10689.1085016160", "https://shopee.co.id/Klairs-Freshly-Juiced-Vitamin-Drop-35ml-i.10689.1085016160")</f>
        <v>https://shopee.co.id/Klairs-Freshly-Juiced-Vitamin-Drop-35ml-i.10689.1085016160</v>
      </c>
      <c r="C2218" s="6" t="s">
        <v>432</v>
      </c>
      <c r="D2218" s="6" t="s">
        <v>745</v>
      </c>
      <c r="E2218" s="6" t="s">
        <v>12</v>
      </c>
      <c r="F2218" s="6" t="s">
        <v>13</v>
      </c>
      <c r="G2218" s="6" t="s">
        <v>61</v>
      </c>
      <c r="H2218" s="8" t="s">
        <v>3378</v>
      </c>
      <c r="I2218" s="9">
        <v>510428.0</v>
      </c>
      <c r="J2218" s="5" t="str">
        <f t="shared" ref="J2218:K2218" si="2218">SUBSTITUTE(H2218, ",", "")</f>
        <v>2</v>
      </c>
      <c r="K2218" s="5" t="str">
        <f t="shared" si="2218"/>
        <v>Rp510428</v>
      </c>
      <c r="L2218" s="5" t="str">
        <f t="shared" si="3"/>
        <v>510428</v>
      </c>
    </row>
    <row r="2219">
      <c r="A2219" s="6" t="s">
        <v>2871</v>
      </c>
      <c r="B2219" s="7" t="str">
        <f>HYPERLINK("https://shopee.co.id/Bioderma-Hydrabio-Serum-40-ml-i.186214521.5616798909", "https://shopee.co.id/Bioderma-Hydrabio-Serum-40-ml-i.186214521.5616798909")</f>
        <v>https://shopee.co.id/Bioderma-Hydrabio-Serum-40-ml-i.186214521.5616798909</v>
      </c>
      <c r="C2219" s="6" t="s">
        <v>1387</v>
      </c>
      <c r="D2219" s="6" t="s">
        <v>2293</v>
      </c>
      <c r="E2219" s="6" t="s">
        <v>12</v>
      </c>
      <c r="F2219" s="6" t="s">
        <v>13</v>
      </c>
      <c r="G2219" s="6" t="s">
        <v>61</v>
      </c>
      <c r="H2219" s="8" t="s">
        <v>3378</v>
      </c>
      <c r="I2219" s="9">
        <v>590000.0</v>
      </c>
      <c r="J2219" s="5" t="str">
        <f t="shared" ref="J2219:K2219" si="2219">SUBSTITUTE(H2219, ",", "")</f>
        <v>2</v>
      </c>
      <c r="K2219" s="5" t="str">
        <f t="shared" si="2219"/>
        <v>Rp590000</v>
      </c>
      <c r="L2219" s="5" t="str">
        <f t="shared" si="3"/>
        <v>590000</v>
      </c>
    </row>
    <row r="2220">
      <c r="A2220" s="6" t="s">
        <v>3418</v>
      </c>
      <c r="B2220" s="7" t="str">
        <f>HYPERLINK("https://shopee.co.id/Humphrey-Spot-Serum-White-Bright-20ml-i.121791179.3817885273", "https://shopee.co.id/Humphrey-Spot-Serum-White-Bright-20ml-i.121791179.3817885273")</f>
        <v>https://shopee.co.id/Humphrey-Spot-Serum-White-Bright-20ml-i.121791179.3817885273</v>
      </c>
      <c r="C2220" s="6" t="s">
        <v>1832</v>
      </c>
      <c r="D2220" s="6" t="s">
        <v>1733</v>
      </c>
      <c r="E2220" s="6" t="s">
        <v>12</v>
      </c>
      <c r="F2220" s="6" t="s">
        <v>13</v>
      </c>
      <c r="G2220" s="6" t="s">
        <v>36</v>
      </c>
      <c r="H2220" s="8" t="s">
        <v>3378</v>
      </c>
      <c r="I2220" s="9">
        <v>560000.0</v>
      </c>
      <c r="J2220" s="5" t="str">
        <f t="shared" ref="J2220:K2220" si="2220">SUBSTITUTE(H2220, ",", "")</f>
        <v>2</v>
      </c>
      <c r="K2220" s="5" t="str">
        <f t="shared" si="2220"/>
        <v>Rp560000</v>
      </c>
      <c r="L2220" s="5" t="str">
        <f t="shared" si="3"/>
        <v>560000</v>
      </c>
    </row>
    <row r="2221">
      <c r="A2221" s="6" t="s">
        <v>3419</v>
      </c>
      <c r="B2221" s="7" t="str">
        <f>HYPERLINK("https://shopee.co.id/NURISH-ORGANIQ-24K-Gold-Special-Bundling-Eye-Serum-15ml-Face-Essence-25ml-i.238368383.5037542171", "https://shopee.co.id/NURISH-ORGANIQ-24K-Gold-Special-Bundling-Eye-Serum-15ml-Face-Essence-25ml-i.238368383.5037542171")</f>
        <v>https://shopee.co.id/NURISH-ORGANIQ-24K-Gold-Special-Bundling-Eye-Serum-15ml-Face-Essence-25ml-i.238368383.5037542171</v>
      </c>
      <c r="C2221" s="6" t="s">
        <v>2892</v>
      </c>
      <c r="D2221" s="6" t="s">
        <v>2893</v>
      </c>
      <c r="E2221" s="6" t="s">
        <v>12</v>
      </c>
      <c r="F2221" s="6" t="s">
        <v>13</v>
      </c>
      <c r="G2221" s="6" t="s">
        <v>21</v>
      </c>
      <c r="H2221" s="8" t="s">
        <v>3378</v>
      </c>
      <c r="I2221" s="9">
        <v>532000.0</v>
      </c>
      <c r="J2221" s="5" t="str">
        <f t="shared" ref="J2221:K2221" si="2221">SUBSTITUTE(H2221, ",", "")</f>
        <v>2</v>
      </c>
      <c r="K2221" s="5" t="str">
        <f t="shared" si="2221"/>
        <v>Rp532000</v>
      </c>
      <c r="L2221" s="5" t="str">
        <f t="shared" si="3"/>
        <v>532000</v>
      </c>
    </row>
    <row r="2222">
      <c r="A2222" s="6" t="s">
        <v>3420</v>
      </c>
      <c r="B2222" s="7" t="str">
        <f>HYPERLINK("https://shopee.co.id/Everwhite-Cica-Soothing-Serum-30ml-i.825870.5669530125", "https://shopee.co.id/Everwhite-Cica-Soothing-Serum-30ml-i.825870.5669530125")</f>
        <v>https://shopee.co.id/Everwhite-Cica-Soothing-Serum-30ml-i.825870.5669530125</v>
      </c>
      <c r="C2222" s="6" t="s">
        <v>157</v>
      </c>
      <c r="D2222" s="6" t="s">
        <v>1184</v>
      </c>
      <c r="E2222" s="6" t="s">
        <v>12</v>
      </c>
      <c r="F2222" s="6" t="s">
        <v>13</v>
      </c>
      <c r="G2222" s="6" t="s">
        <v>21</v>
      </c>
      <c r="H2222" s="8" t="s">
        <v>3378</v>
      </c>
      <c r="I2222" s="9">
        <v>198000.0</v>
      </c>
      <c r="J2222" s="5" t="str">
        <f t="shared" ref="J2222:K2222" si="2222">SUBSTITUTE(H2222, ",", "")</f>
        <v>2</v>
      </c>
      <c r="K2222" s="5" t="str">
        <f t="shared" si="2222"/>
        <v>Rp198000</v>
      </c>
      <c r="L2222" s="5" t="str">
        <f t="shared" si="3"/>
        <v>198000</v>
      </c>
    </row>
    <row r="2223">
      <c r="A2223" s="6" t="s">
        <v>3421</v>
      </c>
      <c r="B2223" s="7" t="str">
        <f>HYPERLINK("https://shopee.co.id/AZARINE-C-WHITE-REFRESHING-ESSENCE-MIST-85-ML-i.50972887.9153765240", "https://shopee.co.id/AZARINE-C-WHITE-REFRESHING-ESSENCE-MIST-85-ML-i.50972887.9153765240")</f>
        <v>https://shopee.co.id/AZARINE-C-WHITE-REFRESHING-ESSENCE-MIST-85-ML-i.50972887.9153765240</v>
      </c>
      <c r="C2223" s="6" t="s">
        <v>233</v>
      </c>
      <c r="D2223" s="6" t="s">
        <v>552</v>
      </c>
      <c r="E2223" s="6" t="s">
        <v>12</v>
      </c>
      <c r="F2223" s="6" t="s">
        <v>13</v>
      </c>
      <c r="G2223" s="6" t="s">
        <v>61</v>
      </c>
      <c r="H2223" s="8" t="s">
        <v>3378</v>
      </c>
      <c r="I2223" s="9">
        <v>708000.0</v>
      </c>
      <c r="J2223" s="5" t="str">
        <f t="shared" ref="J2223:K2223" si="2223">SUBSTITUTE(H2223, ",", "")</f>
        <v>2</v>
      </c>
      <c r="K2223" s="5" t="str">
        <f t="shared" si="2223"/>
        <v>Rp708000</v>
      </c>
      <c r="L2223" s="5" t="str">
        <f t="shared" si="3"/>
        <v>708000</v>
      </c>
    </row>
    <row r="2224">
      <c r="A2224" s="6" t="s">
        <v>3422</v>
      </c>
      <c r="B2224" s="7" t="str">
        <f>HYPERLINK("https://shopee.co.id/Smooto-Egg-Collagen-White-Serum-i.65619901.1086898498", "https://shopee.co.id/Smooto-Egg-Collagen-White-Serum-i.65619901.1086898498")</f>
        <v>https://shopee.co.id/Smooto-Egg-Collagen-White-Serum-i.65619901.1086898498</v>
      </c>
      <c r="C2224" s="6" t="s">
        <v>2779</v>
      </c>
      <c r="D2224" s="6" t="s">
        <v>2780</v>
      </c>
      <c r="E2224" s="6" t="s">
        <v>12</v>
      </c>
      <c r="F2224" s="6" t="s">
        <v>13</v>
      </c>
      <c r="G2224" s="6" t="s">
        <v>85</v>
      </c>
      <c r="H2224" s="8" t="s">
        <v>3378</v>
      </c>
      <c r="I2224" s="9">
        <v>1086400.0</v>
      </c>
      <c r="J2224" s="5" t="str">
        <f t="shared" ref="J2224:K2224" si="2224">SUBSTITUTE(H2224, ",", "")</f>
        <v>2</v>
      </c>
      <c r="K2224" s="5" t="str">
        <f t="shared" si="2224"/>
        <v>Rp1086400</v>
      </c>
      <c r="L2224" s="5" t="str">
        <f t="shared" si="3"/>
        <v>1086400</v>
      </c>
    </row>
    <row r="2225">
      <c r="A2225" s="6" t="s">
        <v>3423</v>
      </c>
      <c r="B2225" s="7" t="str">
        <f>HYPERLINK("https://shopee.co.id/NATURE-REPUBLIC-Super-Aqua-Max-Watery-Essence-Rr--i.78838801.1408527321", "https://shopee.co.id/NATURE-REPUBLIC-Super-Aqua-Max-Watery-Essence-Rr--i.78838801.1408527321")</f>
        <v>https://shopee.co.id/NATURE-REPUBLIC-Super-Aqua-Max-Watery-Essence-Rr--i.78838801.1408527321</v>
      </c>
      <c r="C2225" s="6" t="s">
        <v>3424</v>
      </c>
      <c r="D2225" s="6" t="s">
        <v>1080</v>
      </c>
      <c r="E2225" s="6" t="s">
        <v>12</v>
      </c>
      <c r="F2225" s="6" t="s">
        <v>13</v>
      </c>
      <c r="G2225" s="6" t="s">
        <v>532</v>
      </c>
      <c r="H2225" s="8" t="s">
        <v>3378</v>
      </c>
      <c r="I2225" s="9">
        <v>287000.0</v>
      </c>
      <c r="J2225" s="5" t="str">
        <f t="shared" ref="J2225:K2225" si="2225">SUBSTITUTE(H2225, ",", "")</f>
        <v>2</v>
      </c>
      <c r="K2225" s="5" t="str">
        <f t="shared" si="2225"/>
        <v>Rp287000</v>
      </c>
      <c r="L2225" s="5" t="str">
        <f t="shared" si="3"/>
        <v>287000</v>
      </c>
    </row>
    <row r="2226">
      <c r="A2226" s="6" t="s">
        <v>3425</v>
      </c>
      <c r="B2226" s="7" t="str">
        <f>HYPERLINK("https://shopee.co.id/Olay-Wr-W-Essence-Serum-30-ml-i.186214521.3149041216", "https://shopee.co.id/Olay-Wr-W-Essence-Serum-30-ml-i.186214521.3149041216")</f>
        <v>https://shopee.co.id/Olay-Wr-W-Essence-Serum-30-ml-i.186214521.3149041216</v>
      </c>
      <c r="C2226" s="6" t="s">
        <v>317</v>
      </c>
      <c r="D2226" s="6" t="s">
        <v>2293</v>
      </c>
      <c r="E2226" s="6" t="s">
        <v>12</v>
      </c>
      <c r="F2226" s="6" t="s">
        <v>13</v>
      </c>
      <c r="G2226" s="6" t="s">
        <v>61</v>
      </c>
      <c r="H2226" s="8" t="s">
        <v>3378</v>
      </c>
      <c r="I2226" s="9">
        <v>134400.0</v>
      </c>
      <c r="J2226" s="5" t="str">
        <f t="shared" ref="J2226:K2226" si="2226">SUBSTITUTE(H2226, ",", "")</f>
        <v>2</v>
      </c>
      <c r="K2226" s="5" t="str">
        <f t="shared" si="2226"/>
        <v>Rp134400</v>
      </c>
      <c r="L2226" s="5" t="str">
        <f t="shared" si="3"/>
        <v>134400</v>
      </c>
    </row>
    <row r="2227">
      <c r="A2227" s="6" t="s">
        <v>3426</v>
      </c>
      <c r="B2227" s="7" t="str">
        <f>HYPERLINK("https://shopee.co.id/J-GLOW-Peeling-Serum-20-ml-i.165212611.11139610551", "https://shopee.co.id/J-GLOW-Peeling-Serum-20-ml-i.165212611.11139610551")</f>
        <v>https://shopee.co.id/J-GLOW-Peeling-Serum-20-ml-i.165212611.11139610551</v>
      </c>
      <c r="C2227" s="6" t="s">
        <v>1553</v>
      </c>
      <c r="D2227" s="6" t="s">
        <v>1554</v>
      </c>
      <c r="E2227" s="6" t="s">
        <v>12</v>
      </c>
      <c r="F2227" s="6" t="s">
        <v>13</v>
      </c>
      <c r="G2227" s="6" t="s">
        <v>241</v>
      </c>
      <c r="H2227" s="8" t="s">
        <v>3378</v>
      </c>
      <c r="I2227" s="9">
        <v>155250.0</v>
      </c>
      <c r="J2227" s="5" t="str">
        <f t="shared" ref="J2227:K2227" si="2227">SUBSTITUTE(H2227, ",", "")</f>
        <v>2</v>
      </c>
      <c r="K2227" s="5" t="str">
        <f t="shared" si="2227"/>
        <v>Rp155250</v>
      </c>
      <c r="L2227" s="5" t="str">
        <f t="shared" si="3"/>
        <v>155250</v>
      </c>
    </row>
    <row r="2228">
      <c r="A2228" s="6" t="s">
        <v>3427</v>
      </c>
      <c r="B2228" s="7" t="str">
        <f>HYPERLINK("https://shopee.co.id/Beautybarme-Somebymi-Aha-Bha-Pha-Centella-Asiatica-30-Days-Miracle-Serum-50-Ml-i.28781862.1530586232", "https://shopee.co.id/Beautybarme-Somebymi-Aha-Bha-Pha-Centella-Asiatica-30-Days-Miracle-Serum-50-Ml-i.28781862.1530586232")</f>
        <v>https://shopee.co.id/Beautybarme-Somebymi-Aha-Bha-Pha-Centella-Asiatica-30-Days-Miracle-Serum-50-Ml-i.28781862.1530586232</v>
      </c>
      <c r="C2228" s="6" t="s">
        <v>213</v>
      </c>
      <c r="D2228" s="6" t="s">
        <v>1189</v>
      </c>
      <c r="E2228" s="6" t="s">
        <v>12</v>
      </c>
      <c r="F2228" s="6" t="s">
        <v>13</v>
      </c>
      <c r="G2228" s="6" t="s">
        <v>1190</v>
      </c>
      <c r="H2228" s="8" t="s">
        <v>3378</v>
      </c>
      <c r="I2228" s="9">
        <v>449000.0</v>
      </c>
      <c r="J2228" s="5" t="str">
        <f t="shared" ref="J2228:K2228" si="2228">SUBSTITUTE(H2228, ",", "")</f>
        <v>2</v>
      </c>
      <c r="K2228" s="5" t="str">
        <f t="shared" si="2228"/>
        <v>Rp449000</v>
      </c>
      <c r="L2228" s="5" t="str">
        <f t="shared" si="3"/>
        <v>449000</v>
      </c>
    </row>
    <row r="2229">
      <c r="A2229" s="6" t="s">
        <v>3428</v>
      </c>
      <c r="B2229" s="7" t="str">
        <f>HYPERLINK("https://shopee.co.id/Hanasui-Gold-Whitening-Serum-20Ml-Isi-3-Pcs-Serum-Wajah-Pelembab-Wajah-Vitamin-Wajah-i.185943783.4614722864", "https://shopee.co.id/Hanasui-Gold-Whitening-Serum-20Ml-Isi-3-Pcs-Serum-Wajah-Pelembab-Wajah-Vitamin-Wajah-i.185943783.4614722864")</f>
        <v>https://shopee.co.id/Hanasui-Gold-Whitening-Serum-20Ml-Isi-3-Pcs-Serum-Wajah-Pelembab-Wajah-Vitamin-Wajah-i.185943783.4614722864</v>
      </c>
      <c r="C2229" s="6" t="s">
        <v>784</v>
      </c>
      <c r="D2229" s="6" t="s">
        <v>3429</v>
      </c>
      <c r="E2229" s="6" t="s">
        <v>12</v>
      </c>
      <c r="F2229" s="6" t="s">
        <v>13</v>
      </c>
      <c r="G2229" s="6" t="s">
        <v>36</v>
      </c>
      <c r="H2229" s="8" t="s">
        <v>3378</v>
      </c>
      <c r="I2229" s="9">
        <v>121600.0</v>
      </c>
      <c r="J2229" s="5" t="str">
        <f t="shared" ref="J2229:K2229" si="2229">SUBSTITUTE(H2229, ",", "")</f>
        <v>2</v>
      </c>
      <c r="K2229" s="5" t="str">
        <f t="shared" si="2229"/>
        <v>Rp121600</v>
      </c>
      <c r="L2229" s="5" t="str">
        <f t="shared" si="3"/>
        <v>121600</v>
      </c>
    </row>
    <row r="2230">
      <c r="A2230" s="6" t="s">
        <v>2300</v>
      </c>
      <c r="B2230" s="7" t="str">
        <f>HYPERLINK("https://shopee.co.id/Scarlett-Whitening-Brightly-Ever-After-Serum-15ml-i.10689.9490630849", "https://shopee.co.id/Scarlett-Whitening-Brightly-Ever-After-Serum-15ml-i.10689.9490630849")</f>
        <v>https://shopee.co.id/Scarlett-Whitening-Brightly-Ever-After-Serum-15ml-i.10689.9490630849</v>
      </c>
      <c r="C2230" s="6" t="s">
        <v>19</v>
      </c>
      <c r="D2230" s="6" t="s">
        <v>745</v>
      </c>
      <c r="E2230" s="6" t="s">
        <v>12</v>
      </c>
      <c r="F2230" s="6" t="s">
        <v>13</v>
      </c>
      <c r="G2230" s="6" t="s">
        <v>61</v>
      </c>
      <c r="H2230" s="8" t="s">
        <v>3378</v>
      </c>
      <c r="I2230" s="9">
        <v>130000.0</v>
      </c>
      <c r="J2230" s="5" t="str">
        <f t="shared" ref="J2230:K2230" si="2230">SUBSTITUTE(H2230, ",", "")</f>
        <v>2</v>
      </c>
      <c r="K2230" s="5" t="str">
        <f t="shared" si="2230"/>
        <v>Rp130000</v>
      </c>
      <c r="L2230" s="5" t="str">
        <f t="shared" si="3"/>
        <v>130000</v>
      </c>
    </row>
    <row r="2231">
      <c r="A2231" s="6" t="s">
        <v>3430</v>
      </c>
      <c r="B2231" s="7" t="str">
        <f>HYPERLINK("https://shopee.co.id/Loreal-Dex-Rev-Crystal-Micro-Essen-130-ml-i.186214521.6216797824", "https://shopee.co.id/Loreal-Dex-Rev-Crystal-Micro-Essen-130-ml-i.186214521.6216797824")</f>
        <v>https://shopee.co.id/Loreal-Dex-Rev-Crystal-Micro-Essen-130-ml-i.186214521.6216797824</v>
      </c>
      <c r="C2231" s="6" t="s">
        <v>105</v>
      </c>
      <c r="D2231" s="6" t="s">
        <v>2293</v>
      </c>
      <c r="E2231" s="6" t="s">
        <v>12</v>
      </c>
      <c r="F2231" s="6" t="s">
        <v>13</v>
      </c>
      <c r="G2231" s="6" t="s">
        <v>61</v>
      </c>
      <c r="H2231" s="8" t="s">
        <v>3378</v>
      </c>
      <c r="I2231" s="9">
        <v>278850.0</v>
      </c>
      <c r="J2231" s="5" t="str">
        <f t="shared" ref="J2231:K2231" si="2231">SUBSTITUTE(H2231, ",", "")</f>
        <v>2</v>
      </c>
      <c r="K2231" s="5" t="str">
        <f t="shared" si="2231"/>
        <v>Rp278850</v>
      </c>
      <c r="L2231" s="5" t="str">
        <f t="shared" si="3"/>
        <v>278850</v>
      </c>
    </row>
    <row r="2232">
      <c r="A2232" s="6" t="s">
        <v>3431</v>
      </c>
      <c r="B2232" s="7" t="str">
        <f>HYPERLINK("https://shopee.co.id/Mamonde-First-Energy-Serum-100ml-i.160417197.2413281205", "https://shopee.co.id/Mamonde-First-Energy-Serum-100ml-i.160417197.2413281205")</f>
        <v>https://shopee.co.id/Mamonde-First-Energy-Serum-100ml-i.160417197.2413281205</v>
      </c>
      <c r="C2232" s="6" t="s">
        <v>447</v>
      </c>
      <c r="D2232" s="6" t="s">
        <v>448</v>
      </c>
      <c r="E2232" s="6" t="s">
        <v>12</v>
      </c>
      <c r="F2232" s="6" t="s">
        <v>13</v>
      </c>
      <c r="G2232" s="6" t="s">
        <v>61</v>
      </c>
      <c r="H2232" s="8" t="s">
        <v>3378</v>
      </c>
      <c r="I2232" s="9">
        <v>360000.0</v>
      </c>
      <c r="J2232" s="5" t="str">
        <f t="shared" ref="J2232:K2232" si="2232">SUBSTITUTE(H2232, ",", "")</f>
        <v>2</v>
      </c>
      <c r="K2232" s="5" t="str">
        <f t="shared" si="2232"/>
        <v>Rp360000</v>
      </c>
      <c r="L2232" s="5" t="str">
        <f t="shared" si="3"/>
        <v>360000</v>
      </c>
    </row>
    <row r="2233">
      <c r="A2233" s="6" t="s">
        <v>3432</v>
      </c>
      <c r="B2233" s="7" t="str">
        <f>HYPERLINK("https://shopee.co.id/Swissvita-Trial-Bundle-Set-i.29252724.11314001972", "https://shopee.co.id/Swissvita-Trial-Bundle-Set-i.29252724.11314001972")</f>
        <v>https://shopee.co.id/Swissvita-Trial-Bundle-Set-i.29252724.11314001972</v>
      </c>
      <c r="C2233" s="6" t="s">
        <v>2536</v>
      </c>
      <c r="D2233" s="6" t="s">
        <v>2537</v>
      </c>
      <c r="E2233" s="6" t="s">
        <v>12</v>
      </c>
      <c r="F2233" s="6" t="s">
        <v>13</v>
      </c>
      <c r="G2233" s="6" t="s">
        <v>61</v>
      </c>
      <c r="H2233" s="8" t="s">
        <v>3378</v>
      </c>
      <c r="I2233" s="9">
        <v>270000.0</v>
      </c>
      <c r="J2233" s="5" t="str">
        <f t="shared" ref="J2233:K2233" si="2233">SUBSTITUTE(H2233, ",", "")</f>
        <v>2</v>
      </c>
      <c r="K2233" s="5" t="str">
        <f t="shared" si="2233"/>
        <v>Rp270000</v>
      </c>
      <c r="L2233" s="5" t="str">
        <f t="shared" si="3"/>
        <v>270000</v>
      </c>
    </row>
    <row r="2234">
      <c r="A2234" s="6" t="s">
        <v>3433</v>
      </c>
      <c r="B2234" s="7" t="str">
        <f>HYPERLINK("https://shopee.co.id/THE-POTIONS-Camellia-Seed-Oil-Serum-20ml-i.379239733.9211988603", "https://shopee.co.id/THE-POTIONS-Camellia-Seed-Oil-Serum-20ml-i.379239733.9211988603")</f>
        <v>https://shopee.co.id/THE-POTIONS-Camellia-Seed-Oil-Serum-20ml-i.379239733.9211988603</v>
      </c>
      <c r="C2234" s="6" t="s">
        <v>2245</v>
      </c>
      <c r="D2234" s="6" t="s">
        <v>2246</v>
      </c>
      <c r="E2234" s="6" t="s">
        <v>12</v>
      </c>
      <c r="F2234" s="6" t="s">
        <v>13</v>
      </c>
      <c r="G2234" s="6" t="s">
        <v>130</v>
      </c>
      <c r="H2234" s="8" t="s">
        <v>3378</v>
      </c>
      <c r="I2234" s="9">
        <v>177650.0</v>
      </c>
      <c r="J2234" s="5" t="str">
        <f t="shared" ref="J2234:K2234" si="2234">SUBSTITUTE(H2234, ",", "")</f>
        <v>2</v>
      </c>
      <c r="K2234" s="5" t="str">
        <f t="shared" si="2234"/>
        <v>Rp177650</v>
      </c>
      <c r="L2234" s="5" t="str">
        <f t="shared" si="3"/>
        <v>177650</v>
      </c>
    </row>
    <row r="2235">
      <c r="A2235" s="6" t="s">
        <v>3434</v>
      </c>
      <c r="B2235" s="7" t="str">
        <f>HYPERLINK("https://shopee.co.id/LUMIER-100-NIACINAMIDE-i.231467354.7681337406", "https://shopee.co.id/LUMIER-100-NIACINAMIDE-i.231467354.7681337406")</f>
        <v>https://shopee.co.id/LUMIER-100-NIACINAMIDE-i.231467354.7681337406</v>
      </c>
      <c r="C2235" s="6" t="s">
        <v>2878</v>
      </c>
      <c r="D2235" s="6" t="s">
        <v>2879</v>
      </c>
      <c r="E2235" s="6" t="s">
        <v>12</v>
      </c>
      <c r="F2235" s="6" t="s">
        <v>13</v>
      </c>
      <c r="G2235" s="6" t="s">
        <v>532</v>
      </c>
      <c r="H2235" s="8" t="s">
        <v>3378</v>
      </c>
      <c r="I2235" s="9">
        <v>798000.0</v>
      </c>
      <c r="J2235" s="5" t="str">
        <f t="shared" ref="J2235:K2235" si="2235">SUBSTITUTE(H2235, ",", "")</f>
        <v>2</v>
      </c>
      <c r="K2235" s="5" t="str">
        <f t="shared" si="2235"/>
        <v>Rp798000</v>
      </c>
      <c r="L2235" s="5" t="str">
        <f t="shared" si="3"/>
        <v>798000</v>
      </c>
    </row>
    <row r="2236">
      <c r="A2236" s="6" t="s">
        <v>3435</v>
      </c>
      <c r="B2236" s="7" t="str">
        <f>HYPERLINK("https://shopee.co.id/Zalfa-Natural-Crystal-Youth-Antiaging-Ampoule-i.182704428.6510183191", "https://shopee.co.id/Zalfa-Natural-Crystal-Youth-Antiaging-Ampoule-i.182704428.6510183191")</f>
        <v>https://shopee.co.id/Zalfa-Natural-Crystal-Youth-Antiaging-Ampoule-i.182704428.6510183191</v>
      </c>
      <c r="C2236" s="6" t="s">
        <v>3071</v>
      </c>
      <c r="D2236" s="6" t="s">
        <v>3072</v>
      </c>
      <c r="E2236" s="6" t="s">
        <v>12</v>
      </c>
      <c r="F2236" s="6" t="s">
        <v>13</v>
      </c>
      <c r="G2236" s="6" t="s">
        <v>1085</v>
      </c>
      <c r="H2236" s="8" t="s">
        <v>3378</v>
      </c>
      <c r="I2236" s="9">
        <v>428900.0</v>
      </c>
      <c r="J2236" s="5" t="str">
        <f t="shared" ref="J2236:K2236" si="2236">SUBSTITUTE(H2236, ",", "")</f>
        <v>2</v>
      </c>
      <c r="K2236" s="5" t="str">
        <f t="shared" si="2236"/>
        <v>Rp428900</v>
      </c>
      <c r="L2236" s="5" t="str">
        <f t="shared" si="3"/>
        <v>428900</v>
      </c>
    </row>
    <row r="2237">
      <c r="A2237" s="6" t="s">
        <v>3436</v>
      </c>
      <c r="B2237" s="7" t="str">
        <f>HYPERLINK("https://shopee.co.id/Hale-Brightening-Potion-15ml-i.825870.11910282130", "https://shopee.co.id/Hale-Brightening-Potion-15ml-i.825870.11910282130")</f>
        <v>https://shopee.co.id/Hale-Brightening-Potion-15ml-i.825870.11910282130</v>
      </c>
      <c r="C2237" s="6" t="s">
        <v>1393</v>
      </c>
      <c r="D2237" s="6" t="s">
        <v>1184</v>
      </c>
      <c r="E2237" s="6" t="s">
        <v>12</v>
      </c>
      <c r="F2237" s="6" t="s">
        <v>13</v>
      </c>
      <c r="G2237" s="6" t="s">
        <v>21</v>
      </c>
      <c r="H2237" s="8" t="s">
        <v>3378</v>
      </c>
      <c r="I2237" s="9">
        <v>236000.0</v>
      </c>
      <c r="J2237" s="5" t="str">
        <f t="shared" ref="J2237:K2237" si="2237">SUBSTITUTE(H2237, ",", "")</f>
        <v>2</v>
      </c>
      <c r="K2237" s="5" t="str">
        <f t="shared" si="2237"/>
        <v>Rp236000</v>
      </c>
      <c r="L2237" s="5" t="str">
        <f t="shared" si="3"/>
        <v>236000</v>
      </c>
    </row>
    <row r="2238">
      <c r="A2238" s="6" t="s">
        <v>3437</v>
      </c>
      <c r="B2238" s="7" t="str">
        <f>HYPERLINK("https://shopee.co.id/Holika-Holika-Honey-Royalactin-Propolis-Ampoule-Set-i.18856010.8044482928", "https://shopee.co.id/Holika-Holika-Honey-Royalactin-Propolis-Ampoule-Set-i.18856010.8044482928")</f>
        <v>https://shopee.co.id/Holika-Holika-Honey-Royalactin-Propolis-Ampoule-Set-i.18856010.8044482928</v>
      </c>
      <c r="C2238" s="6" t="s">
        <v>2265</v>
      </c>
      <c r="D2238" s="6" t="s">
        <v>2266</v>
      </c>
      <c r="E2238" s="6" t="s">
        <v>12</v>
      </c>
      <c r="F2238" s="6" t="s">
        <v>13</v>
      </c>
      <c r="G2238" s="6" t="s">
        <v>21</v>
      </c>
      <c r="H2238" s="8" t="s">
        <v>3378</v>
      </c>
      <c r="I2238" s="9">
        <v>158000.0</v>
      </c>
      <c r="J2238" s="5" t="str">
        <f t="shared" ref="J2238:K2238" si="2238">SUBSTITUTE(H2238, ",", "")</f>
        <v>2</v>
      </c>
      <c r="K2238" s="5" t="str">
        <f t="shared" si="2238"/>
        <v>Rp158000</v>
      </c>
      <c r="L2238" s="5" t="str">
        <f t="shared" si="3"/>
        <v>158000</v>
      </c>
    </row>
    <row r="2239">
      <c r="A2239" s="6" t="s">
        <v>3438</v>
      </c>
      <c r="B2239" s="7" t="str">
        <f>HYPERLINK("https://shopee.co.id/PURITO-Fermented-Complex-94-Boosting-Essence-i.233721470.4019318909", "https://shopee.co.id/PURITO-Fermented-Complex-94-Boosting-Essence-i.233721470.4019318909")</f>
        <v>https://shopee.co.id/PURITO-Fermented-Complex-94-Boosting-Essence-i.233721470.4019318909</v>
      </c>
      <c r="C2239" s="6" t="s">
        <v>1993</v>
      </c>
      <c r="D2239" s="6" t="s">
        <v>1994</v>
      </c>
      <c r="E2239" s="6" t="s">
        <v>12</v>
      </c>
      <c r="F2239" s="6" t="s">
        <v>13</v>
      </c>
      <c r="G2239" s="6" t="s">
        <v>21</v>
      </c>
      <c r="H2239" s="8" t="s">
        <v>3378</v>
      </c>
      <c r="I2239" s="9">
        <v>570000.0</v>
      </c>
      <c r="J2239" s="5" t="str">
        <f t="shared" ref="J2239:K2239" si="2239">SUBSTITUTE(H2239, ",", "")</f>
        <v>2</v>
      </c>
      <c r="K2239" s="5" t="str">
        <f t="shared" si="2239"/>
        <v>Rp570000</v>
      </c>
      <c r="L2239" s="5" t="str">
        <f t="shared" si="3"/>
        <v>570000</v>
      </c>
    </row>
    <row r="2240">
      <c r="A2240" s="6" t="s">
        <v>3439</v>
      </c>
      <c r="B2240" s="7" t="str">
        <f>HYPERLINK("https://shopee.co.id/PURITO-Galacto-Niacin-97-Power-Essence-i.233721470.4268438278", "https://shopee.co.id/PURITO-Galacto-Niacin-97-Power-Essence-i.233721470.4268438278")</f>
        <v>https://shopee.co.id/PURITO-Galacto-Niacin-97-Power-Essence-i.233721470.4268438278</v>
      </c>
      <c r="C2240" s="6" t="s">
        <v>1993</v>
      </c>
      <c r="D2240" s="6" t="s">
        <v>1994</v>
      </c>
      <c r="E2240" s="6" t="s">
        <v>12</v>
      </c>
      <c r="F2240" s="6" t="s">
        <v>13</v>
      </c>
      <c r="G2240" s="6" t="s">
        <v>21</v>
      </c>
      <c r="H2240" s="8" t="s">
        <v>3378</v>
      </c>
      <c r="I2240" s="9">
        <v>392000.0</v>
      </c>
      <c r="J2240" s="5" t="str">
        <f t="shared" ref="J2240:K2240" si="2240">SUBSTITUTE(H2240, ",", "")</f>
        <v>2</v>
      </c>
      <c r="K2240" s="5" t="str">
        <f t="shared" si="2240"/>
        <v>Rp392000</v>
      </c>
      <c r="L2240" s="5" t="str">
        <f t="shared" si="3"/>
        <v>392000</v>
      </c>
    </row>
    <row r="2241">
      <c r="A2241" s="6" t="s">
        <v>3440</v>
      </c>
      <c r="B2241" s="7" t="str">
        <f>HYPERLINK("https://shopee.co.id/Femmue-Balance-Moments-i.293180359.5852536965", "https://shopee.co.id/Femmue-Balance-Moments-i.293180359.5852536965")</f>
        <v>https://shopee.co.id/Femmue-Balance-Moments-i.293180359.5852536965</v>
      </c>
      <c r="C2241" s="6" t="s">
        <v>2286</v>
      </c>
      <c r="D2241" s="6" t="s">
        <v>2287</v>
      </c>
      <c r="E2241" s="6" t="s">
        <v>12</v>
      </c>
      <c r="F2241" s="6" t="s">
        <v>13</v>
      </c>
      <c r="G2241" s="6" t="s">
        <v>61</v>
      </c>
      <c r="H2241" s="8" t="s">
        <v>3378</v>
      </c>
      <c r="I2241" s="9">
        <v>960000.0</v>
      </c>
      <c r="J2241" s="5" t="str">
        <f t="shared" ref="J2241:K2241" si="2241">SUBSTITUTE(H2241, ",", "")</f>
        <v>2</v>
      </c>
      <c r="K2241" s="5" t="str">
        <f t="shared" si="2241"/>
        <v>Rp960000</v>
      </c>
      <c r="L2241" s="5" t="str">
        <f t="shared" si="3"/>
        <v>960000</v>
      </c>
    </row>
    <row r="2242">
      <c r="A2242" s="6" t="s">
        <v>3441</v>
      </c>
      <c r="B2242" s="7" t="str">
        <f>HYPERLINK("https://shopee.co.id/THE-POTIONS-Galactomyces-Water-Essence-20ml-i.379239733.3778576661", "https://shopee.co.id/THE-POTIONS-Galactomyces-Water-Essence-20ml-i.379239733.3778576661")</f>
        <v>https://shopee.co.id/THE-POTIONS-Galactomyces-Water-Essence-20ml-i.379239733.3778576661</v>
      </c>
      <c r="C2242" s="6" t="s">
        <v>2245</v>
      </c>
      <c r="D2242" s="6" t="s">
        <v>2246</v>
      </c>
      <c r="E2242" s="6" t="s">
        <v>12</v>
      </c>
      <c r="F2242" s="6" t="s">
        <v>13</v>
      </c>
      <c r="G2242" s="6" t="s">
        <v>130</v>
      </c>
      <c r="H2242" s="8" t="s">
        <v>3378</v>
      </c>
      <c r="I2242" s="9">
        <v>175000.0</v>
      </c>
      <c r="J2242" s="5" t="str">
        <f t="shared" ref="J2242:K2242" si="2242">SUBSTITUTE(H2242, ",", "")</f>
        <v>2</v>
      </c>
      <c r="K2242" s="5" t="str">
        <f t="shared" si="2242"/>
        <v>Rp175000</v>
      </c>
      <c r="L2242" s="5" t="str">
        <f t="shared" si="3"/>
        <v>175000</v>
      </c>
    </row>
    <row r="2243">
      <c r="A2243" s="6" t="s">
        <v>3442</v>
      </c>
      <c r="B2243" s="7" t="str">
        <f>HYPERLINK("https://shopee.co.id/Radiance-Gold-Gel-Marwah-Skin-Care-i.357101711.3679625990", "https://shopee.co.id/Radiance-Gold-Gel-Marwah-Skin-Care-i.357101711.3679625990")</f>
        <v>https://shopee.co.id/Radiance-Gold-Gel-Marwah-Skin-Care-i.357101711.3679625990</v>
      </c>
      <c r="C2243" s="6" t="s">
        <v>2249</v>
      </c>
      <c r="D2243" s="6" t="s">
        <v>2250</v>
      </c>
      <c r="E2243" s="6" t="s">
        <v>12</v>
      </c>
      <c r="F2243" s="6" t="s">
        <v>13</v>
      </c>
      <c r="G2243" s="6" t="s">
        <v>370</v>
      </c>
      <c r="H2243" s="8" t="s">
        <v>3378</v>
      </c>
      <c r="I2243" s="9">
        <v>219300.0</v>
      </c>
      <c r="J2243" s="5" t="str">
        <f t="shared" ref="J2243:K2243" si="2243">SUBSTITUTE(H2243, ",", "")</f>
        <v>2</v>
      </c>
      <c r="K2243" s="5" t="str">
        <f t="shared" si="2243"/>
        <v>Rp219300</v>
      </c>
      <c r="L2243" s="5" t="str">
        <f t="shared" si="3"/>
        <v>219300</v>
      </c>
    </row>
    <row r="2244">
      <c r="A2244" s="6" t="s">
        <v>3443</v>
      </c>
      <c r="B2244" s="7" t="str">
        <f>HYPERLINK("https://shopee.co.id/Saffbeautys-Bundle-Serum-Tamanu-Oil-Pure-Serum-Brightening-Saffron-10Ml-i.61316931.8464673647", "https://shopee.co.id/Saffbeautys-Bundle-Serum-Tamanu-Oil-Pure-Serum-Brightening-Saffron-10Ml-i.61316931.8464673647")</f>
        <v>https://shopee.co.id/Saffbeautys-Bundle-Serum-Tamanu-Oil-Pure-Serum-Brightening-Saffron-10Ml-i.61316931.8464673647</v>
      </c>
      <c r="C2244" s="6" t="s">
        <v>940</v>
      </c>
      <c r="D2244" s="6" t="s">
        <v>2128</v>
      </c>
      <c r="E2244" s="6" t="s">
        <v>12</v>
      </c>
      <c r="F2244" s="6" t="s">
        <v>13</v>
      </c>
      <c r="G2244" s="6" t="s">
        <v>409</v>
      </c>
      <c r="H2244" s="8" t="s">
        <v>3378</v>
      </c>
      <c r="I2244" s="9">
        <v>280000.0</v>
      </c>
      <c r="J2244" s="5" t="str">
        <f t="shared" ref="J2244:K2244" si="2244">SUBSTITUTE(H2244, ",", "")</f>
        <v>2</v>
      </c>
      <c r="K2244" s="5" t="str">
        <f t="shared" si="2244"/>
        <v>Rp280000</v>
      </c>
      <c r="L2244" s="5" t="str">
        <f t="shared" si="3"/>
        <v>280000</v>
      </c>
    </row>
    <row r="2245">
      <c r="A2245" s="6" t="s">
        <v>3444</v>
      </c>
      <c r="B2245" s="7" t="str">
        <f>HYPERLINK("https://shopee.co.id/TABITHA-SKIN-WHITE-Night-Cream-10g-Serum-Dark-Spot-20ml-i.344192903.9351878780", "https://shopee.co.id/TABITHA-SKIN-WHITE-Night-Cream-10g-Serum-Dark-Spot-20ml-i.344192903.9351878780")</f>
        <v>https://shopee.co.id/TABITHA-SKIN-WHITE-Night-Cream-10g-Serum-Dark-Spot-20ml-i.344192903.9351878780</v>
      </c>
      <c r="C2245" s="6" t="s">
        <v>2211</v>
      </c>
      <c r="D2245" s="6" t="s">
        <v>2212</v>
      </c>
      <c r="E2245" s="6" t="s">
        <v>12</v>
      </c>
      <c r="F2245" s="6" t="s">
        <v>13</v>
      </c>
      <c r="G2245" s="6" t="s">
        <v>296</v>
      </c>
      <c r="H2245" s="8" t="s">
        <v>3378</v>
      </c>
      <c r="I2245" s="9">
        <v>119300.0</v>
      </c>
      <c r="J2245" s="5" t="str">
        <f t="shared" ref="J2245:K2245" si="2245">SUBSTITUTE(H2245, ",", "")</f>
        <v>2</v>
      </c>
      <c r="K2245" s="5" t="str">
        <f t="shared" si="2245"/>
        <v>Rp119300</v>
      </c>
      <c r="L2245" s="5" t="str">
        <f t="shared" si="3"/>
        <v>119300</v>
      </c>
    </row>
    <row r="2246">
      <c r="A2246" s="6" t="s">
        <v>3445</v>
      </c>
      <c r="B2246" s="7" t="str">
        <f>HYPERLINK("https://shopee.co.id/-BPOM-BIOAQUA-serum-wajah-Vitamin-Facial-Essense-anti-aging-moisturizing-serum-isi-60-kapsul-i.297682305.10148404152", "https://shopee.co.id/-BPOM-BIOAQUA-serum-wajah-Vitamin-Facial-Essense-anti-aging-moisturizing-serum-isi-60-kapsul-i.297682305.10148404152")</f>
        <v>https://shopee.co.id/-BPOM-BIOAQUA-serum-wajah-Vitamin-Facial-Essense-anti-aging-moisturizing-serum-isi-60-kapsul-i.297682305.10148404152</v>
      </c>
      <c r="C2246" s="6" t="s">
        <v>3446</v>
      </c>
      <c r="D2246" s="6" t="s">
        <v>1745</v>
      </c>
      <c r="E2246" s="6" t="s">
        <v>12</v>
      </c>
      <c r="F2246" s="6" t="s">
        <v>13</v>
      </c>
      <c r="G2246" s="6" t="s">
        <v>61</v>
      </c>
      <c r="H2246" s="8" t="s">
        <v>3378</v>
      </c>
      <c r="I2246" s="9">
        <v>540000.0</v>
      </c>
      <c r="J2246" s="5" t="str">
        <f t="shared" ref="J2246:K2246" si="2246">SUBSTITUTE(H2246, ",", "")</f>
        <v>2</v>
      </c>
      <c r="K2246" s="5" t="str">
        <f t="shared" si="2246"/>
        <v>Rp540000</v>
      </c>
      <c r="L2246" s="5" t="str">
        <f t="shared" si="3"/>
        <v>540000</v>
      </c>
    </row>
    <row r="2247">
      <c r="A2247" s="6" t="s">
        <v>3447</v>
      </c>
      <c r="B2247" s="7" t="str">
        <f>HYPERLINK("https://shopee.co.id/ID-AZ-Face-Fit-V-Fit-ler-Ampoule-15ml-i.825870.7202301785", "https://shopee.co.id/ID-AZ-Face-Fit-V-Fit-ler-Ampoule-15ml-i.825870.7202301785")</f>
        <v>https://shopee.co.id/ID-AZ-Face-Fit-V-Fit-ler-Ampoule-15ml-i.825870.7202301785</v>
      </c>
      <c r="C2247" s="6" t="s">
        <v>3448</v>
      </c>
      <c r="D2247" s="6" t="s">
        <v>1184</v>
      </c>
      <c r="E2247" s="6" t="s">
        <v>12</v>
      </c>
      <c r="F2247" s="6" t="s">
        <v>13</v>
      </c>
      <c r="G2247" s="6" t="s">
        <v>21</v>
      </c>
      <c r="H2247" s="8" t="s">
        <v>3378</v>
      </c>
      <c r="I2247" s="9">
        <v>3998000.0</v>
      </c>
      <c r="J2247" s="5" t="str">
        <f t="shared" ref="J2247:K2247" si="2247">SUBSTITUTE(H2247, ",", "")</f>
        <v>2</v>
      </c>
      <c r="K2247" s="5" t="str">
        <f t="shared" si="2247"/>
        <v>Rp3998000</v>
      </c>
      <c r="L2247" s="5" t="str">
        <f t="shared" si="3"/>
        <v>3998000</v>
      </c>
    </row>
    <row r="2248">
      <c r="A2248" s="6" t="s">
        <v>3449</v>
      </c>
      <c r="B2248" s="7" t="str">
        <f>HYPERLINK("https://shopee.co.id/Paket-Serum-Tzuki-Sabun-Cream-dan-Serum-i.230136619.10723902106", "https://shopee.co.id/Paket-Serum-Tzuki-Sabun-Cream-dan-Serum-i.230136619.10723902106")</f>
        <v>https://shopee.co.id/Paket-Serum-Tzuki-Sabun-Cream-dan-Serum-i.230136619.10723902106</v>
      </c>
      <c r="C2248" s="6" t="s">
        <v>3450</v>
      </c>
      <c r="D2248" s="6" t="s">
        <v>3451</v>
      </c>
      <c r="E2248" s="6" t="s">
        <v>12</v>
      </c>
      <c r="F2248" s="6" t="s">
        <v>13</v>
      </c>
      <c r="G2248" s="6" t="s">
        <v>1085</v>
      </c>
      <c r="H2248" s="8" t="s">
        <v>3378</v>
      </c>
      <c r="I2248" s="9">
        <v>540000.0</v>
      </c>
      <c r="J2248" s="5" t="str">
        <f t="shared" ref="J2248:K2248" si="2248">SUBSTITUTE(H2248, ",", "")</f>
        <v>2</v>
      </c>
      <c r="K2248" s="5" t="str">
        <f t="shared" si="2248"/>
        <v>Rp540000</v>
      </c>
      <c r="L2248" s="5" t="str">
        <f t="shared" si="3"/>
        <v>540000</v>
      </c>
    </row>
    <row r="2249">
      <c r="A2249" s="6" t="s">
        <v>3452</v>
      </c>
      <c r="B2249" s="7" t="str">
        <f>HYPERLINK("https://shopee.co.id/VIENNA-BEAUTY-FACE-SERUM-VITAMIN-C-15ML-BOTTLE-i.8463767.6233494897", "https://shopee.co.id/VIENNA-BEAUTY-FACE-SERUM-VITAMIN-C-15ML-BOTTLE-i.8463767.6233494897")</f>
        <v>https://shopee.co.id/VIENNA-BEAUTY-FACE-SERUM-VITAMIN-C-15ML-BOTTLE-i.8463767.6233494897</v>
      </c>
      <c r="C2249" s="6" t="s">
        <v>3453</v>
      </c>
      <c r="D2249" s="6" t="s">
        <v>3454</v>
      </c>
      <c r="E2249" s="6" t="s">
        <v>12</v>
      </c>
      <c r="F2249" s="6" t="s">
        <v>13</v>
      </c>
      <c r="G2249" s="6" t="s">
        <v>36</v>
      </c>
      <c r="H2249" s="8" t="s">
        <v>3378</v>
      </c>
      <c r="I2249" s="9">
        <v>317500.0</v>
      </c>
      <c r="J2249" s="5" t="str">
        <f t="shared" ref="J2249:K2249" si="2249">SUBSTITUTE(H2249, ",", "")</f>
        <v>2</v>
      </c>
      <c r="K2249" s="5" t="str">
        <f t="shared" si="2249"/>
        <v>Rp317500</v>
      </c>
      <c r="L2249" s="5" t="str">
        <f t="shared" si="3"/>
        <v>317500</v>
      </c>
    </row>
    <row r="2250">
      <c r="A2250" s="6" t="s">
        <v>3455</v>
      </c>
      <c r="B2250" s="7" t="str">
        <f>HYPERLINK("https://shopee.co.id/Dr-Jart-V7-Serum-Original-Tanpa-Box--i.79492424.5317344002", "https://shopee.co.id/Dr-Jart-V7-Serum-Original-Tanpa-Box--i.79492424.5317344002")</f>
        <v>https://shopee.co.id/Dr-Jart-V7-Serum-Original-Tanpa-Box--i.79492424.5317344002</v>
      </c>
      <c r="C2250" s="6" t="s">
        <v>639</v>
      </c>
      <c r="D2250" s="6" t="s">
        <v>3456</v>
      </c>
      <c r="E2250" s="6" t="s">
        <v>12</v>
      </c>
      <c r="F2250" s="6" t="s">
        <v>13</v>
      </c>
      <c r="G2250" s="6" t="s">
        <v>469</v>
      </c>
      <c r="H2250" s="8" t="s">
        <v>3378</v>
      </c>
      <c r="I2250" s="9">
        <v>214600.0</v>
      </c>
      <c r="J2250" s="5" t="str">
        <f t="shared" ref="J2250:K2250" si="2250">SUBSTITUTE(H2250, ",", "")</f>
        <v>2</v>
      </c>
      <c r="K2250" s="5" t="str">
        <f t="shared" si="2250"/>
        <v>Rp214600</v>
      </c>
      <c r="L2250" s="5" t="str">
        <f t="shared" si="3"/>
        <v>214600</v>
      </c>
    </row>
    <row r="2251">
      <c r="A2251" s="6" t="s">
        <v>3457</v>
      </c>
      <c r="B2251" s="7" t="str">
        <f>HYPERLINK("https://shopee.co.id/GLOWINC-POTION-HYDRALIVE-Moisture-Lock-Skin-Drink-Essence-i.68111.5797644495", "https://shopee.co.id/GLOWINC-POTION-HYDRALIVE-Moisture-Lock-Skin-Drink-Essence-i.68111.5797644495")</f>
        <v>https://shopee.co.id/GLOWINC-POTION-HYDRALIVE-Moisture-Lock-Skin-Drink-Essence-i.68111.5797644495</v>
      </c>
      <c r="C2251" s="6" t="s">
        <v>1898</v>
      </c>
      <c r="D2251" s="6" t="s">
        <v>441</v>
      </c>
      <c r="E2251" s="6" t="s">
        <v>12</v>
      </c>
      <c r="F2251" s="6" t="s">
        <v>13</v>
      </c>
      <c r="G2251" s="6" t="s">
        <v>130</v>
      </c>
      <c r="H2251" s="8" t="s">
        <v>3378</v>
      </c>
      <c r="I2251" s="9">
        <v>398000.0</v>
      </c>
      <c r="J2251" s="5" t="str">
        <f t="shared" ref="J2251:K2251" si="2251">SUBSTITUTE(H2251, ",", "")</f>
        <v>2</v>
      </c>
      <c r="K2251" s="5" t="str">
        <f t="shared" si="2251"/>
        <v>Rp398000</v>
      </c>
      <c r="L2251" s="5" t="str">
        <f t="shared" si="3"/>
        <v>398000</v>
      </c>
    </row>
    <row r="2252">
      <c r="A2252" s="6" t="s">
        <v>2583</v>
      </c>
      <c r="B2252" s="7" t="str">
        <f>HYPERLINK("https://shopee.co.id/AZARINE-C-white-lightening-serum-i.270965687.11215443646", "https://shopee.co.id/AZARINE-C-white-lightening-serum-i.270965687.11215443646")</f>
        <v>https://shopee.co.id/AZARINE-C-white-lightening-serum-i.270965687.11215443646</v>
      </c>
      <c r="C2252" s="6" t="s">
        <v>233</v>
      </c>
      <c r="D2252" s="6" t="s">
        <v>379</v>
      </c>
      <c r="E2252" s="6" t="s">
        <v>12</v>
      </c>
      <c r="F2252" s="6" t="s">
        <v>13</v>
      </c>
      <c r="G2252" s="6" t="s">
        <v>380</v>
      </c>
      <c r="H2252" s="8" t="s">
        <v>3378</v>
      </c>
      <c r="I2252" s="9">
        <v>430000.0</v>
      </c>
      <c r="J2252" s="5" t="str">
        <f t="shared" ref="J2252:K2252" si="2252">SUBSTITUTE(H2252, ",", "")</f>
        <v>2</v>
      </c>
      <c r="K2252" s="5" t="str">
        <f t="shared" si="2252"/>
        <v>Rp430000</v>
      </c>
      <c r="L2252" s="5" t="str">
        <f t="shared" si="3"/>
        <v>430000</v>
      </c>
    </row>
    <row r="2253">
      <c r="A2253" s="6" t="s">
        <v>3458</v>
      </c>
      <c r="B2253" s="7" t="str">
        <f>HYPERLINK("https://shopee.co.id/Bhumi-HPR-Retinol-Serum-30ml--i.10689.7573441191", "https://shopee.co.id/Bhumi-HPR-Retinol-Serum-30ml--i.10689.7573441191")</f>
        <v>https://shopee.co.id/Bhumi-HPR-Retinol-Serum-30ml--i.10689.7573441191</v>
      </c>
      <c r="C2253" s="6" t="s">
        <v>753</v>
      </c>
      <c r="D2253" s="6" t="s">
        <v>745</v>
      </c>
      <c r="E2253" s="6" t="s">
        <v>12</v>
      </c>
      <c r="F2253" s="6" t="s">
        <v>13</v>
      </c>
      <c r="G2253" s="6" t="s">
        <v>61</v>
      </c>
      <c r="H2253" s="8" t="s">
        <v>3378</v>
      </c>
      <c r="I2253" s="9">
        <v>83000.0</v>
      </c>
      <c r="J2253" s="5" t="str">
        <f t="shared" ref="J2253:K2253" si="2253">SUBSTITUTE(H2253, ",", "")</f>
        <v>2</v>
      </c>
      <c r="K2253" s="5" t="str">
        <f t="shared" si="2253"/>
        <v>Rp83000</v>
      </c>
      <c r="L2253" s="5" t="str">
        <f t="shared" si="3"/>
        <v>83000</v>
      </c>
    </row>
    <row r="2254">
      <c r="A2254" s="6" t="s">
        <v>3459</v>
      </c>
      <c r="B2254" s="7" t="str">
        <f>HYPERLINK("https://shopee.co.id/KLAIRS-Rich-Moist-Soothing-Serum-80ml-i.68111.315875734", "https://shopee.co.id/KLAIRS-Rich-Moist-Soothing-Serum-80ml-i.68111.315875734")</f>
        <v>https://shopee.co.id/KLAIRS-Rich-Moist-Soothing-Serum-80ml-i.68111.315875734</v>
      </c>
      <c r="C2254" s="6" t="s">
        <v>432</v>
      </c>
      <c r="D2254" s="6" t="s">
        <v>441</v>
      </c>
      <c r="E2254" s="6" t="s">
        <v>12</v>
      </c>
      <c r="F2254" s="6" t="s">
        <v>13</v>
      </c>
      <c r="G2254" s="6" t="s">
        <v>130</v>
      </c>
      <c r="H2254" s="8" t="s">
        <v>3378</v>
      </c>
      <c r="I2254" s="9">
        <v>203000.0</v>
      </c>
      <c r="J2254" s="5" t="str">
        <f t="shared" ref="J2254:K2254" si="2254">SUBSTITUTE(H2254, ",", "")</f>
        <v>2</v>
      </c>
      <c r="K2254" s="5" t="str">
        <f t="shared" si="2254"/>
        <v>Rp203000</v>
      </c>
      <c r="L2254" s="5" t="str">
        <f t="shared" si="3"/>
        <v>203000</v>
      </c>
    </row>
    <row r="2255">
      <c r="A2255" s="6" t="s">
        <v>3460</v>
      </c>
      <c r="B2255" s="7" t="str">
        <f>HYPERLINK("https://shopee.co.id/BY-ECOM-Pure-Calming-Ampoule-30-ml-i.125116082.7555105279", "https://shopee.co.id/BY-ECOM-Pure-Calming-Ampoule-30-ml-i.125116082.7555105279")</f>
        <v>https://shopee.co.id/BY-ECOM-Pure-Calming-Ampoule-30-ml-i.125116082.7555105279</v>
      </c>
      <c r="C2255" s="6" t="s">
        <v>3461</v>
      </c>
      <c r="D2255" s="6" t="s">
        <v>713</v>
      </c>
      <c r="E2255" s="6" t="s">
        <v>12</v>
      </c>
      <c r="F2255" s="6" t="s">
        <v>13</v>
      </c>
      <c r="G2255" s="6" t="s">
        <v>61</v>
      </c>
      <c r="H2255" s="8" t="s">
        <v>3378</v>
      </c>
      <c r="I2255" s="9">
        <v>382000.0</v>
      </c>
      <c r="J2255" s="5" t="str">
        <f t="shared" ref="J2255:K2255" si="2255">SUBSTITUTE(H2255, ",", "")</f>
        <v>2</v>
      </c>
      <c r="K2255" s="5" t="str">
        <f t="shared" si="2255"/>
        <v>Rp382000</v>
      </c>
      <c r="L2255" s="5" t="str">
        <f t="shared" si="3"/>
        <v>382000</v>
      </c>
    </row>
    <row r="2256">
      <c r="A2256" s="6" t="s">
        <v>3462</v>
      </c>
      <c r="B2256" s="7" t="str">
        <f>HYPERLINK("https://shopee.co.id/The-Potions-Peptide-Ampoule-20Ml-i.186214521.4986049609", "https://shopee.co.id/The-Potions-Peptide-Ampoule-20Ml-i.186214521.4986049609")</f>
        <v>https://shopee.co.id/The-Potions-Peptide-Ampoule-20Ml-i.186214521.4986049609</v>
      </c>
      <c r="C2256" s="6" t="s">
        <v>2245</v>
      </c>
      <c r="D2256" s="6" t="s">
        <v>2293</v>
      </c>
      <c r="E2256" s="6" t="s">
        <v>12</v>
      </c>
      <c r="F2256" s="6" t="s">
        <v>13</v>
      </c>
      <c r="G2256" s="6" t="s">
        <v>61</v>
      </c>
      <c r="H2256" s="8" t="s">
        <v>3378</v>
      </c>
      <c r="I2256" s="9">
        <v>364000.0</v>
      </c>
      <c r="J2256" s="5" t="str">
        <f t="shared" ref="J2256:K2256" si="2256">SUBSTITUTE(H2256, ",", "")</f>
        <v>2</v>
      </c>
      <c r="K2256" s="5" t="str">
        <f t="shared" si="2256"/>
        <v>Rp364000</v>
      </c>
      <c r="L2256" s="5" t="str">
        <f t="shared" si="3"/>
        <v>364000</v>
      </c>
    </row>
    <row r="2257">
      <c r="A2257" s="6" t="s">
        <v>3463</v>
      </c>
      <c r="B2257" s="7" t="str">
        <f>HYPERLINK("https://shopee.co.id/Crushlicious-Bundling-Overnight-Glow-Serum-Oatmask-25gr-i.4184162.7988114182", "https://shopee.co.id/Crushlicious-Bundling-Overnight-Glow-Serum-Oatmask-25gr-i.4184162.7988114182")</f>
        <v>https://shopee.co.id/Crushlicious-Bundling-Overnight-Glow-Serum-Oatmask-25gr-i.4184162.7988114182</v>
      </c>
      <c r="C2257" s="6" t="s">
        <v>1619</v>
      </c>
      <c r="D2257" s="6" t="s">
        <v>1620</v>
      </c>
      <c r="E2257" s="6" t="s">
        <v>12</v>
      </c>
      <c r="F2257" s="6" t="s">
        <v>13</v>
      </c>
      <c r="G2257" s="6" t="s">
        <v>1621</v>
      </c>
      <c r="H2257" s="8" t="s">
        <v>3378</v>
      </c>
      <c r="I2257" s="9">
        <v>240000.0</v>
      </c>
      <c r="J2257" s="5" t="str">
        <f t="shared" ref="J2257:K2257" si="2257">SUBSTITUTE(H2257, ",", "")</f>
        <v>2</v>
      </c>
      <c r="K2257" s="5" t="str">
        <f t="shared" si="2257"/>
        <v>Rp240000</v>
      </c>
      <c r="L2257" s="5" t="str">
        <f t="shared" si="3"/>
        <v>240000</v>
      </c>
    </row>
    <row r="2258">
      <c r="A2258" s="6" t="s">
        <v>3464</v>
      </c>
      <c r="B2258" s="7" t="str">
        <f>HYPERLINK("https://shopee.co.id/TRUEVE-AHA-BHA-PHA-Ceramide-Peeling-Serum-15ml-i.270965687.9744388400", "https://shopee.co.id/TRUEVE-AHA-BHA-PHA-Ceramide-Peeling-Serum-15ml-i.270965687.9744388400")</f>
        <v>https://shopee.co.id/TRUEVE-AHA-BHA-PHA-Ceramide-Peeling-Serum-15ml-i.270965687.9744388400</v>
      </c>
      <c r="C2258" s="6" t="s">
        <v>34</v>
      </c>
      <c r="D2258" s="6" t="s">
        <v>379</v>
      </c>
      <c r="E2258" s="6" t="s">
        <v>12</v>
      </c>
      <c r="F2258" s="6" t="s">
        <v>13</v>
      </c>
      <c r="G2258" s="6" t="s">
        <v>380</v>
      </c>
      <c r="H2258" s="8" t="s">
        <v>3378</v>
      </c>
      <c r="I2258" s="9">
        <v>247500.0</v>
      </c>
      <c r="J2258" s="5" t="str">
        <f t="shared" ref="J2258:K2258" si="2258">SUBSTITUTE(H2258, ",", "")</f>
        <v>2</v>
      </c>
      <c r="K2258" s="5" t="str">
        <f t="shared" si="2258"/>
        <v>Rp247500</v>
      </c>
      <c r="L2258" s="5" t="str">
        <f t="shared" si="3"/>
        <v>247500</v>
      </c>
    </row>
    <row r="2259">
      <c r="A2259" s="6" t="s">
        <v>3465</v>
      </c>
      <c r="B2259" s="7" t="str">
        <f>HYPERLINK("https://shopee.co.id/AHC-The-Aesthe-Youth-Emulsion-Edit-by-Sociolla-i.224957239.6345287906", "https://shopee.co.id/AHC-The-Aesthe-Youth-Emulsion-Edit-by-Sociolla-i.224957239.6345287906")</f>
        <v>https://shopee.co.id/AHC-The-Aesthe-Youth-Emulsion-Edit-by-Sociolla-i.224957239.6345287906</v>
      </c>
      <c r="C2259" s="6" t="s">
        <v>2053</v>
      </c>
      <c r="D2259" s="6" t="s">
        <v>492</v>
      </c>
      <c r="E2259" s="6" t="s">
        <v>12</v>
      </c>
      <c r="F2259" s="6" t="s">
        <v>13</v>
      </c>
      <c r="G2259" s="6" t="s">
        <v>21</v>
      </c>
      <c r="H2259" s="8" t="s">
        <v>3378</v>
      </c>
      <c r="I2259" s="9">
        <v>282000.0</v>
      </c>
      <c r="J2259" s="5" t="str">
        <f t="shared" ref="J2259:K2259" si="2259">SUBSTITUTE(H2259, ",", "")</f>
        <v>2</v>
      </c>
      <c r="K2259" s="5" t="str">
        <f t="shared" si="2259"/>
        <v>Rp282000</v>
      </c>
      <c r="L2259" s="5" t="str">
        <f t="shared" si="3"/>
        <v>282000</v>
      </c>
    </row>
    <row r="2260">
      <c r="A2260" s="6" t="s">
        <v>3466</v>
      </c>
      <c r="B2260" s="7" t="str">
        <f>HYPERLINK("https://shopee.co.id/BRASOV-Serum-Wajah-Anti-Penuaan-30ML-Le-Docteur-Anti-Aging-Dengan-Vitamin-C-Face-Serum-BPOM-Halal-XX-i.168925122.5982276733", "https://shopee.co.id/BRASOV-Serum-Wajah-Anti-Penuaan-30ML-Le-Docteur-Anti-Aging-Dengan-Vitamin-C-Face-Serum-BPOM-Halal-XX-i.168925122.5982276733")</f>
        <v>https://shopee.co.id/BRASOV-Serum-Wajah-Anti-Penuaan-30ML-Le-Docteur-Anti-Aging-Dengan-Vitamin-C-Face-Serum-BPOM-Halal-XX-i.168925122.5982276733</v>
      </c>
      <c r="C2260" s="6" t="s">
        <v>3278</v>
      </c>
      <c r="D2260" s="6" t="s">
        <v>3279</v>
      </c>
      <c r="E2260" s="6" t="s">
        <v>12</v>
      </c>
      <c r="F2260" s="6" t="s">
        <v>13</v>
      </c>
      <c r="G2260" s="6" t="s">
        <v>21</v>
      </c>
      <c r="H2260" s="8" t="s">
        <v>3378</v>
      </c>
      <c r="I2260" s="9">
        <v>187500.0</v>
      </c>
      <c r="J2260" s="5" t="str">
        <f t="shared" ref="J2260:K2260" si="2260">SUBSTITUTE(H2260, ",", "")</f>
        <v>2</v>
      </c>
      <c r="K2260" s="5" t="str">
        <f t="shared" si="2260"/>
        <v>Rp187500</v>
      </c>
      <c r="L2260" s="5" t="str">
        <f t="shared" si="3"/>
        <v>187500</v>
      </c>
    </row>
    <row r="2261">
      <c r="A2261" s="6" t="s">
        <v>3467</v>
      </c>
      <c r="B2261" s="7" t="str">
        <f>HYPERLINK("https://shopee.co.id/Nu-Aroma-Avocado-Oil-Natural-Serum-Wajah-Serum-Kulit-Serum-Rambut--i.262175945.4455685403", "https://shopee.co.id/Nu-Aroma-Avocado-Oil-Natural-Serum-Wajah-Serum-Kulit-Serum-Rambut--i.262175945.4455685403")</f>
        <v>https://shopee.co.id/Nu-Aroma-Avocado-Oil-Natural-Serum-Wajah-Serum-Kulit-Serum-Rambut--i.262175945.4455685403</v>
      </c>
      <c r="C2261" s="6" t="s">
        <v>2863</v>
      </c>
      <c r="D2261" s="6" t="s">
        <v>2864</v>
      </c>
      <c r="E2261" s="6" t="s">
        <v>12</v>
      </c>
      <c r="F2261" s="6" t="s">
        <v>13</v>
      </c>
      <c r="G2261" s="6" t="s">
        <v>945</v>
      </c>
      <c r="H2261" s="8" t="s">
        <v>3378</v>
      </c>
      <c r="I2261" s="9">
        <v>65600.0</v>
      </c>
      <c r="J2261" s="5" t="str">
        <f t="shared" ref="J2261:K2261" si="2261">SUBSTITUTE(H2261, ",", "")</f>
        <v>2</v>
      </c>
      <c r="K2261" s="5" t="str">
        <f t="shared" si="2261"/>
        <v>Rp65600</v>
      </c>
      <c r="L2261" s="5" t="str">
        <f t="shared" si="3"/>
        <v>65600</v>
      </c>
    </row>
    <row r="2262">
      <c r="A2262" s="6" t="s">
        <v>3468</v>
      </c>
      <c r="B2262" s="7" t="str">
        <f>HYPERLINK("https://shopee.co.id/Cosrx-Hydrium-Triple-Hyaluronic-Moisture-Ampoule-40ml-i.30736001.7592158034", "https://shopee.co.id/Cosrx-Hydrium-Triple-Hyaluronic-Moisture-Ampoule-40ml-i.30736001.7592158034")</f>
        <v>https://shopee.co.id/Cosrx-Hydrium-Triple-Hyaluronic-Moisture-Ampoule-40ml-i.30736001.7592158034</v>
      </c>
      <c r="C2262" s="6" t="s">
        <v>305</v>
      </c>
      <c r="D2262" s="6" t="s">
        <v>335</v>
      </c>
      <c r="E2262" s="6" t="s">
        <v>12</v>
      </c>
      <c r="F2262" s="6" t="s">
        <v>13</v>
      </c>
      <c r="G2262" s="6" t="s">
        <v>36</v>
      </c>
      <c r="H2262" s="8" t="s">
        <v>3378</v>
      </c>
      <c r="I2262" s="9">
        <v>128800.0</v>
      </c>
      <c r="J2262" s="5" t="str">
        <f t="shared" ref="J2262:K2262" si="2262">SUBSTITUTE(H2262, ",", "")</f>
        <v>2</v>
      </c>
      <c r="K2262" s="5" t="str">
        <f t="shared" si="2262"/>
        <v>Rp128800</v>
      </c>
      <c r="L2262" s="5" t="str">
        <f t="shared" si="3"/>
        <v>128800</v>
      </c>
    </row>
    <row r="2263">
      <c r="A2263" s="6" t="s">
        <v>3469</v>
      </c>
      <c r="B2263" s="7" t="str">
        <f>HYPERLINK("https://shopee.co.id/Azarine-Anti-Acne-Brightening-Serum-20ml-i.825870.8205672762", "https://shopee.co.id/Azarine-Anti-Acne-Brightening-Serum-20ml-i.825870.8205672762")</f>
        <v>https://shopee.co.id/Azarine-Anti-Acne-Brightening-Serum-20ml-i.825870.8205672762</v>
      </c>
      <c r="C2263" s="6" t="s">
        <v>233</v>
      </c>
      <c r="D2263" s="6" t="s">
        <v>1184</v>
      </c>
      <c r="E2263" s="6" t="s">
        <v>12</v>
      </c>
      <c r="F2263" s="6" t="s">
        <v>13</v>
      </c>
      <c r="G2263" s="6" t="s">
        <v>21</v>
      </c>
      <c r="H2263" s="8" t="s">
        <v>3378</v>
      </c>
      <c r="I2263" s="9">
        <v>39000.0</v>
      </c>
      <c r="J2263" s="5" t="str">
        <f t="shared" ref="J2263:K2263" si="2263">SUBSTITUTE(H2263, ",", "")</f>
        <v>2</v>
      </c>
      <c r="K2263" s="5" t="str">
        <f t="shared" si="2263"/>
        <v>Rp39000</v>
      </c>
      <c r="L2263" s="5" t="str">
        <f t="shared" si="3"/>
        <v>39000</v>
      </c>
    </row>
    <row r="2264">
      <c r="A2264" s="6" t="s">
        <v>3470</v>
      </c>
      <c r="B2264" s="7" t="str">
        <f>HYPERLINK("https://shopee.co.id/Serum-Gluta-Marwah-Skin-Care-i.357101711.8741338769", "https://shopee.co.id/Serum-Gluta-Marwah-Skin-Care-i.357101711.8741338769")</f>
        <v>https://shopee.co.id/Serum-Gluta-Marwah-Skin-Care-i.357101711.8741338769</v>
      </c>
      <c r="C2264" s="6" t="s">
        <v>2249</v>
      </c>
      <c r="D2264" s="6" t="s">
        <v>2250</v>
      </c>
      <c r="E2264" s="6" t="s">
        <v>12</v>
      </c>
      <c r="F2264" s="6" t="s">
        <v>13</v>
      </c>
      <c r="G2264" s="6" t="s">
        <v>370</v>
      </c>
      <c r="H2264" s="8" t="s">
        <v>3378</v>
      </c>
      <c r="I2264" s="9">
        <v>453900.0</v>
      </c>
      <c r="J2264" s="5" t="str">
        <f t="shared" ref="J2264:K2264" si="2264">SUBSTITUTE(H2264, ",", "")</f>
        <v>2</v>
      </c>
      <c r="K2264" s="5" t="str">
        <f t="shared" si="2264"/>
        <v>Rp453900</v>
      </c>
      <c r="L2264" s="5" t="str">
        <f t="shared" si="3"/>
        <v>453900</v>
      </c>
    </row>
    <row r="2265">
      <c r="A2265" s="6" t="s">
        <v>3471</v>
      </c>
      <c r="B2265" s="7" t="str">
        <f>HYPERLINK("https://shopee.co.id/Lokos-me-Bundle-Dark-Spot-Glowing-and-Brightening-i.5109240.11420850889", "https://shopee.co.id/Lokos-me-Bundle-Dark-Spot-Glowing-and-Brightening-i.5109240.11420850889")</f>
        <v>https://shopee.co.id/Lokos-me-Bundle-Dark-Spot-Glowing-and-Brightening-i.5109240.11420850889</v>
      </c>
      <c r="C2265" s="6" t="s">
        <v>3296</v>
      </c>
      <c r="D2265" s="6" t="s">
        <v>3297</v>
      </c>
      <c r="E2265" s="6" t="s">
        <v>12</v>
      </c>
      <c r="F2265" s="6" t="s">
        <v>13</v>
      </c>
      <c r="G2265" s="6" t="s">
        <v>1130</v>
      </c>
      <c r="H2265" s="8" t="s">
        <v>3378</v>
      </c>
      <c r="I2265" s="9">
        <v>766400.0</v>
      </c>
      <c r="J2265" s="5" t="str">
        <f t="shared" ref="J2265:K2265" si="2265">SUBSTITUTE(H2265, ",", "")</f>
        <v>2</v>
      </c>
      <c r="K2265" s="5" t="str">
        <f t="shared" si="2265"/>
        <v>Rp766400</v>
      </c>
      <c r="L2265" s="5" t="str">
        <f t="shared" si="3"/>
        <v>766400</v>
      </c>
    </row>
    <row r="2266">
      <c r="A2266" s="6" t="s">
        <v>3472</v>
      </c>
      <c r="B2266" s="7" t="str">
        <f>HYPERLINK("https://shopee.co.id/Serum-Whitening-Oily-Skin-Special-Promo-Buy-1-Get-1-Free--i.108311902.1988334947", "https://shopee.co.id/Serum-Whitening-Oily-Skin-Special-Promo-Buy-1-Get-1-Free--i.108311902.1988334947")</f>
        <v>https://shopee.co.id/Serum-Whitening-Oily-Skin-Special-Promo-Buy-1-Get-1-Free--i.108311902.1988334947</v>
      </c>
      <c r="C2266" s="6" t="s">
        <v>3473</v>
      </c>
      <c r="D2266" s="6" t="s">
        <v>3474</v>
      </c>
      <c r="E2266" s="6" t="s">
        <v>12</v>
      </c>
      <c r="F2266" s="6" t="s">
        <v>13</v>
      </c>
      <c r="G2266" s="6" t="s">
        <v>350</v>
      </c>
      <c r="H2266" s="8" t="s">
        <v>3378</v>
      </c>
      <c r="I2266" s="9">
        <v>1462500.0</v>
      </c>
      <c r="J2266" s="5" t="str">
        <f t="shared" ref="J2266:K2266" si="2266">SUBSTITUTE(H2266, ",", "")</f>
        <v>2</v>
      </c>
      <c r="K2266" s="5" t="str">
        <f t="shared" si="2266"/>
        <v>Rp1462500</v>
      </c>
      <c r="L2266" s="5" t="str">
        <f t="shared" si="3"/>
        <v>1462500</v>
      </c>
    </row>
    <row r="2267">
      <c r="A2267" s="6" t="s">
        <v>3475</v>
      </c>
      <c r="B2267" s="7" t="str">
        <f>HYPERLINK("https://shopee.co.id/Bio-Essence-24K-Gold-Day-Cream-SPF25-40-g-i.186214521.7803971931", "https://shopee.co.id/Bio-Essence-24K-Gold-Day-Cream-SPF25-40-g-i.186214521.7803971931")</f>
        <v>https://shopee.co.id/Bio-Essence-24K-Gold-Day-Cream-SPF25-40-g-i.186214521.7803971931</v>
      </c>
      <c r="C2267" s="6" t="s">
        <v>1254</v>
      </c>
      <c r="D2267" s="6" t="s">
        <v>2293</v>
      </c>
      <c r="E2267" s="6" t="s">
        <v>12</v>
      </c>
      <c r="F2267" s="6" t="s">
        <v>13</v>
      </c>
      <c r="G2267" s="6" t="s">
        <v>61</v>
      </c>
      <c r="H2267" s="8" t="s">
        <v>3378</v>
      </c>
      <c r="I2267" s="9">
        <v>2700000.0</v>
      </c>
      <c r="J2267" s="5" t="str">
        <f t="shared" ref="J2267:K2267" si="2267">SUBSTITUTE(H2267, ",", "")</f>
        <v>2</v>
      </c>
      <c r="K2267" s="5" t="str">
        <f t="shared" si="2267"/>
        <v>Rp2700000</v>
      </c>
      <c r="L2267" s="5" t="str">
        <f t="shared" si="3"/>
        <v>2700000</v>
      </c>
    </row>
    <row r="2268">
      <c r="A2268" s="6" t="s">
        <v>3476</v>
      </c>
      <c r="B2268" s="7" t="str">
        <f>HYPERLINK("https://shopee.co.id/Bio-Essence-Bio-Gold-Day-Cream-SPF25-PA-40g-i.30736001.10300508189", "https://shopee.co.id/Bio-Essence-Bio-Gold-Day-Cream-SPF25-PA-40g-i.30736001.10300508189")</f>
        <v>https://shopee.co.id/Bio-Essence-Bio-Gold-Day-Cream-SPF25-PA-40g-i.30736001.10300508189</v>
      </c>
      <c r="C2268" s="6" t="s">
        <v>834</v>
      </c>
      <c r="D2268" s="6" t="s">
        <v>335</v>
      </c>
      <c r="E2268" s="6" t="s">
        <v>12</v>
      </c>
      <c r="F2268" s="6" t="s">
        <v>13</v>
      </c>
      <c r="G2268" s="6" t="s">
        <v>36</v>
      </c>
      <c r="H2268" s="8" t="s">
        <v>3378</v>
      </c>
      <c r="I2268" s="9">
        <v>673200.0</v>
      </c>
      <c r="J2268" s="5" t="str">
        <f t="shared" ref="J2268:K2268" si="2268">SUBSTITUTE(H2268, ",", "")</f>
        <v>2</v>
      </c>
      <c r="K2268" s="5" t="str">
        <f t="shared" si="2268"/>
        <v>Rp673200</v>
      </c>
      <c r="L2268" s="5" t="str">
        <f t="shared" si="3"/>
        <v>673200</v>
      </c>
    </row>
    <row r="2269">
      <c r="A2269" s="6" t="s">
        <v>3477</v>
      </c>
      <c r="B2269" s="7" t="str">
        <f>HYPERLINK("https://shopee.co.id/MSBB-Haple-La-Luna-Anti-Aging-Serum-30ml-i.288588702.4176961014", "https://shopee.co.id/MSBB-Haple-La-Luna-Anti-Aging-Serum-30ml-i.288588702.4176961014")</f>
        <v>https://shopee.co.id/MSBB-Haple-La-Luna-Anti-Aging-Serum-30ml-i.288588702.4176961014</v>
      </c>
      <c r="C2269" s="6" t="s">
        <v>1415</v>
      </c>
      <c r="D2269" s="6" t="s">
        <v>79</v>
      </c>
      <c r="E2269" s="6" t="s">
        <v>12</v>
      </c>
      <c r="F2269" s="6" t="s">
        <v>13</v>
      </c>
      <c r="G2269" s="6" t="s">
        <v>80</v>
      </c>
      <c r="H2269" s="8" t="s">
        <v>3378</v>
      </c>
      <c r="I2269" s="9">
        <v>270000.0</v>
      </c>
      <c r="J2269" s="5" t="str">
        <f t="shared" ref="J2269:K2269" si="2269">SUBSTITUTE(H2269, ",", "")</f>
        <v>2</v>
      </c>
      <c r="K2269" s="5" t="str">
        <f t="shared" si="2269"/>
        <v>Rp270000</v>
      </c>
      <c r="L2269" s="5" t="str">
        <f t="shared" si="3"/>
        <v>270000</v>
      </c>
    </row>
    <row r="2270">
      <c r="A2270" s="6" t="s">
        <v>3478</v>
      </c>
      <c r="B2270" s="7" t="str">
        <f>HYPERLINK("https://shopee.co.id/Bio-Essence-Gold-Water-30-ml-i.30736001.7537027635", "https://shopee.co.id/Bio-Essence-Gold-Water-30-ml-i.30736001.7537027635")</f>
        <v>https://shopee.co.id/Bio-Essence-Gold-Water-30-ml-i.30736001.7537027635</v>
      </c>
      <c r="C2270" s="6" t="s">
        <v>1254</v>
      </c>
      <c r="D2270" s="6" t="s">
        <v>335</v>
      </c>
      <c r="E2270" s="6" t="s">
        <v>12</v>
      </c>
      <c r="F2270" s="6" t="s">
        <v>13</v>
      </c>
      <c r="G2270" s="6" t="s">
        <v>36</v>
      </c>
      <c r="H2270" s="8" t="s">
        <v>3378</v>
      </c>
      <c r="I2270" s="9">
        <v>273000.0</v>
      </c>
      <c r="J2270" s="5" t="str">
        <f t="shared" ref="J2270:K2270" si="2270">SUBSTITUTE(H2270, ",", "")</f>
        <v>2</v>
      </c>
      <c r="K2270" s="5" t="str">
        <f t="shared" si="2270"/>
        <v>Rp273000</v>
      </c>
      <c r="L2270" s="5" t="str">
        <f t="shared" si="3"/>
        <v>273000</v>
      </c>
    </row>
    <row r="2271">
      <c r="A2271" s="6" t="s">
        <v>3479</v>
      </c>
      <c r="B2271" s="7" t="str">
        <f>HYPERLINK("https://shopee.co.id/NOOLA-Breezy-Willow-Moist-Serum-30ml-i.270965687.9522974497", "https://shopee.co.id/NOOLA-Breezy-Willow-Moist-Serum-30ml-i.270965687.9522974497")</f>
        <v>https://shopee.co.id/NOOLA-Breezy-Willow-Moist-Serum-30ml-i.270965687.9522974497</v>
      </c>
      <c r="C2271" s="6" t="s">
        <v>2794</v>
      </c>
      <c r="D2271" s="6" t="s">
        <v>379</v>
      </c>
      <c r="E2271" s="6" t="s">
        <v>12</v>
      </c>
      <c r="F2271" s="6" t="s">
        <v>13</v>
      </c>
      <c r="G2271" s="6" t="s">
        <v>380</v>
      </c>
      <c r="H2271" s="8" t="s">
        <v>3378</v>
      </c>
      <c r="I2271" s="9">
        <v>242000.0</v>
      </c>
      <c r="J2271" s="5" t="str">
        <f t="shared" ref="J2271:K2271" si="2271">SUBSTITUTE(H2271, ",", "")</f>
        <v>2</v>
      </c>
      <c r="K2271" s="5" t="str">
        <f t="shared" si="2271"/>
        <v>Rp242000</v>
      </c>
      <c r="L2271" s="5" t="str">
        <f t="shared" si="3"/>
        <v>242000</v>
      </c>
    </row>
    <row r="2272">
      <c r="A2272" s="6" t="s">
        <v>3480</v>
      </c>
      <c r="B2272" s="7" t="str">
        <f>HYPERLINK("https://shopee.co.id/WHITELAB-Granactive-retinoid-intensive-care-serum-15ml-i.270965687.8173421123", "https://shopee.co.id/WHITELAB-Granactive-retinoid-intensive-care-serum-15ml-i.270965687.8173421123")</f>
        <v>https://shopee.co.id/WHITELAB-Granactive-retinoid-intensive-care-serum-15ml-i.270965687.8173421123</v>
      </c>
      <c r="C2272" s="6" t="s">
        <v>59</v>
      </c>
      <c r="D2272" s="6" t="s">
        <v>379</v>
      </c>
      <c r="E2272" s="6" t="s">
        <v>12</v>
      </c>
      <c r="F2272" s="6" t="s">
        <v>13</v>
      </c>
      <c r="G2272" s="6" t="s">
        <v>380</v>
      </c>
      <c r="H2272" s="8" t="s">
        <v>3378</v>
      </c>
      <c r="I2272" s="9">
        <v>81529.0</v>
      </c>
      <c r="J2272" s="5" t="str">
        <f t="shared" ref="J2272:K2272" si="2272">SUBSTITUTE(H2272, ",", "")</f>
        <v>2</v>
      </c>
      <c r="K2272" s="5" t="str">
        <f t="shared" si="2272"/>
        <v>Rp81529</v>
      </c>
      <c r="L2272" s="5" t="str">
        <f t="shared" si="3"/>
        <v>81529</v>
      </c>
    </row>
    <row r="2273">
      <c r="A2273" s="6" t="s">
        <v>3481</v>
      </c>
      <c r="B2273" s="7" t="str">
        <f>HYPERLINK("https://shopee.co.id/AZARINE-Revitalizing-Anti-Aging-Serum-20ml-i.68111.7696762997", "https://shopee.co.id/AZARINE-Revitalizing-Anti-Aging-Serum-20ml-i.68111.7696762997")</f>
        <v>https://shopee.co.id/AZARINE-Revitalizing-Anti-Aging-Serum-20ml-i.68111.7696762997</v>
      </c>
      <c r="C2273" s="6" t="s">
        <v>233</v>
      </c>
      <c r="D2273" s="6" t="s">
        <v>441</v>
      </c>
      <c r="E2273" s="6" t="s">
        <v>12</v>
      </c>
      <c r="F2273" s="6" t="s">
        <v>13</v>
      </c>
      <c r="G2273" s="6" t="s">
        <v>130</v>
      </c>
      <c r="H2273" s="8" t="s">
        <v>3378</v>
      </c>
      <c r="I2273" s="9">
        <v>47500.0</v>
      </c>
      <c r="J2273" s="5" t="str">
        <f t="shared" ref="J2273:K2273" si="2273">SUBSTITUTE(H2273, ",", "")</f>
        <v>2</v>
      </c>
      <c r="K2273" s="5" t="str">
        <f t="shared" si="2273"/>
        <v>Rp47500</v>
      </c>
      <c r="L2273" s="5" t="str">
        <f t="shared" si="3"/>
        <v>47500</v>
      </c>
    </row>
    <row r="2274">
      <c r="A2274" s="6" t="s">
        <v>3482</v>
      </c>
      <c r="B2274" s="7" t="str">
        <f>HYPERLINK("https://shopee.co.id/Nu-Aroma-Tamanu-Oil-Natural-Serum-Wajah-Serum-Kulit-Serum-Rambut--i.262175945.4558891687", "https://shopee.co.id/Nu-Aroma-Tamanu-Oil-Natural-Serum-Wajah-Serum-Kulit-Serum-Rambut--i.262175945.4558891687")</f>
        <v>https://shopee.co.id/Nu-Aroma-Tamanu-Oil-Natural-Serum-Wajah-Serum-Kulit-Serum-Rambut--i.262175945.4558891687</v>
      </c>
      <c r="C2274" s="6" t="s">
        <v>940</v>
      </c>
      <c r="D2274" s="6" t="s">
        <v>2864</v>
      </c>
      <c r="E2274" s="6" t="s">
        <v>12</v>
      </c>
      <c r="F2274" s="6" t="s">
        <v>13</v>
      </c>
      <c r="G2274" s="6" t="s">
        <v>945</v>
      </c>
      <c r="H2274" s="8" t="s">
        <v>3378</v>
      </c>
      <c r="I2274" s="9">
        <v>42000.0</v>
      </c>
      <c r="J2274" s="5" t="str">
        <f t="shared" ref="J2274:K2274" si="2274">SUBSTITUTE(H2274, ",", "")</f>
        <v>2</v>
      </c>
      <c r="K2274" s="5" t="str">
        <f t="shared" si="2274"/>
        <v>Rp42000</v>
      </c>
      <c r="L2274" s="5" t="str">
        <f t="shared" si="3"/>
        <v>42000</v>
      </c>
    </row>
    <row r="2275">
      <c r="A2275" s="6" t="s">
        <v>3483</v>
      </c>
      <c r="B2275" s="7" t="str">
        <f>HYPERLINK("https://shopee.co.id/DeBiuryn-True-Vitamin-C-Serum-10ml-Serum-Wajah-Glowing-i.231437504.6732990797", "https://shopee.co.id/DeBiuryn-True-Vitamin-C-Serum-10ml-Serum-Wajah-Glowing-i.231437504.6732990797")</f>
        <v>https://shopee.co.id/DeBiuryn-True-Vitamin-C-Serum-10ml-Serum-Wajah-Glowing-i.231437504.6732990797</v>
      </c>
      <c r="C2275" s="6" t="s">
        <v>3484</v>
      </c>
      <c r="D2275" s="6" t="s">
        <v>3485</v>
      </c>
      <c r="E2275" s="6" t="s">
        <v>12</v>
      </c>
      <c r="F2275" s="6" t="s">
        <v>13</v>
      </c>
      <c r="G2275" s="6" t="s">
        <v>1480</v>
      </c>
      <c r="H2275" s="8" t="s">
        <v>3378</v>
      </c>
      <c r="I2275" s="9">
        <v>178000.0</v>
      </c>
      <c r="J2275" s="5" t="str">
        <f t="shared" ref="J2275:K2275" si="2275">SUBSTITUTE(H2275, ",", "")</f>
        <v>2</v>
      </c>
      <c r="K2275" s="5" t="str">
        <f t="shared" si="2275"/>
        <v>Rp178000</v>
      </c>
      <c r="L2275" s="5" t="str">
        <f t="shared" si="3"/>
        <v>178000</v>
      </c>
    </row>
    <row r="2276">
      <c r="A2276" s="6" t="s">
        <v>3486</v>
      </c>
      <c r="B2276" s="7" t="str">
        <f>HYPERLINK("https://shopee.co.id/-CO-RP-1K-Raiku-Anti-Aging-Serum-i.82041605.3879946476", "https://shopee.co.id/-CO-RP-1K-Raiku-Anti-Aging-Serum-i.82041605.3879946476")</f>
        <v>https://shopee.co.id/-CO-RP-1K-Raiku-Anti-Aging-Serum-i.82041605.3879946476</v>
      </c>
      <c r="C2276" s="6" t="s">
        <v>2281</v>
      </c>
      <c r="D2276" s="6" t="s">
        <v>2282</v>
      </c>
      <c r="E2276" s="6" t="s">
        <v>12</v>
      </c>
      <c r="F2276" s="6" t="s">
        <v>13</v>
      </c>
      <c r="G2276" s="6" t="s">
        <v>21</v>
      </c>
      <c r="H2276" s="8" t="s">
        <v>3378</v>
      </c>
      <c r="I2276" s="9">
        <v>620400.0</v>
      </c>
      <c r="J2276" s="5" t="str">
        <f t="shared" ref="J2276:K2276" si="2276">SUBSTITUTE(H2276, ",", "")</f>
        <v>2</v>
      </c>
      <c r="K2276" s="5" t="str">
        <f t="shared" si="2276"/>
        <v>Rp620400</v>
      </c>
      <c r="L2276" s="5" t="str">
        <f t="shared" si="3"/>
        <v>620400</v>
      </c>
    </row>
    <row r="2277">
      <c r="A2277" s="6" t="s">
        <v>3487</v>
      </c>
      <c r="B2277" s="7" t="str">
        <f>HYPERLINK("https://shopee.co.id/NOVEXPERT-BOOSTER-Serum-With-Hyaluronic-Acid-i.37242565.547762257", "https://shopee.co.id/NOVEXPERT-BOOSTER-Serum-With-Hyaluronic-Acid-i.37242565.547762257")</f>
        <v>https://shopee.co.id/NOVEXPERT-BOOSTER-Serum-With-Hyaluronic-Acid-i.37242565.547762257</v>
      </c>
      <c r="C2277" s="6" t="s">
        <v>2218</v>
      </c>
      <c r="D2277" s="6" t="s">
        <v>2157</v>
      </c>
      <c r="E2277" s="6" t="s">
        <v>12</v>
      </c>
      <c r="F2277" s="6" t="s">
        <v>13</v>
      </c>
      <c r="G2277" s="6" t="s">
        <v>98</v>
      </c>
      <c r="H2277" s="8" t="s">
        <v>3378</v>
      </c>
      <c r="I2277" s="9">
        <v>425600.0</v>
      </c>
      <c r="J2277" s="5" t="str">
        <f t="shared" ref="J2277:K2277" si="2277">SUBSTITUTE(H2277, ",", "")</f>
        <v>2</v>
      </c>
      <c r="K2277" s="5" t="str">
        <f t="shared" si="2277"/>
        <v>Rp425600</v>
      </c>
      <c r="L2277" s="5" t="str">
        <f t="shared" si="3"/>
        <v>425600</v>
      </c>
    </row>
    <row r="2278">
      <c r="A2278" s="6" t="s">
        <v>3488</v>
      </c>
      <c r="B2278" s="7" t="str">
        <f>HYPERLINK("https://shopee.co.id/NOVEXPERT-Booster-Serum-With-Hyaluronic-Acid-10ML-i.37242565.3562116286", "https://shopee.co.id/NOVEXPERT-Booster-Serum-With-Hyaluronic-Acid-10ML-i.37242565.3562116286")</f>
        <v>https://shopee.co.id/NOVEXPERT-Booster-Serum-With-Hyaluronic-Acid-10ML-i.37242565.3562116286</v>
      </c>
      <c r="C2278" s="6" t="s">
        <v>2218</v>
      </c>
      <c r="D2278" s="6" t="s">
        <v>2157</v>
      </c>
      <c r="E2278" s="6" t="s">
        <v>12</v>
      </c>
      <c r="F2278" s="6" t="s">
        <v>13</v>
      </c>
      <c r="G2278" s="6" t="s">
        <v>98</v>
      </c>
      <c r="H2278" s="8" t="s">
        <v>3378</v>
      </c>
      <c r="I2278" s="9">
        <v>470000.0</v>
      </c>
      <c r="J2278" s="5" t="str">
        <f t="shared" ref="J2278:K2278" si="2278">SUBSTITUTE(H2278, ",", "")</f>
        <v>2</v>
      </c>
      <c r="K2278" s="5" t="str">
        <f t="shared" si="2278"/>
        <v>Rp470000</v>
      </c>
      <c r="L2278" s="5" t="str">
        <f t="shared" si="3"/>
        <v>470000</v>
      </c>
    </row>
    <row r="2279">
      <c r="A2279" s="6" t="s">
        <v>3489</v>
      </c>
      <c r="B2279" s="7" t="str">
        <f>HYPERLINK("https://shopee.co.id/MSBB-Skin-Game-Skin-Barricade-Serum-30-gr-i.288588702.8442648256", "https://shopee.co.id/MSBB-Skin-Game-Skin-Barricade-Serum-30-gr-i.288588702.8442648256")</f>
        <v>https://shopee.co.id/MSBB-Skin-Game-Skin-Barricade-Serum-30-gr-i.288588702.8442648256</v>
      </c>
      <c r="C2279" s="6" t="s">
        <v>523</v>
      </c>
      <c r="D2279" s="6" t="s">
        <v>79</v>
      </c>
      <c r="E2279" s="6" t="s">
        <v>12</v>
      </c>
      <c r="F2279" s="6" t="s">
        <v>13</v>
      </c>
      <c r="G2279" s="6" t="s">
        <v>80</v>
      </c>
      <c r="H2279" s="8" t="s">
        <v>3378</v>
      </c>
      <c r="I2279" s="9">
        <v>669800.0</v>
      </c>
      <c r="J2279" s="5" t="str">
        <f t="shared" ref="J2279:K2279" si="2279">SUBSTITUTE(H2279, ",", "")</f>
        <v>2</v>
      </c>
      <c r="K2279" s="5" t="str">
        <f t="shared" si="2279"/>
        <v>Rp669800</v>
      </c>
      <c r="L2279" s="5" t="str">
        <f t="shared" si="3"/>
        <v>669800</v>
      </c>
    </row>
    <row r="2280">
      <c r="A2280" s="6" t="s">
        <v>3490</v>
      </c>
      <c r="B2280" s="7" t="str">
        <f>HYPERLINK("https://shopee.co.id/THE-POTIONS-Jojoba-Oil-Serum-20ml-i.379239733.6978464778", "https://shopee.co.id/THE-POTIONS-Jojoba-Oil-Serum-20ml-i.379239733.6978464778")</f>
        <v>https://shopee.co.id/THE-POTIONS-Jojoba-Oil-Serum-20ml-i.379239733.6978464778</v>
      </c>
      <c r="C2280" s="6" t="s">
        <v>2245</v>
      </c>
      <c r="D2280" s="6" t="s">
        <v>2246</v>
      </c>
      <c r="E2280" s="6" t="s">
        <v>12</v>
      </c>
      <c r="F2280" s="6" t="s">
        <v>13</v>
      </c>
      <c r="G2280" s="6" t="s">
        <v>130</v>
      </c>
      <c r="H2280" s="8" t="s">
        <v>3378</v>
      </c>
      <c r="I2280" s="9">
        <v>2382000.0</v>
      </c>
      <c r="J2280" s="5" t="str">
        <f t="shared" ref="J2280:K2280" si="2280">SUBSTITUTE(H2280, ",", "")</f>
        <v>2</v>
      </c>
      <c r="K2280" s="5" t="str">
        <f t="shared" si="2280"/>
        <v>Rp2382000</v>
      </c>
      <c r="L2280" s="5" t="str">
        <f t="shared" si="3"/>
        <v>2382000</v>
      </c>
    </row>
    <row r="2281">
      <c r="A2281" s="6" t="s">
        <v>3491</v>
      </c>
      <c r="B2281" s="7" t="str">
        <f>HYPERLINK("https://shopee.co.id/Vaseline-Healthy-Bright-Vitamin-Gel-Serum-Fresh-Glow-180-mL-i.65323877.5394509638", "https://shopee.co.id/Vaseline-Healthy-Bright-Vitamin-Gel-Serum-Fresh-Glow-180-mL-i.65323877.5394509638")</f>
        <v>https://shopee.co.id/Vaseline-Healthy-Bright-Vitamin-Gel-Serum-Fresh-Glow-180-mL-i.65323877.5394509638</v>
      </c>
      <c r="C2281" s="6" t="s">
        <v>883</v>
      </c>
      <c r="D2281" s="6" t="s">
        <v>1600</v>
      </c>
      <c r="E2281" s="6" t="s">
        <v>12</v>
      </c>
      <c r="F2281" s="6" t="s">
        <v>13</v>
      </c>
      <c r="G2281" s="6" t="s">
        <v>296</v>
      </c>
      <c r="H2281" s="8" t="s">
        <v>3378</v>
      </c>
      <c r="I2281" s="9">
        <v>345950.0</v>
      </c>
      <c r="J2281" s="5" t="str">
        <f t="shared" ref="J2281:K2281" si="2281">SUBSTITUTE(H2281, ",", "")</f>
        <v>2</v>
      </c>
      <c r="K2281" s="5" t="str">
        <f t="shared" si="2281"/>
        <v>Rp345950</v>
      </c>
      <c r="L2281" s="5" t="str">
        <f t="shared" si="3"/>
        <v>345950</v>
      </c>
    </row>
    <row r="2282">
      <c r="A2282" s="6" t="s">
        <v>3492</v>
      </c>
      <c r="B2282" s="7" t="str">
        <f>HYPERLINK("https://shopee.co.id/Dr-Ekles-Skincare-Serum-Vit-C-Kolagen-i.294944553.3158603425", "https://shopee.co.id/Dr-Ekles-Skincare-Serum-Vit-C-Kolagen-i.294944553.3158603425")</f>
        <v>https://shopee.co.id/Dr-Ekles-Skincare-Serum-Vit-C-Kolagen-i.294944553.3158603425</v>
      </c>
      <c r="C2282" s="6" t="s">
        <v>3493</v>
      </c>
      <c r="D2282" s="6" t="s">
        <v>1488</v>
      </c>
      <c r="E2282" s="6" t="s">
        <v>12</v>
      </c>
      <c r="F2282" s="6" t="s">
        <v>13</v>
      </c>
      <c r="G2282" s="6" t="s">
        <v>61</v>
      </c>
      <c r="H2282" s="8" t="s">
        <v>3378</v>
      </c>
      <c r="I2282" s="9">
        <v>405000.0</v>
      </c>
      <c r="J2282" s="5" t="str">
        <f t="shared" ref="J2282:K2282" si="2282">SUBSTITUTE(H2282, ",", "")</f>
        <v>2</v>
      </c>
      <c r="K2282" s="5" t="str">
        <f t="shared" si="2282"/>
        <v>Rp405000</v>
      </c>
      <c r="L2282" s="5" t="str">
        <f t="shared" si="3"/>
        <v>405000</v>
      </c>
    </row>
    <row r="2283">
      <c r="A2283" s="6" t="s">
        <v>3494</v>
      </c>
      <c r="B2283" s="7" t="str">
        <f>HYPERLINK("https://shopee.co.id/-READY-STOCK-BIOAQUA-serum-wajah-24K-Gold-Essence-Cream-Original-50g-BPOM-i.297682305.12715466237", "https://shopee.co.id/-READY-STOCK-BIOAQUA-serum-wajah-24K-Gold-Essence-Cream-Original-50g-BPOM-i.297682305.12715466237")</f>
        <v>https://shopee.co.id/-READY-STOCK-BIOAQUA-serum-wajah-24K-Gold-Essence-Cream-Original-50g-BPOM-i.297682305.12715466237</v>
      </c>
      <c r="C2283" s="6" t="s">
        <v>3446</v>
      </c>
      <c r="D2283" s="6" t="s">
        <v>1745</v>
      </c>
      <c r="E2283" s="6" t="s">
        <v>12</v>
      </c>
      <c r="F2283" s="6" t="s">
        <v>13</v>
      </c>
      <c r="G2283" s="6" t="s">
        <v>61</v>
      </c>
      <c r="H2283" s="8" t="s">
        <v>3378</v>
      </c>
      <c r="I2283" s="9">
        <v>232000.0</v>
      </c>
      <c r="J2283" s="5" t="str">
        <f t="shared" ref="J2283:K2283" si="2283">SUBSTITUTE(H2283, ",", "")</f>
        <v>2</v>
      </c>
      <c r="K2283" s="5" t="str">
        <f t="shared" si="2283"/>
        <v>Rp232000</v>
      </c>
      <c r="L2283" s="5" t="str">
        <f t="shared" si="3"/>
        <v>232000</v>
      </c>
    </row>
    <row r="2284">
      <c r="A2284" s="6" t="s">
        <v>3495</v>
      </c>
      <c r="B2284" s="7" t="str">
        <f>HYPERLINK("https://shopee.co.id/Bio-Essence-Bio-Water-Moist-in-Water-Lotion-150ml-i.186214521.6131717150", "https://shopee.co.id/Bio-Essence-Bio-Water-Moist-in-Water-Lotion-150ml-i.186214521.6131717150")</f>
        <v>https://shopee.co.id/Bio-Essence-Bio-Water-Moist-in-Water-Lotion-150ml-i.186214521.6131717150</v>
      </c>
      <c r="C2284" s="6" t="s">
        <v>2240</v>
      </c>
      <c r="D2284" s="6" t="s">
        <v>2293</v>
      </c>
      <c r="E2284" s="6" t="s">
        <v>12</v>
      </c>
      <c r="F2284" s="6" t="s">
        <v>13</v>
      </c>
      <c r="G2284" s="6" t="s">
        <v>61</v>
      </c>
      <c r="H2284" s="8" t="s">
        <v>3378</v>
      </c>
      <c r="I2284" s="9">
        <v>397100.0</v>
      </c>
      <c r="J2284" s="5" t="str">
        <f t="shared" ref="J2284:K2284" si="2284">SUBSTITUTE(H2284, ",", "")</f>
        <v>2</v>
      </c>
      <c r="K2284" s="5" t="str">
        <f t="shared" si="2284"/>
        <v>Rp397100</v>
      </c>
      <c r="L2284" s="5" t="str">
        <f t="shared" si="3"/>
        <v>397100</v>
      </c>
    </row>
    <row r="2285">
      <c r="A2285" s="6" t="s">
        <v>3496</v>
      </c>
      <c r="B2285" s="7" t="str">
        <f>HYPERLINK("https://shopee.co.id/Skin-Game-Theory-Of-Everything-Essence-100ml-i.136011044.8720380712", "https://shopee.co.id/Skin-Game-Theory-Of-Everything-Essence-100ml-i.136011044.8720380712")</f>
        <v>https://shopee.co.id/Skin-Game-Theory-Of-Everything-Essence-100ml-i.136011044.8720380712</v>
      </c>
      <c r="C2285" s="6" t="s">
        <v>523</v>
      </c>
      <c r="D2285" s="6" t="s">
        <v>632</v>
      </c>
      <c r="E2285" s="6" t="s">
        <v>12</v>
      </c>
      <c r="F2285" s="6" t="s">
        <v>13</v>
      </c>
      <c r="G2285" s="6" t="s">
        <v>21</v>
      </c>
      <c r="H2285" s="8" t="s">
        <v>3378</v>
      </c>
      <c r="I2285" s="9">
        <v>250000.0</v>
      </c>
      <c r="J2285" s="5" t="str">
        <f t="shared" ref="J2285:K2285" si="2285">SUBSTITUTE(H2285, ",", "")</f>
        <v>2</v>
      </c>
      <c r="K2285" s="5" t="str">
        <f t="shared" si="2285"/>
        <v>Rp250000</v>
      </c>
      <c r="L2285" s="5" t="str">
        <f t="shared" si="3"/>
        <v>250000</v>
      </c>
    </row>
    <row r="2286">
      <c r="A2286" s="6" t="s">
        <v>3497</v>
      </c>
      <c r="B2286" s="7" t="str">
        <f>HYPERLINK("https://shopee.co.id/BREYLEE-Serum-Retinol-Lifting-Anti-aging-17ml-i.68111.8453348053", "https://shopee.co.id/BREYLEE-Serum-Retinol-Lifting-Anti-aging-17ml-i.68111.8453348053")</f>
        <v>https://shopee.co.id/BREYLEE-Serum-Retinol-Lifting-Anti-aging-17ml-i.68111.8453348053</v>
      </c>
      <c r="C2286" s="6" t="s">
        <v>852</v>
      </c>
      <c r="D2286" s="6" t="s">
        <v>441</v>
      </c>
      <c r="E2286" s="6" t="s">
        <v>12</v>
      </c>
      <c r="F2286" s="6" t="s">
        <v>13</v>
      </c>
      <c r="G2286" s="6" t="s">
        <v>130</v>
      </c>
      <c r="H2286" s="8" t="s">
        <v>3378</v>
      </c>
      <c r="I2286" s="9">
        <v>180000.0</v>
      </c>
      <c r="J2286" s="5" t="str">
        <f t="shared" ref="J2286:K2286" si="2286">SUBSTITUTE(H2286, ",", "")</f>
        <v>2</v>
      </c>
      <c r="K2286" s="5" t="str">
        <f t="shared" si="2286"/>
        <v>Rp180000</v>
      </c>
      <c r="L2286" s="5" t="str">
        <f t="shared" si="3"/>
        <v>180000</v>
      </c>
    </row>
    <row r="2287">
      <c r="A2287" s="6" t="s">
        <v>3498</v>
      </c>
      <c r="B2287" s="7" t="str">
        <f>HYPERLINK("https://shopee.co.id/ISOI-Blemish-Care-Tonic-Essence-8ml-i.240712269.9714804291", "https://shopee.co.id/ISOI-Blemish-Care-Tonic-Essence-8ml-i.240712269.9714804291")</f>
        <v>https://shopee.co.id/ISOI-Blemish-Care-Tonic-Essence-8ml-i.240712269.9714804291</v>
      </c>
      <c r="C2287" s="6" t="s">
        <v>3499</v>
      </c>
      <c r="D2287" s="6" t="s">
        <v>762</v>
      </c>
      <c r="E2287" s="6" t="s">
        <v>12</v>
      </c>
      <c r="F2287" s="6" t="s">
        <v>13</v>
      </c>
      <c r="G2287" s="6" t="s">
        <v>98</v>
      </c>
      <c r="H2287" s="8" t="s">
        <v>3378</v>
      </c>
      <c r="I2287" s="9">
        <v>238000.0</v>
      </c>
      <c r="J2287" s="5" t="str">
        <f t="shared" ref="J2287:K2287" si="2287">SUBSTITUTE(H2287, ",", "")</f>
        <v>2</v>
      </c>
      <c r="K2287" s="5" t="str">
        <f t="shared" si="2287"/>
        <v>Rp238000</v>
      </c>
      <c r="L2287" s="5" t="str">
        <f t="shared" si="3"/>
        <v>238000</v>
      </c>
    </row>
    <row r="2288">
      <c r="A2288" s="6" t="s">
        <v>3500</v>
      </c>
      <c r="B2288" s="7" t="str">
        <f>HYPERLINK("https://shopee.co.id/Aesthetic-Bluepin-Acnelogica-Night-Cream-AHA-BHA-Peeling-Solution-i.54874680.6196801135", "https://shopee.co.id/Aesthetic-Bluepin-Acnelogica-Night-Cream-AHA-BHA-Peeling-Solution-i.54874680.6196801135")</f>
        <v>https://shopee.co.id/Aesthetic-Bluepin-Acnelogica-Night-Cream-AHA-BHA-Peeling-Solution-i.54874680.6196801135</v>
      </c>
      <c r="C2288" s="6" t="s">
        <v>2026</v>
      </c>
      <c r="D2288" s="6" t="s">
        <v>1425</v>
      </c>
      <c r="E2288" s="6" t="s">
        <v>12</v>
      </c>
      <c r="F2288" s="6" t="s">
        <v>13</v>
      </c>
      <c r="G2288" s="6" t="s">
        <v>80</v>
      </c>
      <c r="H2288" s="8" t="s">
        <v>3378</v>
      </c>
      <c r="I2288" s="9">
        <v>100000.0</v>
      </c>
      <c r="J2288" s="5" t="str">
        <f t="shared" ref="J2288:K2288" si="2288">SUBSTITUTE(H2288, ",", "")</f>
        <v>2</v>
      </c>
      <c r="K2288" s="5" t="str">
        <f t="shared" si="2288"/>
        <v>Rp100000</v>
      </c>
      <c r="L2288" s="5" t="str">
        <f t="shared" si="3"/>
        <v>100000</v>
      </c>
    </row>
    <row r="2289">
      <c r="A2289" s="6" t="s">
        <v>3501</v>
      </c>
      <c r="B2289" s="7" t="str">
        <f>HYPERLINK("https://shopee.co.id/Wardah-Lightening-Facial-Serum-5x5-ml-i.24819895.6410556898", "https://shopee.co.id/Wardah-Lightening-Facial-Serum-5x5-ml-i.24819895.6410556898")</f>
        <v>https://shopee.co.id/Wardah-Lightening-Facial-Serum-5x5-ml-i.24819895.6410556898</v>
      </c>
      <c r="C2289" s="6" t="s">
        <v>169</v>
      </c>
      <c r="D2289" s="6" t="s">
        <v>2491</v>
      </c>
      <c r="E2289" s="6" t="s">
        <v>12</v>
      </c>
      <c r="F2289" s="6" t="s">
        <v>13</v>
      </c>
      <c r="G2289" s="6" t="s">
        <v>1085</v>
      </c>
      <c r="H2289" s="8" t="s">
        <v>3378</v>
      </c>
      <c r="I2289" s="9">
        <v>5300000.0</v>
      </c>
      <c r="J2289" s="5" t="str">
        <f t="shared" ref="J2289:K2289" si="2289">SUBSTITUTE(H2289, ",", "")</f>
        <v>2</v>
      </c>
      <c r="K2289" s="5" t="str">
        <f t="shared" si="2289"/>
        <v>Rp5300000</v>
      </c>
      <c r="L2289" s="5" t="str">
        <f t="shared" si="3"/>
        <v>5300000</v>
      </c>
    </row>
    <row r="2290">
      <c r="A2290" s="6" t="s">
        <v>3502</v>
      </c>
      <c r="B2290" s="7" t="str">
        <f>HYPERLINK("https://shopee.co.id/LA-TULIPE-Acne-Care-Serum-i.187117294.4042225132", "https://shopee.co.id/LA-TULIPE-Acne-Care-Serum-i.187117294.4042225132")</f>
        <v>https://shopee.co.id/LA-TULIPE-Acne-Care-Serum-i.187117294.4042225132</v>
      </c>
      <c r="C2290" s="6" t="s">
        <v>1761</v>
      </c>
      <c r="D2290" s="6" t="s">
        <v>2366</v>
      </c>
      <c r="E2290" s="6" t="s">
        <v>12</v>
      </c>
      <c r="F2290" s="6" t="s">
        <v>13</v>
      </c>
      <c r="G2290" s="6" t="s">
        <v>469</v>
      </c>
      <c r="H2290" s="8" t="s">
        <v>3378</v>
      </c>
      <c r="I2290" s="9">
        <v>1100000.0</v>
      </c>
      <c r="J2290" s="5" t="str">
        <f t="shared" ref="J2290:K2290" si="2290">SUBSTITUTE(H2290, ",", "")</f>
        <v>2</v>
      </c>
      <c r="K2290" s="5" t="str">
        <f t="shared" si="2290"/>
        <v>Rp1100000</v>
      </c>
      <c r="L2290" s="5" t="str">
        <f t="shared" si="3"/>
        <v>1100000</v>
      </c>
    </row>
    <row r="2291">
      <c r="A2291" s="6" t="s">
        <v>3503</v>
      </c>
      <c r="B2291" s="7" t="str">
        <f>HYPERLINK("https://shopee.co.id/BeautieSS-Age-Delay-Illuminating-Serum-X-Okky-Asokawati-i.48098269.8667905654", "https://shopee.co.id/BeautieSS-Age-Delay-Illuminating-Serum-X-Okky-Asokawati-i.48098269.8667905654")</f>
        <v>https://shopee.co.id/BeautieSS-Age-Delay-Illuminating-Serum-X-Okky-Asokawati-i.48098269.8667905654</v>
      </c>
      <c r="C2291" s="6" t="s">
        <v>3165</v>
      </c>
      <c r="D2291" s="6" t="s">
        <v>3166</v>
      </c>
      <c r="E2291" s="6" t="s">
        <v>12</v>
      </c>
      <c r="F2291" s="6" t="s">
        <v>13</v>
      </c>
      <c r="G2291" s="6" t="s">
        <v>241</v>
      </c>
      <c r="H2291" s="8" t="s">
        <v>3378</v>
      </c>
      <c r="I2291" s="9">
        <v>150000.0</v>
      </c>
      <c r="J2291" s="5" t="str">
        <f t="shared" ref="J2291:K2291" si="2291">SUBSTITUTE(H2291, ",", "")</f>
        <v>2</v>
      </c>
      <c r="K2291" s="5" t="str">
        <f t="shared" si="2291"/>
        <v>Rp150000</v>
      </c>
      <c r="L2291" s="5" t="str">
        <f t="shared" si="3"/>
        <v>150000</v>
      </c>
    </row>
    <row r="2292">
      <c r="A2292" s="6" t="s">
        <v>3504</v>
      </c>
      <c r="B2292" s="7" t="str">
        <f>HYPERLINK("https://shopee.co.id/Pureheals-Propolis-Ampoule-size-30-ml-Edit-by-Sociolla--i.224957239.11435731564", "https://shopee.co.id/Pureheals-Propolis-Ampoule-size-30-ml-Edit-by-Sociolla--i.224957239.11435731564")</f>
        <v>https://shopee.co.id/Pureheals-Propolis-Ampoule-size-30-ml-Edit-by-Sociolla--i.224957239.11435731564</v>
      </c>
      <c r="C2292" s="6" t="s">
        <v>3505</v>
      </c>
      <c r="D2292" s="6" t="s">
        <v>492</v>
      </c>
      <c r="E2292" s="6" t="s">
        <v>12</v>
      </c>
      <c r="F2292" s="6" t="s">
        <v>13</v>
      </c>
      <c r="G2292" s="6" t="s">
        <v>21</v>
      </c>
      <c r="H2292" s="8" t="s">
        <v>3378</v>
      </c>
      <c r="I2292" s="9">
        <v>159000.0</v>
      </c>
      <c r="J2292" s="5" t="str">
        <f t="shared" ref="J2292:K2292" si="2292">SUBSTITUTE(H2292, ",", "")</f>
        <v>2</v>
      </c>
      <c r="K2292" s="5" t="str">
        <f t="shared" si="2292"/>
        <v>Rp159000</v>
      </c>
      <c r="L2292" s="5" t="str">
        <f t="shared" si="3"/>
        <v>159000</v>
      </c>
    </row>
    <row r="2293">
      <c r="A2293" s="6" t="s">
        <v>3506</v>
      </c>
      <c r="B2293" s="7" t="str">
        <f>HYPERLINK("https://shopee.co.id/MSBB-Purivera-Blue-Grapeseed-Serum-Oil-Anti-Acne-Jerawat-Bakuchiol-As-Salicylic-Acid-2--i.288588702.2974013098", "https://shopee.co.id/MSBB-Purivera-Blue-Grapeseed-Serum-Oil-Anti-Acne-Jerawat-Bakuchiol-As-Salicylic-Acid-2--i.288588702.2974013098")</f>
        <v>https://shopee.co.id/MSBB-Purivera-Blue-Grapeseed-Serum-Oil-Anti-Acne-Jerawat-Bakuchiol-As-Salicylic-Acid-2--i.288588702.2974013098</v>
      </c>
      <c r="C2293" s="6" t="s">
        <v>428</v>
      </c>
      <c r="D2293" s="6" t="s">
        <v>79</v>
      </c>
      <c r="E2293" s="6" t="s">
        <v>12</v>
      </c>
      <c r="F2293" s="6" t="s">
        <v>13</v>
      </c>
      <c r="G2293" s="6" t="s">
        <v>80</v>
      </c>
      <c r="H2293" s="8" t="s">
        <v>3378</v>
      </c>
      <c r="I2293" s="9">
        <v>150000.0</v>
      </c>
      <c r="J2293" s="5" t="str">
        <f t="shared" ref="J2293:K2293" si="2293">SUBSTITUTE(H2293, ",", "")</f>
        <v>2</v>
      </c>
      <c r="K2293" s="5" t="str">
        <f t="shared" si="2293"/>
        <v>Rp150000</v>
      </c>
      <c r="L2293" s="5" t="str">
        <f t="shared" si="3"/>
        <v>150000</v>
      </c>
    </row>
    <row r="2294">
      <c r="A2294" s="6" t="s">
        <v>3507</v>
      </c>
      <c r="B2294" s="7" t="str">
        <f>HYPERLINK("https://shopee.co.id/Dear-Me-Beauty-10-Cica-Watermelon-Extract-Face-Serum-i.270965687.11706240663", "https://shopee.co.id/Dear-Me-Beauty-10-Cica-Watermelon-Extract-Face-Serum-i.270965687.11706240663")</f>
        <v>https://shopee.co.id/Dear-Me-Beauty-10-Cica-Watermelon-Extract-Face-Serum-i.270965687.11706240663</v>
      </c>
      <c r="C2294" s="6" t="s">
        <v>70</v>
      </c>
      <c r="D2294" s="6" t="s">
        <v>379</v>
      </c>
      <c r="E2294" s="6" t="s">
        <v>12</v>
      </c>
      <c r="F2294" s="6" t="s">
        <v>13</v>
      </c>
      <c r="G2294" s="6" t="s">
        <v>380</v>
      </c>
      <c r="H2294" s="8" t="s">
        <v>3378</v>
      </c>
      <c r="I2294" s="9">
        <v>810000.0</v>
      </c>
      <c r="J2294" s="5" t="str">
        <f t="shared" ref="J2294:K2294" si="2294">SUBSTITUTE(H2294, ",", "")</f>
        <v>2</v>
      </c>
      <c r="K2294" s="5" t="str">
        <f t="shared" si="2294"/>
        <v>Rp810000</v>
      </c>
      <c r="L2294" s="5" t="str">
        <f t="shared" si="3"/>
        <v>810000</v>
      </c>
    </row>
    <row r="2295">
      <c r="A2295" s="6" t="s">
        <v>3508</v>
      </c>
      <c r="B2295" s="7" t="str">
        <f>HYPERLINK("https://shopee.co.id/Skin-Game-Spot-Guard-Serum-30ml-i.825870.9246210883", "https://shopee.co.id/Skin-Game-Spot-Guard-Serum-30ml-i.825870.9246210883")</f>
        <v>https://shopee.co.id/Skin-Game-Spot-Guard-Serum-30ml-i.825870.9246210883</v>
      </c>
      <c r="C2295" s="6" t="s">
        <v>523</v>
      </c>
      <c r="D2295" s="6" t="s">
        <v>1184</v>
      </c>
      <c r="E2295" s="6" t="s">
        <v>12</v>
      </c>
      <c r="F2295" s="6" t="s">
        <v>13</v>
      </c>
      <c r="G2295" s="6" t="s">
        <v>21</v>
      </c>
      <c r="H2295" s="8" t="s">
        <v>3378</v>
      </c>
      <c r="I2295" s="9">
        <v>218000.0</v>
      </c>
      <c r="J2295" s="5" t="str">
        <f t="shared" ref="J2295:K2295" si="2295">SUBSTITUTE(H2295, ",", "")</f>
        <v>2</v>
      </c>
      <c r="K2295" s="5" t="str">
        <f t="shared" si="2295"/>
        <v>Rp218000</v>
      </c>
      <c r="L2295" s="5" t="str">
        <f t="shared" si="3"/>
        <v>218000</v>
      </c>
    </row>
    <row r="2296">
      <c r="A2296" s="6" t="s">
        <v>3509</v>
      </c>
      <c r="B2296" s="7" t="str">
        <f>HYPERLINK("https://shopee.co.id/THE-BATH-BOX-Brassica-Facial-Serum-i.68111.8617925423", "https://shopee.co.id/THE-BATH-BOX-Brassica-Facial-Serum-i.68111.8617925423")</f>
        <v>https://shopee.co.id/THE-BATH-BOX-Brassica-Facial-Serum-i.68111.8617925423</v>
      </c>
      <c r="C2296" s="6" t="s">
        <v>613</v>
      </c>
      <c r="D2296" s="6" t="s">
        <v>441</v>
      </c>
      <c r="E2296" s="6" t="s">
        <v>12</v>
      </c>
      <c r="F2296" s="6" t="s">
        <v>13</v>
      </c>
      <c r="G2296" s="6" t="s">
        <v>130</v>
      </c>
      <c r="H2296" s="8" t="s">
        <v>3378</v>
      </c>
      <c r="I2296" s="9">
        <v>594200.0</v>
      </c>
      <c r="J2296" s="5" t="str">
        <f t="shared" ref="J2296:K2296" si="2296">SUBSTITUTE(H2296, ",", "")</f>
        <v>2</v>
      </c>
      <c r="K2296" s="5" t="str">
        <f t="shared" si="2296"/>
        <v>Rp594200</v>
      </c>
      <c r="L2296" s="5" t="str">
        <f t="shared" si="3"/>
        <v>594200</v>
      </c>
    </row>
    <row r="2297">
      <c r="A2297" s="6" t="s">
        <v>3510</v>
      </c>
      <c r="B2297" s="7" t="str">
        <f>HYPERLINK("https://shopee.co.id/Azarine-Easy-White-Herbal-Moisturizer-Serum-20ml-i.825870.4055450265", "https://shopee.co.id/Azarine-Easy-White-Herbal-Moisturizer-Serum-20ml-i.825870.4055450265")</f>
        <v>https://shopee.co.id/Azarine-Easy-White-Herbal-Moisturizer-Serum-20ml-i.825870.4055450265</v>
      </c>
      <c r="C2297" s="6" t="s">
        <v>233</v>
      </c>
      <c r="D2297" s="6" t="s">
        <v>1184</v>
      </c>
      <c r="E2297" s="6" t="s">
        <v>12</v>
      </c>
      <c r="F2297" s="6" t="s">
        <v>13</v>
      </c>
      <c r="G2297" s="6" t="s">
        <v>21</v>
      </c>
      <c r="H2297" s="8" t="s">
        <v>3378</v>
      </c>
      <c r="I2297" s="9">
        <v>395000.0</v>
      </c>
      <c r="J2297" s="5" t="str">
        <f t="shared" ref="J2297:K2297" si="2297">SUBSTITUTE(H2297, ",", "")</f>
        <v>2</v>
      </c>
      <c r="K2297" s="5" t="str">
        <f t="shared" si="2297"/>
        <v>Rp395000</v>
      </c>
      <c r="L2297" s="5" t="str">
        <f t="shared" si="3"/>
        <v>395000</v>
      </c>
    </row>
    <row r="2298">
      <c r="A2298" s="6" t="s">
        <v>3511</v>
      </c>
      <c r="B2298" s="7" t="str">
        <f>HYPERLINK("https://shopee.co.id/FABIL-Plumping-Acne-Care-Serum-20ml-i.3990192.6341599860", "https://shopee.co.id/FABIL-Plumping-Acne-Care-Serum-20ml-i.3990192.6341599860")</f>
        <v>https://shopee.co.id/FABIL-Plumping-Acne-Care-Serum-20ml-i.3990192.6341599860</v>
      </c>
      <c r="C2298" s="6" t="s">
        <v>2579</v>
      </c>
      <c r="D2298" s="6" t="s">
        <v>2580</v>
      </c>
      <c r="E2298" s="6" t="s">
        <v>12</v>
      </c>
      <c r="F2298" s="6" t="s">
        <v>13</v>
      </c>
      <c r="G2298" s="6" t="s">
        <v>1085</v>
      </c>
      <c r="H2298" s="8" t="s">
        <v>3378</v>
      </c>
      <c r="I2298" s="9">
        <v>398000.0</v>
      </c>
      <c r="J2298" s="5" t="str">
        <f t="shared" ref="J2298:K2298" si="2298">SUBSTITUTE(H2298, ",", "")</f>
        <v>2</v>
      </c>
      <c r="K2298" s="5" t="str">
        <f t="shared" si="2298"/>
        <v>Rp398000</v>
      </c>
      <c r="L2298" s="5" t="str">
        <f t="shared" si="3"/>
        <v>398000</v>
      </c>
    </row>
    <row r="2299">
      <c r="A2299" s="6" t="s">
        <v>3512</v>
      </c>
      <c r="B2299" s="7" t="str">
        <f>HYPERLINK("https://shopee.co.id/-Isi-3-Hanasui-Serum-Gold-Whitening-20ml-i.114789399.7616048254", "https://shopee.co.id/-Isi-3-Hanasui-Serum-Gold-Whitening-20ml-i.114789399.7616048254")</f>
        <v>https://shopee.co.id/-Isi-3-Hanasui-Serum-Gold-Whitening-20ml-i.114789399.7616048254</v>
      </c>
      <c r="C2299" s="6" t="s">
        <v>784</v>
      </c>
      <c r="D2299" s="6" t="s">
        <v>2531</v>
      </c>
      <c r="E2299" s="6" t="s">
        <v>12</v>
      </c>
      <c r="F2299" s="6" t="s">
        <v>13</v>
      </c>
      <c r="G2299" s="6" t="s">
        <v>36</v>
      </c>
      <c r="H2299" s="8" t="s">
        <v>3378</v>
      </c>
      <c r="I2299" s="9">
        <v>560000.0</v>
      </c>
      <c r="J2299" s="5" t="str">
        <f t="shared" ref="J2299:K2299" si="2299">SUBSTITUTE(H2299, ",", "")</f>
        <v>2</v>
      </c>
      <c r="K2299" s="5" t="str">
        <f t="shared" si="2299"/>
        <v>Rp560000</v>
      </c>
      <c r="L2299" s="5" t="str">
        <f t="shared" si="3"/>
        <v>560000</v>
      </c>
    </row>
    <row r="2300">
      <c r="A2300" s="6" t="s">
        <v>3513</v>
      </c>
      <c r="B2300" s="7" t="str">
        <f>HYPERLINK("https://shopee.co.id/Dove-Deodorant-Dry-Serum-Regenerate-Care-50-mL-i.65323877.10918290167", "https://shopee.co.id/Dove-Deodorant-Dry-Serum-Regenerate-Care-50-mL-i.65323877.10918290167")</f>
        <v>https://shopee.co.id/Dove-Deodorant-Dry-Serum-Regenerate-Care-50-mL-i.65323877.10918290167</v>
      </c>
      <c r="C2300" s="6" t="s">
        <v>591</v>
      </c>
      <c r="D2300" s="6" t="s">
        <v>1600</v>
      </c>
      <c r="E2300" s="6" t="s">
        <v>12</v>
      </c>
      <c r="F2300" s="6" t="s">
        <v>13</v>
      </c>
      <c r="G2300" s="6" t="s">
        <v>296</v>
      </c>
      <c r="H2300" s="8" t="s">
        <v>3378</v>
      </c>
      <c r="I2300" s="9">
        <v>112000.0</v>
      </c>
      <c r="J2300" s="5" t="str">
        <f t="shared" ref="J2300:K2300" si="2300">SUBSTITUTE(H2300, ",", "")</f>
        <v>2</v>
      </c>
      <c r="K2300" s="5" t="str">
        <f t="shared" si="2300"/>
        <v>Rp112000</v>
      </c>
      <c r="L2300" s="5" t="str">
        <f t="shared" si="3"/>
        <v>112000</v>
      </c>
    </row>
    <row r="2301">
      <c r="A2301" s="6" t="s">
        <v>3514</v>
      </c>
      <c r="B2301" s="7" t="str">
        <f>HYPERLINK("https://shopee.co.id/iUNIK-Beta-Glucan-Power-Moisture-Serum-15ml-i.270765534.11407485238", "https://shopee.co.id/iUNIK-Beta-Glucan-Power-Moisture-Serum-15ml-i.270765534.11407485238")</f>
        <v>https://shopee.co.id/iUNIK-Beta-Glucan-Power-Moisture-Serum-15ml-i.270765534.11407485238</v>
      </c>
      <c r="C2301" s="6" t="s">
        <v>1658</v>
      </c>
      <c r="D2301" s="6" t="s">
        <v>1659</v>
      </c>
      <c r="E2301" s="6" t="s">
        <v>12</v>
      </c>
      <c r="F2301" s="6" t="s">
        <v>13</v>
      </c>
      <c r="G2301" s="6" t="s">
        <v>21</v>
      </c>
      <c r="H2301" s="8" t="s">
        <v>3378</v>
      </c>
      <c r="I2301" s="9">
        <v>212500.0</v>
      </c>
      <c r="J2301" s="5" t="str">
        <f t="shared" ref="J2301:K2301" si="2301">SUBSTITUTE(H2301, ",", "")</f>
        <v>2</v>
      </c>
      <c r="K2301" s="5" t="str">
        <f t="shared" si="2301"/>
        <v>Rp212500</v>
      </c>
      <c r="L2301" s="5" t="str">
        <f t="shared" si="3"/>
        <v>212500</v>
      </c>
    </row>
    <row r="2302">
      <c r="A2302" s="6" t="s">
        <v>3515</v>
      </c>
      <c r="B2302" s="7" t="str">
        <f>HYPERLINK("https://shopee.co.id/DeBiuryn-Glow-9-9-SUPER-SERUM-20ml-Spot-Hitam-dan-Kulit-Kusam-i.231437504.5966591417", "https://shopee.co.id/DeBiuryn-Glow-9-9-SUPER-SERUM-20ml-Spot-Hitam-dan-Kulit-Kusam-i.231437504.5966591417")</f>
        <v>https://shopee.co.id/DeBiuryn-Glow-9-9-SUPER-SERUM-20ml-Spot-Hitam-dan-Kulit-Kusam-i.231437504.5966591417</v>
      </c>
      <c r="C2302" s="6" t="s">
        <v>3484</v>
      </c>
      <c r="D2302" s="6" t="s">
        <v>3485</v>
      </c>
      <c r="E2302" s="6" t="s">
        <v>12</v>
      </c>
      <c r="F2302" s="6" t="s">
        <v>13</v>
      </c>
      <c r="G2302" s="6" t="s">
        <v>1480</v>
      </c>
      <c r="H2302" s="8" t="s">
        <v>3378</v>
      </c>
      <c r="I2302" s="9">
        <v>218000.0</v>
      </c>
      <c r="J2302" s="5" t="str">
        <f t="shared" ref="J2302:K2302" si="2302">SUBSTITUTE(H2302, ",", "")</f>
        <v>2</v>
      </c>
      <c r="K2302" s="5" t="str">
        <f t="shared" si="2302"/>
        <v>Rp218000</v>
      </c>
      <c r="L2302" s="5" t="str">
        <f t="shared" si="3"/>
        <v>218000</v>
      </c>
    </row>
    <row r="2303">
      <c r="A2303" s="6" t="s">
        <v>3516</v>
      </c>
      <c r="B2303" s="7" t="str">
        <f>HYPERLINK("https://shopee.co.id/Bio-Beauty-Lab-Phyto-Power-Essence-i.17081863.11107235694", "https://shopee.co.id/Bio-Beauty-Lab-Phyto-Power-Essence-i.17081863.11107235694")</f>
        <v>https://shopee.co.id/Bio-Beauty-Lab-Phyto-Power-Essence-i.17081863.11107235694</v>
      </c>
      <c r="C2303" s="6" t="s">
        <v>120</v>
      </c>
      <c r="D2303" s="6" t="s">
        <v>2497</v>
      </c>
      <c r="E2303" s="6" t="s">
        <v>12</v>
      </c>
      <c r="F2303" s="6" t="s">
        <v>13</v>
      </c>
      <c r="G2303" s="6" t="s">
        <v>21</v>
      </c>
      <c r="H2303" s="8" t="s">
        <v>3378</v>
      </c>
      <c r="I2303" s="9">
        <v>206250.0</v>
      </c>
      <c r="J2303" s="5" t="str">
        <f t="shared" ref="J2303:K2303" si="2303">SUBSTITUTE(H2303, ",", "")</f>
        <v>2</v>
      </c>
      <c r="K2303" s="5" t="str">
        <f t="shared" si="2303"/>
        <v>Rp206250</v>
      </c>
      <c r="L2303" s="5" t="str">
        <f t="shared" si="3"/>
        <v>206250</v>
      </c>
    </row>
    <row r="2304">
      <c r="A2304" s="6" t="s">
        <v>3187</v>
      </c>
      <c r="B2304" s="7" t="str">
        <f>HYPERLINK("https://shopee.co.id/Bio-Beauty-Lab-Phyto-Power-Essence-50ml-i.10689.10210949971", "https://shopee.co.id/Bio-Beauty-Lab-Phyto-Power-Essence-50ml-i.10689.10210949971")</f>
        <v>https://shopee.co.id/Bio-Beauty-Lab-Phyto-Power-Essence-50ml-i.10689.10210949971</v>
      </c>
      <c r="C2304" s="6" t="s">
        <v>120</v>
      </c>
      <c r="D2304" s="6" t="s">
        <v>745</v>
      </c>
      <c r="E2304" s="6" t="s">
        <v>12</v>
      </c>
      <c r="F2304" s="6" t="s">
        <v>13</v>
      </c>
      <c r="G2304" s="6" t="s">
        <v>61</v>
      </c>
      <c r="H2304" s="8" t="s">
        <v>3378</v>
      </c>
      <c r="I2304" s="9">
        <v>395000.0</v>
      </c>
      <c r="J2304" s="5" t="str">
        <f t="shared" ref="J2304:K2304" si="2304">SUBSTITUTE(H2304, ",", "")</f>
        <v>2</v>
      </c>
      <c r="K2304" s="5" t="str">
        <f t="shared" si="2304"/>
        <v>Rp395000</v>
      </c>
      <c r="L2304" s="5" t="str">
        <f t="shared" si="3"/>
        <v>395000</v>
      </c>
    </row>
    <row r="2305">
      <c r="A2305" s="6" t="s">
        <v>3517</v>
      </c>
      <c r="B2305" s="7" t="str">
        <f>HYPERLINK("https://shopee.co.id/Byecom-Honey-Glow-Ampoule-30ml-i.825870.4546824242", "https://shopee.co.id/Byecom-Honey-Glow-Ampoule-30ml-i.825870.4546824242")</f>
        <v>https://shopee.co.id/Byecom-Honey-Glow-Ampoule-30ml-i.825870.4546824242</v>
      </c>
      <c r="C2305" s="6" t="s">
        <v>3461</v>
      </c>
      <c r="D2305" s="6" t="s">
        <v>1184</v>
      </c>
      <c r="E2305" s="6" t="s">
        <v>12</v>
      </c>
      <c r="F2305" s="6" t="s">
        <v>13</v>
      </c>
      <c r="G2305" s="6" t="s">
        <v>21</v>
      </c>
      <c r="H2305" s="8" t="s">
        <v>3378</v>
      </c>
      <c r="I2305" s="9">
        <v>1040000.0</v>
      </c>
      <c r="J2305" s="5" t="str">
        <f t="shared" ref="J2305:K2305" si="2305">SUBSTITUTE(H2305, ",", "")</f>
        <v>2</v>
      </c>
      <c r="K2305" s="5" t="str">
        <f t="shared" si="2305"/>
        <v>Rp1040000</v>
      </c>
      <c r="L2305" s="5" t="str">
        <f t="shared" si="3"/>
        <v>1040000</v>
      </c>
    </row>
    <row r="2306">
      <c r="A2306" s="6" t="s">
        <v>3518</v>
      </c>
      <c r="B2306" s="7" t="str">
        <f>HYPERLINK("https://shopee.co.id/Beauty-In-The-Pot-Brightening-Serum-3-Pcs-Lebih-Hemat-Mencegah-Penuaan-Dini-Wajah-Bersih-i.254413838.8213749759", "https://shopee.co.id/Beauty-In-The-Pot-Brightening-Serum-3-Pcs-Lebih-Hemat-Mencegah-Penuaan-Dini-Wajah-Bersih-i.254413838.8213749759")</f>
        <v>https://shopee.co.id/Beauty-In-The-Pot-Brightening-Serum-3-Pcs-Lebih-Hemat-Mencegah-Penuaan-Dini-Wajah-Bersih-i.254413838.8213749759</v>
      </c>
      <c r="C2306" s="6" t="s">
        <v>1495</v>
      </c>
      <c r="D2306" s="6" t="s">
        <v>1496</v>
      </c>
      <c r="E2306" s="6" t="s">
        <v>12</v>
      </c>
      <c r="F2306" s="6" t="s">
        <v>13</v>
      </c>
      <c r="G2306" s="6" t="s">
        <v>85</v>
      </c>
      <c r="H2306" s="8" t="s">
        <v>3378</v>
      </c>
      <c r="I2306" s="9">
        <v>484000.0</v>
      </c>
      <c r="J2306" s="5" t="str">
        <f t="shared" ref="J2306:K2306" si="2306">SUBSTITUTE(H2306, ",", "")</f>
        <v>2</v>
      </c>
      <c r="K2306" s="5" t="str">
        <f t="shared" si="2306"/>
        <v>Rp484000</v>
      </c>
      <c r="L2306" s="5" t="str">
        <f t="shared" si="3"/>
        <v>484000</v>
      </c>
    </row>
    <row r="2307">
      <c r="A2307" s="6" t="s">
        <v>1222</v>
      </c>
      <c r="B2307" s="7" t="str">
        <f>HYPERLINK("https://shopee.co.id/The-Aubree-Centella-Herb-Serum-30-ml-i.10689.3366239804", "https://shopee.co.id/The-Aubree-Centella-Herb-Serum-30-ml-i.10689.3366239804")</f>
        <v>https://shopee.co.id/The-Aubree-Centella-Herb-Serum-30-ml-i.10689.3366239804</v>
      </c>
      <c r="C2307" s="6" t="s">
        <v>772</v>
      </c>
      <c r="D2307" s="6" t="s">
        <v>745</v>
      </c>
      <c r="E2307" s="6" t="s">
        <v>12</v>
      </c>
      <c r="F2307" s="6" t="s">
        <v>13</v>
      </c>
      <c r="G2307" s="6" t="s">
        <v>61</v>
      </c>
      <c r="H2307" s="8" t="s">
        <v>3378</v>
      </c>
      <c r="I2307" s="9">
        <v>298000.0</v>
      </c>
      <c r="J2307" s="5" t="str">
        <f t="shared" ref="J2307:K2307" si="2307">SUBSTITUTE(H2307, ",", "")</f>
        <v>2</v>
      </c>
      <c r="K2307" s="5" t="str">
        <f t="shared" si="2307"/>
        <v>Rp298000</v>
      </c>
      <c r="L2307" s="5" t="str">
        <f t="shared" si="3"/>
        <v>298000</v>
      </c>
    </row>
    <row r="2308">
      <c r="A2308" s="6" t="s">
        <v>3519</v>
      </c>
      <c r="B2308" s="7" t="str">
        <f>HYPERLINK("https://shopee.co.id/HADA-LABO-SHIROJ-W-ESSENCE-30GR-i.186214521.4148057216", "https://shopee.co.id/HADA-LABO-SHIROJ-W-ESSENCE-30GR-i.186214521.4148057216")</f>
        <v>https://shopee.co.id/HADA-LABO-SHIROJ-W-ESSENCE-30GR-i.186214521.4148057216</v>
      </c>
      <c r="C2308" s="6" t="s">
        <v>2090</v>
      </c>
      <c r="D2308" s="6" t="s">
        <v>2293</v>
      </c>
      <c r="E2308" s="6" t="s">
        <v>12</v>
      </c>
      <c r="F2308" s="6" t="s">
        <v>13</v>
      </c>
      <c r="G2308" s="6" t="s">
        <v>61</v>
      </c>
      <c r="H2308" s="8" t="s">
        <v>3378</v>
      </c>
      <c r="I2308" s="9">
        <v>386060.0</v>
      </c>
      <c r="J2308" s="5" t="str">
        <f t="shared" ref="J2308:K2308" si="2308">SUBSTITUTE(H2308, ",", "")</f>
        <v>2</v>
      </c>
      <c r="K2308" s="5" t="str">
        <f t="shared" si="2308"/>
        <v>Rp386060</v>
      </c>
      <c r="L2308" s="5" t="str">
        <f t="shared" si="3"/>
        <v>386060</v>
      </c>
    </row>
    <row r="2309">
      <c r="A2309" s="6" t="s">
        <v>3520</v>
      </c>
      <c r="B2309" s="7" t="str">
        <f>HYPERLINK("https://shopee.co.id/LUMIER-100-VITAMIN-E-ADVANCED-SKIN-BOOSTER-i.231467354.9723578786", "https://shopee.co.id/LUMIER-100-VITAMIN-E-ADVANCED-SKIN-BOOSTER-i.231467354.9723578786")</f>
        <v>https://shopee.co.id/LUMIER-100-VITAMIN-E-ADVANCED-SKIN-BOOSTER-i.231467354.9723578786</v>
      </c>
      <c r="C2309" s="6" t="s">
        <v>2878</v>
      </c>
      <c r="D2309" s="6" t="s">
        <v>2879</v>
      </c>
      <c r="E2309" s="6" t="s">
        <v>12</v>
      </c>
      <c r="F2309" s="6" t="s">
        <v>13</v>
      </c>
      <c r="G2309" s="6" t="s">
        <v>532</v>
      </c>
      <c r="H2309" s="8" t="s">
        <v>3378</v>
      </c>
      <c r="I2309" s="9">
        <v>240000.0</v>
      </c>
      <c r="J2309" s="5" t="str">
        <f t="shared" ref="J2309:K2309" si="2309">SUBSTITUTE(H2309, ",", "")</f>
        <v>2</v>
      </c>
      <c r="K2309" s="5" t="str">
        <f t="shared" si="2309"/>
        <v>Rp240000</v>
      </c>
      <c r="L2309" s="5" t="str">
        <f t="shared" si="3"/>
        <v>240000</v>
      </c>
    </row>
    <row r="2310">
      <c r="A2310" s="6" t="s">
        <v>3521</v>
      </c>
      <c r="B2310" s="7" t="str">
        <f>HYPERLINK("https://shopee.co.id/Benton-Tea-Tree-Serum-30-ml-i.125116082.8612197289", "https://shopee.co.id/Benton-Tea-Tree-Serum-30-ml-i.125116082.8612197289")</f>
        <v>https://shopee.co.id/Benton-Tea-Tree-Serum-30-ml-i.125116082.8612197289</v>
      </c>
      <c r="C2310" s="6" t="s">
        <v>456</v>
      </c>
      <c r="D2310" s="6" t="s">
        <v>713</v>
      </c>
      <c r="E2310" s="6" t="s">
        <v>12</v>
      </c>
      <c r="F2310" s="6" t="s">
        <v>13</v>
      </c>
      <c r="G2310" s="6" t="s">
        <v>61</v>
      </c>
      <c r="H2310" s="8" t="s">
        <v>3378</v>
      </c>
      <c r="I2310" s="9">
        <v>293530.0</v>
      </c>
      <c r="J2310" s="5" t="str">
        <f t="shared" ref="J2310:K2310" si="2310">SUBSTITUTE(H2310, ",", "")</f>
        <v>2</v>
      </c>
      <c r="K2310" s="5" t="str">
        <f t="shared" si="2310"/>
        <v>Rp293530</v>
      </c>
      <c r="L2310" s="5" t="str">
        <f t="shared" si="3"/>
        <v>293530</v>
      </c>
    </row>
    <row r="2311">
      <c r="A2311" s="6" t="s">
        <v>3522</v>
      </c>
      <c r="B2311" s="7" t="str">
        <f>HYPERLINK("https://shopee.co.id/Calmedi-Serum-Luminous-3-in-1-10ml-Serum-Pencerah-Wajah-i.129229117.2605859267", "https://shopee.co.id/Calmedi-Serum-Luminous-3-in-1-10ml-Serum-Pencerah-Wajah-i.129229117.2605859267")</f>
        <v>https://shopee.co.id/Calmedi-Serum-Luminous-3-in-1-10ml-Serum-Pencerah-Wajah-i.129229117.2605859267</v>
      </c>
      <c r="C2311" s="6" t="s">
        <v>2931</v>
      </c>
      <c r="D2311" s="6" t="s">
        <v>2932</v>
      </c>
      <c r="E2311" s="6" t="s">
        <v>12</v>
      </c>
      <c r="F2311" s="6" t="s">
        <v>13</v>
      </c>
      <c r="G2311" s="6" t="s">
        <v>98</v>
      </c>
      <c r="H2311" s="8" t="s">
        <v>3378</v>
      </c>
      <c r="I2311" s="9">
        <v>522050.0</v>
      </c>
      <c r="J2311" s="5" t="str">
        <f t="shared" ref="J2311:K2311" si="2311">SUBSTITUTE(H2311, ",", "")</f>
        <v>2</v>
      </c>
      <c r="K2311" s="5" t="str">
        <f t="shared" si="2311"/>
        <v>Rp522050</v>
      </c>
      <c r="L2311" s="5" t="str">
        <f t="shared" si="3"/>
        <v>522050</v>
      </c>
    </row>
    <row r="2312">
      <c r="A2312" s="6" t="s">
        <v>3523</v>
      </c>
      <c r="B2312" s="7" t="str">
        <f>HYPERLINK("https://shopee.co.id/HADA-LABO-Gokujyun-Alpha-Essence-30gr-i.68111.9649802405", "https://shopee.co.id/HADA-LABO-Gokujyun-Alpha-Essence-30gr-i.68111.9649802405")</f>
        <v>https://shopee.co.id/HADA-LABO-Gokujyun-Alpha-Essence-30gr-i.68111.9649802405</v>
      </c>
      <c r="C2312" s="6" t="s">
        <v>2090</v>
      </c>
      <c r="D2312" s="6" t="s">
        <v>441</v>
      </c>
      <c r="E2312" s="6" t="s">
        <v>12</v>
      </c>
      <c r="F2312" s="6" t="s">
        <v>13</v>
      </c>
      <c r="G2312" s="6" t="s">
        <v>130</v>
      </c>
      <c r="H2312" s="8" t="s">
        <v>3378</v>
      </c>
      <c r="I2312" s="9">
        <v>690000.0</v>
      </c>
      <c r="J2312" s="5" t="str">
        <f t="shared" ref="J2312:K2312" si="2312">SUBSTITUTE(H2312, ",", "")</f>
        <v>2</v>
      </c>
      <c r="K2312" s="5" t="str">
        <f t="shared" si="2312"/>
        <v>Rp690000</v>
      </c>
      <c r="L2312" s="5" t="str">
        <f t="shared" si="3"/>
        <v>690000</v>
      </c>
    </row>
    <row r="2313">
      <c r="A2313" s="6" t="s">
        <v>3524</v>
      </c>
      <c r="B2313" s="7" t="str">
        <f>HYPERLINK("https://shopee.co.id/Naminara-Facial-Serum-Gold-24k-i.225829153.3516951373", "https://shopee.co.id/Naminara-Facial-Serum-Gold-24k-i.225829153.3516951373")</f>
        <v>https://shopee.co.id/Naminara-Facial-Serum-Gold-24k-i.225829153.3516951373</v>
      </c>
      <c r="C2313" s="6" t="s">
        <v>3525</v>
      </c>
      <c r="D2313" s="6" t="s">
        <v>3526</v>
      </c>
      <c r="E2313" s="6" t="s">
        <v>12</v>
      </c>
      <c r="F2313" s="6" t="s">
        <v>13</v>
      </c>
      <c r="G2313" s="6" t="s">
        <v>469</v>
      </c>
      <c r="H2313" s="8" t="s">
        <v>3378</v>
      </c>
      <c r="I2313" s="9">
        <v>270000.0</v>
      </c>
      <c r="J2313" s="5" t="str">
        <f t="shared" ref="J2313:K2313" si="2313">SUBSTITUTE(H2313, ",", "")</f>
        <v>2</v>
      </c>
      <c r="K2313" s="5" t="str">
        <f t="shared" si="2313"/>
        <v>Rp270000</v>
      </c>
      <c r="L2313" s="5" t="str">
        <f t="shared" si="3"/>
        <v>270000</v>
      </c>
    </row>
    <row r="2314">
      <c r="A2314" s="6" t="s">
        <v>3527</v>
      </c>
      <c r="B2314" s="7" t="str">
        <f>HYPERLINK("https://shopee.co.id/Npure-Centella-Asiatica-Essence-20ml-i.10689.5452372839", "https://shopee.co.id/Npure-Centella-Asiatica-Essence-20ml-i.10689.5452372839")</f>
        <v>https://shopee.co.id/Npure-Centella-Asiatica-Essence-20ml-i.10689.5452372839</v>
      </c>
      <c r="C2314" s="6" t="s">
        <v>266</v>
      </c>
      <c r="D2314" s="6" t="s">
        <v>745</v>
      </c>
      <c r="E2314" s="6" t="s">
        <v>12</v>
      </c>
      <c r="F2314" s="6" t="s">
        <v>13</v>
      </c>
      <c r="G2314" s="6" t="s">
        <v>61</v>
      </c>
      <c r="H2314" s="8" t="s">
        <v>3378</v>
      </c>
      <c r="I2314" s="9">
        <v>169600.0</v>
      </c>
      <c r="J2314" s="5" t="str">
        <f t="shared" ref="J2314:K2314" si="2314">SUBSTITUTE(H2314, ",", "")</f>
        <v>2</v>
      </c>
      <c r="K2314" s="5" t="str">
        <f t="shared" si="2314"/>
        <v>Rp169600</v>
      </c>
      <c r="L2314" s="5" t="str">
        <f t="shared" si="3"/>
        <v>169600</v>
      </c>
    </row>
    <row r="2315">
      <c r="A2315" s="6" t="s">
        <v>3528</v>
      </c>
      <c r="B2315" s="7" t="str">
        <f>HYPERLINK("https://shopee.co.id/FOR-SKINS-SAKE-Retinol-Serum-30ml-i.68111.3515756101", "https://shopee.co.id/FOR-SKINS-SAKE-Retinol-Serum-30ml-i.68111.3515756101")</f>
        <v>https://shopee.co.id/FOR-SKINS-SAKE-Retinol-Serum-30ml-i.68111.3515756101</v>
      </c>
      <c r="C2315" s="6" t="s">
        <v>3529</v>
      </c>
      <c r="D2315" s="6" t="s">
        <v>441</v>
      </c>
      <c r="E2315" s="6" t="s">
        <v>12</v>
      </c>
      <c r="F2315" s="6" t="s">
        <v>13</v>
      </c>
      <c r="G2315" s="6" t="s">
        <v>130</v>
      </c>
      <c r="H2315" s="8" t="s">
        <v>3378</v>
      </c>
      <c r="I2315" s="9">
        <v>2700000.0</v>
      </c>
      <c r="J2315" s="5" t="str">
        <f t="shared" ref="J2315:K2315" si="2315">SUBSTITUTE(H2315, ",", "")</f>
        <v>2</v>
      </c>
      <c r="K2315" s="5" t="str">
        <f t="shared" si="2315"/>
        <v>Rp2700000</v>
      </c>
      <c r="L2315" s="5" t="str">
        <f t="shared" si="3"/>
        <v>2700000</v>
      </c>
    </row>
    <row r="2316">
      <c r="A2316" s="6" t="s">
        <v>3530</v>
      </c>
      <c r="B2316" s="7" t="str">
        <f>HYPERLINK("https://shopee.co.id/Hanasui-Vitamin-C-Collagen-Serum-20Ml-Serum-Wajah-Vitamin-Wajah-Anti-Aging-Isi-2--i.175375997.7000248299", "https://shopee.co.id/Hanasui-Vitamin-C-Collagen-Serum-20Ml-Serum-Wajah-Vitamin-Wajah-Anti-Aging-Isi-2--i.175375997.7000248299")</f>
        <v>https://shopee.co.id/Hanasui-Vitamin-C-Collagen-Serum-20Ml-Serum-Wajah-Vitamin-Wajah-Anti-Aging-Isi-2--i.175375997.7000248299</v>
      </c>
      <c r="C2316" s="6" t="s">
        <v>784</v>
      </c>
      <c r="D2316" s="6" t="s">
        <v>2123</v>
      </c>
      <c r="E2316" s="6" t="s">
        <v>12</v>
      </c>
      <c r="F2316" s="6" t="s">
        <v>13</v>
      </c>
      <c r="G2316" s="6" t="s">
        <v>36</v>
      </c>
      <c r="H2316" s="8" t="s">
        <v>3378</v>
      </c>
      <c r="I2316" s="9">
        <v>494400.0</v>
      </c>
      <c r="J2316" s="5" t="str">
        <f t="shared" ref="J2316:K2316" si="2316">SUBSTITUTE(H2316, ",", "")</f>
        <v>2</v>
      </c>
      <c r="K2316" s="5" t="str">
        <f t="shared" si="2316"/>
        <v>Rp494400</v>
      </c>
      <c r="L2316" s="5" t="str">
        <f t="shared" si="3"/>
        <v>494400</v>
      </c>
    </row>
    <row r="2317">
      <c r="A2317" s="6" t="s">
        <v>3531</v>
      </c>
      <c r="B2317" s="7" t="str">
        <f>HYPERLINK("https://shopee.co.id/Garnier-Bright-Complete-White-Speed-Day-Serum-Cream-20-mL-i.65323877.9379238580", "https://shopee.co.id/Garnier-Bright-Complete-White-Speed-Day-Serum-Cream-20-mL-i.65323877.9379238580")</f>
        <v>https://shopee.co.id/Garnier-Bright-Complete-White-Speed-Day-Serum-Cream-20-mL-i.65323877.9379238580</v>
      </c>
      <c r="C2317" s="6" t="s">
        <v>74</v>
      </c>
      <c r="D2317" s="6" t="s">
        <v>1600</v>
      </c>
      <c r="E2317" s="6" t="s">
        <v>12</v>
      </c>
      <c r="F2317" s="6" t="s">
        <v>13</v>
      </c>
      <c r="G2317" s="6" t="s">
        <v>296</v>
      </c>
      <c r="H2317" s="8" t="s">
        <v>3378</v>
      </c>
      <c r="I2317" s="9">
        <v>863600.0</v>
      </c>
      <c r="J2317" s="5" t="str">
        <f t="shared" ref="J2317:K2317" si="2317">SUBSTITUTE(H2317, ",", "")</f>
        <v>2</v>
      </c>
      <c r="K2317" s="5" t="str">
        <f t="shared" si="2317"/>
        <v>Rp863600</v>
      </c>
      <c r="L2317" s="5" t="str">
        <f t="shared" si="3"/>
        <v>863600</v>
      </c>
    </row>
    <row r="2318">
      <c r="A2318" s="6" t="s">
        <v>3532</v>
      </c>
      <c r="B2318" s="7" t="str">
        <f>HYPERLINK("https://shopee.co.id/Bhumi-G-Alpine-Brightening-Serum-30ml-i.825870.4703980177", "https://shopee.co.id/Bhumi-G-Alpine-Brightening-Serum-30ml-i.825870.4703980177")</f>
        <v>https://shopee.co.id/Bhumi-G-Alpine-Brightening-Serum-30ml-i.825870.4703980177</v>
      </c>
      <c r="C2318" s="6" t="s">
        <v>753</v>
      </c>
      <c r="D2318" s="6" t="s">
        <v>1184</v>
      </c>
      <c r="E2318" s="6" t="s">
        <v>12</v>
      </c>
      <c r="F2318" s="6" t="s">
        <v>13</v>
      </c>
      <c r="G2318" s="6" t="s">
        <v>21</v>
      </c>
      <c r="H2318" s="8" t="s">
        <v>3378</v>
      </c>
      <c r="I2318" s="9">
        <v>119600.0</v>
      </c>
      <c r="J2318" s="5" t="str">
        <f t="shared" ref="J2318:K2318" si="2318">SUBSTITUTE(H2318, ",", "")</f>
        <v>2</v>
      </c>
      <c r="K2318" s="5" t="str">
        <f t="shared" si="2318"/>
        <v>Rp119600</v>
      </c>
      <c r="L2318" s="5" t="str">
        <f t="shared" si="3"/>
        <v>119600</v>
      </c>
    </row>
    <row r="2319">
      <c r="A2319" s="6" t="s">
        <v>3533</v>
      </c>
      <c r="B2319" s="7" t="str">
        <f>HYPERLINK("https://shopee.co.id/PURECA-Botanical-Macadamia-Oil-Serum-Oil-Treatment-Pure-Oil-Anti-Aging-Serum-Wajah-i.16729119.11920475106", "https://shopee.co.id/PURECA-Botanical-Macadamia-Oil-Serum-Oil-Treatment-Pure-Oil-Anti-Aging-Serum-Wajah-i.16729119.11920475106")</f>
        <v>https://shopee.co.id/PURECA-Botanical-Macadamia-Oil-Serum-Oil-Treatment-Pure-Oil-Anti-Aging-Serum-Wajah-i.16729119.11920475106</v>
      </c>
      <c r="C2319" s="6" t="s">
        <v>3534</v>
      </c>
      <c r="D2319" s="6" t="s">
        <v>3535</v>
      </c>
      <c r="E2319" s="6" t="s">
        <v>12</v>
      </c>
      <c r="F2319" s="6" t="s">
        <v>13</v>
      </c>
      <c r="G2319" s="6" t="s">
        <v>36</v>
      </c>
      <c r="H2319" s="8" t="s">
        <v>3378</v>
      </c>
      <c r="I2319" s="9">
        <v>178200.0</v>
      </c>
      <c r="J2319" s="5" t="str">
        <f t="shared" ref="J2319:K2319" si="2319">SUBSTITUTE(H2319, ",", "")</f>
        <v>2</v>
      </c>
      <c r="K2319" s="5" t="str">
        <f t="shared" si="2319"/>
        <v>Rp178200</v>
      </c>
      <c r="L2319" s="5" t="str">
        <f t="shared" si="3"/>
        <v>178200</v>
      </c>
    </row>
    <row r="2320">
      <c r="A2320" s="6" t="s">
        <v>3536</v>
      </c>
      <c r="B2320" s="7" t="str">
        <f>HYPERLINK("https://shopee.co.id/Skin-Game-Spot-Guard-Serum-i.270965687.10905442843", "https://shopee.co.id/Skin-Game-Spot-Guard-Serum-i.270965687.10905442843")</f>
        <v>https://shopee.co.id/Skin-Game-Spot-Guard-Serum-i.270965687.10905442843</v>
      </c>
      <c r="C2320" s="6" t="s">
        <v>523</v>
      </c>
      <c r="D2320" s="6" t="s">
        <v>379</v>
      </c>
      <c r="E2320" s="6" t="s">
        <v>12</v>
      </c>
      <c r="F2320" s="6" t="s">
        <v>13</v>
      </c>
      <c r="G2320" s="6" t="s">
        <v>380</v>
      </c>
      <c r="H2320" s="8" t="s">
        <v>3378</v>
      </c>
      <c r="I2320" s="9">
        <v>270000.0</v>
      </c>
      <c r="J2320" s="5" t="str">
        <f t="shared" ref="J2320:K2320" si="2320">SUBSTITUTE(H2320, ",", "")</f>
        <v>2</v>
      </c>
      <c r="K2320" s="5" t="str">
        <f t="shared" si="2320"/>
        <v>Rp270000</v>
      </c>
      <c r="L2320" s="5" t="str">
        <f t="shared" si="3"/>
        <v>270000</v>
      </c>
    </row>
    <row r="2321">
      <c r="A2321" s="6" t="s">
        <v>3537</v>
      </c>
      <c r="B2321" s="7" t="str">
        <f>HYPERLINK("https://shopee.co.id/The-Aubree-Rose-Bloom-Petal-Essence-120ml-i.136011044.7478784017", "https://shopee.co.id/The-Aubree-Rose-Bloom-Petal-Essence-120ml-i.136011044.7478784017")</f>
        <v>https://shopee.co.id/The-Aubree-Rose-Bloom-Petal-Essence-120ml-i.136011044.7478784017</v>
      </c>
      <c r="C2321" s="6" t="s">
        <v>772</v>
      </c>
      <c r="D2321" s="6" t="s">
        <v>632</v>
      </c>
      <c r="E2321" s="6" t="s">
        <v>12</v>
      </c>
      <c r="F2321" s="6" t="s">
        <v>13</v>
      </c>
      <c r="G2321" s="6" t="s">
        <v>21</v>
      </c>
      <c r="H2321" s="8" t="s">
        <v>3378</v>
      </c>
      <c r="I2321" s="9">
        <v>341000.0</v>
      </c>
      <c r="J2321" s="5" t="str">
        <f t="shared" ref="J2321:K2321" si="2321">SUBSTITUTE(H2321, ",", "")</f>
        <v>2</v>
      </c>
      <c r="K2321" s="5" t="str">
        <f t="shared" si="2321"/>
        <v>Rp341000</v>
      </c>
      <c r="L2321" s="5" t="str">
        <f t="shared" si="3"/>
        <v>341000</v>
      </c>
    </row>
    <row r="2322">
      <c r="A2322" s="6" t="s">
        <v>3101</v>
      </c>
      <c r="B2322" s="7" t="str">
        <f>HYPERLINK("https://shopee.co.id/GLOWINC-POTION-GENTLE-Soothing-Serum-i.68111.10333685235", "https://shopee.co.id/GLOWINC-POTION-GENTLE-Soothing-Serum-i.68111.10333685235")</f>
        <v>https://shopee.co.id/GLOWINC-POTION-GENTLE-Soothing-Serum-i.68111.10333685235</v>
      </c>
      <c r="C2322" s="6" t="s">
        <v>1898</v>
      </c>
      <c r="D2322" s="6" t="s">
        <v>441</v>
      </c>
      <c r="E2322" s="6" t="s">
        <v>12</v>
      </c>
      <c r="F2322" s="6" t="s">
        <v>13</v>
      </c>
      <c r="G2322" s="6" t="s">
        <v>130</v>
      </c>
      <c r="H2322" s="8" t="s">
        <v>3378</v>
      </c>
      <c r="I2322" s="9">
        <v>862500.0</v>
      </c>
      <c r="J2322" s="5" t="str">
        <f t="shared" ref="J2322:K2322" si="2322">SUBSTITUTE(H2322, ",", "")</f>
        <v>2</v>
      </c>
      <c r="K2322" s="5" t="str">
        <f t="shared" si="2322"/>
        <v>Rp862500</v>
      </c>
      <c r="L2322" s="5" t="str">
        <f t="shared" si="3"/>
        <v>862500</v>
      </c>
    </row>
    <row r="2323">
      <c r="A2323" s="6" t="s">
        <v>3538</v>
      </c>
      <c r="B2323" s="7" t="str">
        <f>HYPERLINK("https://shopee.co.id/Garnier-Krim-Siang-Light-Complete-White-Speed-Serum-Day-Cream-Extra-SPF-36-PA-50-mL-i.65323877.8479913873", "https://shopee.co.id/Garnier-Krim-Siang-Light-Complete-White-Speed-Serum-Day-Cream-Extra-SPF-36-PA-50-mL-i.65323877.8479913873")</f>
        <v>https://shopee.co.id/Garnier-Krim-Siang-Light-Complete-White-Speed-Serum-Day-Cream-Extra-SPF-36-PA-50-mL-i.65323877.8479913873</v>
      </c>
      <c r="C2323" s="6" t="s">
        <v>74</v>
      </c>
      <c r="D2323" s="6" t="s">
        <v>1600</v>
      </c>
      <c r="E2323" s="6" t="s">
        <v>12</v>
      </c>
      <c r="F2323" s="6" t="s">
        <v>13</v>
      </c>
      <c r="G2323" s="6" t="s">
        <v>296</v>
      </c>
      <c r="H2323" s="8" t="s">
        <v>3378</v>
      </c>
      <c r="I2323" s="9">
        <v>398000.0</v>
      </c>
      <c r="J2323" s="5" t="str">
        <f t="shared" ref="J2323:K2323" si="2323">SUBSTITUTE(H2323, ",", "")</f>
        <v>2</v>
      </c>
      <c r="K2323" s="5" t="str">
        <f t="shared" si="2323"/>
        <v>Rp398000</v>
      </c>
      <c r="L2323" s="5" t="str">
        <f t="shared" si="3"/>
        <v>398000</v>
      </c>
    </row>
    <row r="2324">
      <c r="A2324" s="6" t="s">
        <v>3539</v>
      </c>
      <c r="B2324" s="7" t="str">
        <f>HYPERLINK("https://shopee.co.id/Safi-Age-Defy-Concentrated-Serum-20ml-i.30736001.1016544150", "https://shopee.co.id/Safi-Age-Defy-Concentrated-Serum-20ml-i.30736001.1016544150")</f>
        <v>https://shopee.co.id/Safi-Age-Defy-Concentrated-Serum-20ml-i.30736001.1016544150</v>
      </c>
      <c r="C2324" s="6" t="s">
        <v>278</v>
      </c>
      <c r="D2324" s="6" t="s">
        <v>335</v>
      </c>
      <c r="E2324" s="6" t="s">
        <v>12</v>
      </c>
      <c r="F2324" s="6" t="s">
        <v>13</v>
      </c>
      <c r="G2324" s="6" t="s">
        <v>36</v>
      </c>
      <c r="H2324" s="8" t="s">
        <v>3378</v>
      </c>
      <c r="I2324" s="9">
        <v>644444.0</v>
      </c>
      <c r="J2324" s="5" t="str">
        <f t="shared" ref="J2324:K2324" si="2324">SUBSTITUTE(H2324, ",", "")</f>
        <v>2</v>
      </c>
      <c r="K2324" s="5" t="str">
        <f t="shared" si="2324"/>
        <v>Rp644444</v>
      </c>
      <c r="L2324" s="5" t="str">
        <f t="shared" si="3"/>
        <v>644444</v>
      </c>
    </row>
    <row r="2325">
      <c r="A2325" s="6" t="s">
        <v>3540</v>
      </c>
      <c r="B2325" s="7" t="str">
        <f>HYPERLINK("https://shopee.co.id/AIZEN-L-Glutathione-10-Ultra-Ampoule-i.68111.3284732912", "https://shopee.co.id/AIZEN-L-Glutathione-10-Ultra-Ampoule-i.68111.3284732912")</f>
        <v>https://shopee.co.id/AIZEN-L-Glutathione-10-Ultra-Ampoule-i.68111.3284732912</v>
      </c>
      <c r="C2325" s="6" t="s">
        <v>1325</v>
      </c>
      <c r="D2325" s="6" t="s">
        <v>441</v>
      </c>
      <c r="E2325" s="6" t="s">
        <v>12</v>
      </c>
      <c r="F2325" s="6" t="s">
        <v>13</v>
      </c>
      <c r="G2325" s="6" t="s">
        <v>130</v>
      </c>
      <c r="H2325" s="8" t="s">
        <v>3378</v>
      </c>
      <c r="I2325" s="9">
        <v>420000.0</v>
      </c>
      <c r="J2325" s="5" t="str">
        <f t="shared" ref="J2325:K2325" si="2325">SUBSTITUTE(H2325, ",", "")</f>
        <v>2</v>
      </c>
      <c r="K2325" s="5" t="str">
        <f t="shared" si="2325"/>
        <v>Rp420000</v>
      </c>
      <c r="L2325" s="5" t="str">
        <f t="shared" si="3"/>
        <v>420000</v>
      </c>
    </row>
    <row r="2326">
      <c r="A2326" s="6" t="s">
        <v>3541</v>
      </c>
      <c r="B2326" s="7" t="str">
        <f>HYPERLINK("https://shopee.co.id/AIZEN-SepiWhite-MSH-3-Ultra-Ampoule-i.68111.6584597890", "https://shopee.co.id/AIZEN-SepiWhite-MSH-3-Ultra-Ampoule-i.68111.6584597890")</f>
        <v>https://shopee.co.id/AIZEN-SepiWhite-MSH-3-Ultra-Ampoule-i.68111.6584597890</v>
      </c>
      <c r="C2326" s="6" t="s">
        <v>1325</v>
      </c>
      <c r="D2326" s="6" t="s">
        <v>441</v>
      </c>
      <c r="E2326" s="6" t="s">
        <v>12</v>
      </c>
      <c r="F2326" s="6" t="s">
        <v>13</v>
      </c>
      <c r="G2326" s="6" t="s">
        <v>130</v>
      </c>
      <c r="H2326" s="8" t="s">
        <v>3378</v>
      </c>
      <c r="I2326" s="9">
        <v>243600.0</v>
      </c>
      <c r="J2326" s="5" t="str">
        <f t="shared" ref="J2326:K2326" si="2326">SUBSTITUTE(H2326, ",", "")</f>
        <v>2</v>
      </c>
      <c r="K2326" s="5" t="str">
        <f t="shared" si="2326"/>
        <v>Rp243600</v>
      </c>
      <c r="L2326" s="5" t="str">
        <f t="shared" si="3"/>
        <v>243600</v>
      </c>
    </row>
    <row r="2327">
      <c r="A2327" s="6" t="s">
        <v>3542</v>
      </c>
      <c r="B2327" s="7" t="str">
        <f>HYPERLINK("https://shopee.co.id/HANASUI-Serum-Anti-Acne-Pink-i.187117294.7243445339", "https://shopee.co.id/HANASUI-Serum-Anti-Acne-Pink-i.187117294.7243445339")</f>
        <v>https://shopee.co.id/HANASUI-Serum-Anti-Acne-Pink-i.187117294.7243445339</v>
      </c>
      <c r="C2327" s="6" t="s">
        <v>784</v>
      </c>
      <c r="D2327" s="6" t="s">
        <v>2366</v>
      </c>
      <c r="E2327" s="6" t="s">
        <v>12</v>
      </c>
      <c r="F2327" s="6" t="s">
        <v>13</v>
      </c>
      <c r="G2327" s="6" t="s">
        <v>469</v>
      </c>
      <c r="H2327" s="8" t="s">
        <v>3378</v>
      </c>
      <c r="I2327" s="9">
        <v>592000.0</v>
      </c>
      <c r="J2327" s="5" t="str">
        <f t="shared" ref="J2327:K2327" si="2327">SUBSTITUTE(H2327, ",", "")</f>
        <v>2</v>
      </c>
      <c r="K2327" s="5" t="str">
        <f t="shared" si="2327"/>
        <v>Rp592000</v>
      </c>
      <c r="L2327" s="5" t="str">
        <f t="shared" si="3"/>
        <v>592000</v>
      </c>
    </row>
    <row r="2328">
      <c r="A2328" s="6" t="s">
        <v>3543</v>
      </c>
      <c r="B2328" s="7" t="str">
        <f>HYPERLINK("https://shopee.co.id/Bio-Essence-Bio-Gold-Radiance-Cleanser-100g-i.30736001.4087529646", "https://shopee.co.id/Bio-Essence-Bio-Gold-Radiance-Cleanser-100g-i.30736001.4087529646")</f>
        <v>https://shopee.co.id/Bio-Essence-Bio-Gold-Radiance-Cleanser-100g-i.30736001.4087529646</v>
      </c>
      <c r="C2328" s="6" t="s">
        <v>834</v>
      </c>
      <c r="D2328" s="6" t="s">
        <v>335</v>
      </c>
      <c r="E2328" s="6" t="s">
        <v>12</v>
      </c>
      <c r="F2328" s="6" t="s">
        <v>13</v>
      </c>
      <c r="G2328" s="6" t="s">
        <v>36</v>
      </c>
      <c r="H2328" s="8" t="s">
        <v>3378</v>
      </c>
      <c r="I2328" s="9">
        <v>565500.0</v>
      </c>
      <c r="J2328" s="5" t="str">
        <f t="shared" ref="J2328:K2328" si="2328">SUBSTITUTE(H2328, ",", "")</f>
        <v>2</v>
      </c>
      <c r="K2328" s="5" t="str">
        <f t="shared" si="2328"/>
        <v>Rp565500</v>
      </c>
      <c r="L2328" s="5" t="str">
        <f t="shared" si="3"/>
        <v>565500</v>
      </c>
    </row>
    <row r="2329">
      <c r="A2329" s="6" t="s">
        <v>3544</v>
      </c>
      <c r="B2329" s="7" t="str">
        <f>HYPERLINK("https://shopee.co.id/Azarine-Lightening-Serum-20ml-C-White-i.136011044.8360134231", "https://shopee.co.id/Azarine-Lightening-Serum-20ml-C-White-i.136011044.8360134231")</f>
        <v>https://shopee.co.id/Azarine-Lightening-Serum-20ml-C-White-i.136011044.8360134231</v>
      </c>
      <c r="C2329" s="6" t="s">
        <v>233</v>
      </c>
      <c r="D2329" s="6" t="s">
        <v>632</v>
      </c>
      <c r="E2329" s="6" t="s">
        <v>12</v>
      </c>
      <c r="F2329" s="6" t="s">
        <v>13</v>
      </c>
      <c r="G2329" s="6" t="s">
        <v>21</v>
      </c>
      <c r="H2329" s="8" t="s">
        <v>3378</v>
      </c>
      <c r="I2329" s="9">
        <v>160000.0</v>
      </c>
      <c r="J2329" s="5" t="str">
        <f t="shared" ref="J2329:K2329" si="2329">SUBSTITUTE(H2329, ",", "")</f>
        <v>2</v>
      </c>
      <c r="K2329" s="5" t="str">
        <f t="shared" si="2329"/>
        <v>Rp160000</v>
      </c>
      <c r="L2329" s="5" t="str">
        <f t="shared" si="3"/>
        <v>160000</v>
      </c>
    </row>
    <row r="2330">
      <c r="A2330" s="6" t="s">
        <v>3361</v>
      </c>
      <c r="B2330" s="7" t="str">
        <f>HYPERLINK("https://shopee.co.id/Somethinc-Holygrail-Multipeptide-Youth-Elixir-20ml-i.10689.9757731921", "https://shopee.co.id/Somethinc-Holygrail-Multipeptide-Youth-Elixir-20ml-i.10689.9757731921")</f>
        <v>https://shopee.co.id/Somethinc-Holygrail-Multipeptide-Youth-Elixir-20ml-i.10689.9757731921</v>
      </c>
      <c r="C2330" s="6" t="s">
        <v>45</v>
      </c>
      <c r="D2330" s="6" t="s">
        <v>745</v>
      </c>
      <c r="E2330" s="6" t="s">
        <v>12</v>
      </c>
      <c r="F2330" s="6" t="s">
        <v>13</v>
      </c>
      <c r="G2330" s="6" t="s">
        <v>61</v>
      </c>
      <c r="H2330" s="8" t="s">
        <v>3378</v>
      </c>
      <c r="I2330" s="9">
        <v>105000.0</v>
      </c>
      <c r="J2330" s="5" t="str">
        <f t="shared" ref="J2330:K2330" si="2330">SUBSTITUTE(H2330, ",", "")</f>
        <v>2</v>
      </c>
      <c r="K2330" s="5" t="str">
        <f t="shared" si="2330"/>
        <v>Rp105000</v>
      </c>
      <c r="L2330" s="5" t="str">
        <f t="shared" si="3"/>
        <v>105000</v>
      </c>
    </row>
    <row r="2331">
      <c r="A2331" s="6" t="s">
        <v>3545</v>
      </c>
      <c r="B2331" s="7" t="str">
        <f>HYPERLINK("https://shopee.co.id/Tzuki-Brightening-Serum-untuk-Mencerahkan-Melembabkan-dan-Mengencangkan-Kulit-Wajah-20ml-i.230136619.10610649425", "https://shopee.co.id/Tzuki-Brightening-Serum-untuk-Mencerahkan-Melembabkan-dan-Mengencangkan-Kulit-Wajah-20ml-i.230136619.10610649425")</f>
        <v>https://shopee.co.id/Tzuki-Brightening-Serum-untuk-Mencerahkan-Melembabkan-dan-Mengencangkan-Kulit-Wajah-20ml-i.230136619.10610649425</v>
      </c>
      <c r="C2331" s="6" t="s">
        <v>3450</v>
      </c>
      <c r="D2331" s="6" t="s">
        <v>3451</v>
      </c>
      <c r="E2331" s="6" t="s">
        <v>12</v>
      </c>
      <c r="F2331" s="6" t="s">
        <v>13</v>
      </c>
      <c r="G2331" s="6" t="s">
        <v>1085</v>
      </c>
      <c r="H2331" s="8" t="s">
        <v>3378</v>
      </c>
      <c r="I2331" s="9">
        <v>152368.0</v>
      </c>
      <c r="J2331" s="5" t="str">
        <f t="shared" ref="J2331:K2331" si="2331">SUBSTITUTE(H2331, ",", "")</f>
        <v>2</v>
      </c>
      <c r="K2331" s="5" t="str">
        <f t="shared" si="2331"/>
        <v>Rp152368</v>
      </c>
      <c r="L2331" s="5" t="str">
        <f t="shared" si="3"/>
        <v>152368</v>
      </c>
    </row>
    <row r="2332">
      <c r="A2332" s="6" t="s">
        <v>3546</v>
      </c>
      <c r="B2332" s="7" t="str">
        <f>HYPERLINK("https://shopee.co.id/Glowlabs-Gentle-Bright-Serum-Gentle-Glow-Essence-i.336869851.3592745063", "https://shopee.co.id/Glowlabs-Gentle-Bright-Serum-Gentle-Glow-Essence-i.336869851.3592745063")</f>
        <v>https://shopee.co.id/Glowlabs-Gentle-Bright-Serum-Gentle-Glow-Essence-i.336869851.3592745063</v>
      </c>
      <c r="C2332" s="6" t="s">
        <v>407</v>
      </c>
      <c r="D2332" s="6" t="s">
        <v>408</v>
      </c>
      <c r="E2332" s="6" t="s">
        <v>12</v>
      </c>
      <c r="F2332" s="6" t="s">
        <v>13</v>
      </c>
      <c r="G2332" s="6" t="s">
        <v>409</v>
      </c>
      <c r="H2332" s="8" t="s">
        <v>3378</v>
      </c>
      <c r="I2332" s="9">
        <v>669600.0</v>
      </c>
      <c r="J2332" s="5" t="str">
        <f t="shared" ref="J2332:K2332" si="2332">SUBSTITUTE(H2332, ",", "")</f>
        <v>2</v>
      </c>
      <c r="K2332" s="5" t="str">
        <f t="shared" si="2332"/>
        <v>Rp669600</v>
      </c>
      <c r="L2332" s="5" t="str">
        <f t="shared" si="3"/>
        <v>669600</v>
      </c>
    </row>
    <row r="2333">
      <c r="A2333" s="6" t="s">
        <v>3547</v>
      </c>
      <c r="B2333" s="7" t="str">
        <f>HYPERLINK("https://shopee.co.id/Anti-Aging-Serum-Marwah-Skin-Care-i.357101711.8915466721", "https://shopee.co.id/Anti-Aging-Serum-Marwah-Skin-Care-i.357101711.8915466721")</f>
        <v>https://shopee.co.id/Anti-Aging-Serum-Marwah-Skin-Care-i.357101711.8915466721</v>
      </c>
      <c r="C2333" s="6" t="s">
        <v>2249</v>
      </c>
      <c r="D2333" s="6" t="s">
        <v>2250</v>
      </c>
      <c r="E2333" s="6" t="s">
        <v>12</v>
      </c>
      <c r="F2333" s="6" t="s">
        <v>13</v>
      </c>
      <c r="G2333" s="6" t="s">
        <v>370</v>
      </c>
      <c r="H2333" s="8" t="s">
        <v>3378</v>
      </c>
      <c r="I2333" s="9">
        <v>195000.0</v>
      </c>
      <c r="J2333" s="5" t="str">
        <f t="shared" ref="J2333:K2333" si="2333">SUBSTITUTE(H2333, ",", "")</f>
        <v>2</v>
      </c>
      <c r="K2333" s="5" t="str">
        <f t="shared" si="2333"/>
        <v>Rp195000</v>
      </c>
      <c r="L2333" s="5" t="str">
        <f t="shared" si="3"/>
        <v>195000</v>
      </c>
    </row>
    <row r="2334">
      <c r="A2334" s="6" t="s">
        <v>3548</v>
      </c>
      <c r="B2334" s="7" t="str">
        <f>HYPERLINK("https://shopee.co.id/Paket-Bersih-Bersinar-i.240100481.13913993310", "https://shopee.co.id/Paket-Bersih-Bersinar-i.240100481.13913993310")</f>
        <v>https://shopee.co.id/Paket-Bersih-Bersinar-i.240100481.13913993310</v>
      </c>
      <c r="C2334" s="6" t="s">
        <v>1195</v>
      </c>
      <c r="D2334" s="6" t="s">
        <v>1196</v>
      </c>
      <c r="E2334" s="6" t="s">
        <v>12</v>
      </c>
      <c r="F2334" s="6" t="s">
        <v>13</v>
      </c>
      <c r="G2334" s="6" t="s">
        <v>98</v>
      </c>
      <c r="H2334" s="8" t="s">
        <v>3378</v>
      </c>
      <c r="I2334" s="9">
        <v>236900.0</v>
      </c>
      <c r="J2334" s="5" t="str">
        <f t="shared" ref="J2334:K2334" si="2334">SUBSTITUTE(H2334, ",", "")</f>
        <v>2</v>
      </c>
      <c r="K2334" s="5" t="str">
        <f t="shared" si="2334"/>
        <v>Rp236900</v>
      </c>
      <c r="L2334" s="5" t="str">
        <f t="shared" si="3"/>
        <v>236900</v>
      </c>
    </row>
    <row r="2335">
      <c r="A2335" s="6" t="s">
        <v>3549</v>
      </c>
      <c r="B2335" s="7" t="str">
        <f>HYPERLINK("https://shopee.co.id/WARDAH-Crystallure-Supr-Revital-Oil-Serum-30ml-i.187117294.7642728273", "https://shopee.co.id/WARDAH-Crystallure-Supr-Revital-Oil-Serum-30ml-i.187117294.7642728273")</f>
        <v>https://shopee.co.id/WARDAH-Crystallure-Supr-Revital-Oil-Serum-30ml-i.187117294.7642728273</v>
      </c>
      <c r="C2335" s="6" t="s">
        <v>169</v>
      </c>
      <c r="D2335" s="6" t="s">
        <v>2366</v>
      </c>
      <c r="E2335" s="6" t="s">
        <v>12</v>
      </c>
      <c r="F2335" s="6" t="s">
        <v>13</v>
      </c>
      <c r="G2335" s="6" t="s">
        <v>469</v>
      </c>
      <c r="H2335" s="8" t="s">
        <v>3378</v>
      </c>
      <c r="I2335" s="9">
        <v>265800.0</v>
      </c>
      <c r="J2335" s="5" t="str">
        <f t="shared" ref="J2335:K2335" si="2335">SUBSTITUTE(H2335, ",", "")</f>
        <v>2</v>
      </c>
      <c r="K2335" s="5" t="str">
        <f t="shared" si="2335"/>
        <v>Rp265800</v>
      </c>
      <c r="L2335" s="5" t="str">
        <f t="shared" si="3"/>
        <v>265800</v>
      </c>
    </row>
    <row r="2336">
      <c r="A2336" s="6" t="s">
        <v>3550</v>
      </c>
      <c r="B2336" s="7" t="str">
        <f>HYPERLINK("https://shopee.co.id/the-Aubree-Niacinamide-Skin-Booster-30ml-i.50948181.3178988214", "https://shopee.co.id/the-Aubree-Niacinamide-Skin-Booster-30ml-i.50948181.3178988214")</f>
        <v>https://shopee.co.id/the-Aubree-Niacinamide-Skin-Booster-30ml-i.50948181.3178988214</v>
      </c>
      <c r="C2336" s="6" t="s">
        <v>772</v>
      </c>
      <c r="D2336" s="6" t="s">
        <v>1129</v>
      </c>
      <c r="E2336" s="6" t="s">
        <v>12</v>
      </c>
      <c r="F2336" s="6" t="s">
        <v>13</v>
      </c>
      <c r="G2336" s="6" t="s">
        <v>1130</v>
      </c>
      <c r="H2336" s="8" t="s">
        <v>3378</v>
      </c>
      <c r="I2336" s="9">
        <v>239513.0</v>
      </c>
      <c r="J2336" s="5" t="str">
        <f t="shared" ref="J2336:K2336" si="2336">SUBSTITUTE(H2336, ",", "")</f>
        <v>2</v>
      </c>
      <c r="K2336" s="5" t="str">
        <f t="shared" si="2336"/>
        <v>Rp239513</v>
      </c>
      <c r="L2336" s="5" t="str">
        <f t="shared" si="3"/>
        <v>239513</v>
      </c>
    </row>
    <row r="2337">
      <c r="A2337" s="6" t="s">
        <v>3551</v>
      </c>
      <c r="B2337" s="7" t="str">
        <f>HYPERLINK("https://shopee.co.id/Garnier-Sakura-White-Pinkish-Radiance-Essence-Lotion-Skin-Care-120mL-i.65323877.8779914880", "https://shopee.co.id/Garnier-Sakura-White-Pinkish-Radiance-Essence-Lotion-Skin-Care-120mL-i.65323877.8779914880")</f>
        <v>https://shopee.co.id/Garnier-Sakura-White-Pinkish-Radiance-Essence-Lotion-Skin-Care-120mL-i.65323877.8779914880</v>
      </c>
      <c r="C2337" s="6" t="s">
        <v>74</v>
      </c>
      <c r="D2337" s="6" t="s">
        <v>1600</v>
      </c>
      <c r="E2337" s="6" t="s">
        <v>12</v>
      </c>
      <c r="F2337" s="6" t="s">
        <v>13</v>
      </c>
      <c r="G2337" s="6" t="s">
        <v>296</v>
      </c>
      <c r="H2337" s="8" t="s">
        <v>3378</v>
      </c>
      <c r="I2337" s="9">
        <v>159900.0</v>
      </c>
      <c r="J2337" s="5" t="str">
        <f t="shared" ref="J2337:K2337" si="2337">SUBSTITUTE(H2337, ",", "")</f>
        <v>2</v>
      </c>
      <c r="K2337" s="5" t="str">
        <f t="shared" si="2337"/>
        <v>Rp159900</v>
      </c>
      <c r="L2337" s="5" t="str">
        <f t="shared" si="3"/>
        <v>159900</v>
      </c>
    </row>
    <row r="2338">
      <c r="A2338" s="6" t="s">
        <v>3552</v>
      </c>
      <c r="B2338" s="7" t="str">
        <f>HYPERLINK("https://shopee.co.id/Make-Over-Hydration-Serum-33-ml-i.186214521.7531340349", "https://shopee.co.id/Make-Over-Hydration-Serum-33-ml-i.186214521.7531340349")</f>
        <v>https://shopee.co.id/Make-Over-Hydration-Serum-33-ml-i.186214521.7531340349</v>
      </c>
      <c r="C2338" s="6" t="s">
        <v>290</v>
      </c>
      <c r="D2338" s="6" t="s">
        <v>2293</v>
      </c>
      <c r="E2338" s="6" t="s">
        <v>12</v>
      </c>
      <c r="F2338" s="6" t="s">
        <v>13</v>
      </c>
      <c r="G2338" s="6" t="s">
        <v>61</v>
      </c>
      <c r="H2338" s="8" t="s">
        <v>3378</v>
      </c>
      <c r="I2338" s="9">
        <v>158140.0</v>
      </c>
      <c r="J2338" s="5" t="str">
        <f t="shared" ref="J2338:K2338" si="2338">SUBSTITUTE(H2338, ",", "")</f>
        <v>2</v>
      </c>
      <c r="K2338" s="5" t="str">
        <f t="shared" si="2338"/>
        <v>Rp158140</v>
      </c>
      <c r="L2338" s="5" t="str">
        <f t="shared" si="3"/>
        <v>158140</v>
      </c>
    </row>
    <row r="2339">
      <c r="A2339" s="6" t="s">
        <v>3553</v>
      </c>
      <c r="B2339" s="7" t="str">
        <f>HYPERLINK("https://shopee.co.id/-3-Pcs-Hanasui-Serum-Whitening-Gold-20ml-i.121791179.5652976487", "https://shopee.co.id/-3-Pcs-Hanasui-Serum-Whitening-Gold-20ml-i.121791179.5652976487")</f>
        <v>https://shopee.co.id/-3-Pcs-Hanasui-Serum-Whitening-Gold-20ml-i.121791179.5652976487</v>
      </c>
      <c r="C2339" s="6" t="s">
        <v>784</v>
      </c>
      <c r="D2339" s="6" t="s">
        <v>1733</v>
      </c>
      <c r="E2339" s="6" t="s">
        <v>12</v>
      </c>
      <c r="F2339" s="6" t="s">
        <v>13</v>
      </c>
      <c r="G2339" s="6" t="s">
        <v>36</v>
      </c>
      <c r="H2339" s="8" t="s">
        <v>3378</v>
      </c>
      <c r="I2339" s="9">
        <v>164600.0</v>
      </c>
      <c r="J2339" s="5" t="str">
        <f t="shared" ref="J2339:K2339" si="2339">SUBSTITUTE(H2339, ",", "")</f>
        <v>2</v>
      </c>
      <c r="K2339" s="5" t="str">
        <f t="shared" si="2339"/>
        <v>Rp164600</v>
      </c>
      <c r="L2339" s="5" t="str">
        <f t="shared" si="3"/>
        <v>164600</v>
      </c>
    </row>
    <row r="2340">
      <c r="A2340" s="6" t="s">
        <v>3554</v>
      </c>
      <c r="B2340" s="7" t="str">
        <f>HYPERLINK("https://shopee.co.id/J-GLOW-Luminous-Boost-SERUM-GEL-Memudarkan-Bekas-Jerawat-Memerah-10g-i.165212611.7817838747", "https://shopee.co.id/J-GLOW-Luminous-Boost-SERUM-GEL-Memudarkan-Bekas-Jerawat-Memerah-10g-i.165212611.7817838747")</f>
        <v>https://shopee.co.id/J-GLOW-Luminous-Boost-SERUM-GEL-Memudarkan-Bekas-Jerawat-Memerah-10g-i.165212611.7817838747</v>
      </c>
      <c r="C2340" s="6" t="s">
        <v>1553</v>
      </c>
      <c r="D2340" s="6" t="s">
        <v>1554</v>
      </c>
      <c r="E2340" s="6" t="s">
        <v>12</v>
      </c>
      <c r="F2340" s="6" t="s">
        <v>13</v>
      </c>
      <c r="G2340" s="6" t="s">
        <v>241</v>
      </c>
      <c r="H2340" s="8" t="s">
        <v>3378</v>
      </c>
      <c r="I2340" s="9">
        <v>744450.0</v>
      </c>
      <c r="J2340" s="5" t="str">
        <f t="shared" ref="J2340:K2340" si="2340">SUBSTITUTE(H2340, ",", "")</f>
        <v>2</v>
      </c>
      <c r="K2340" s="5" t="str">
        <f t="shared" si="2340"/>
        <v>Rp744450</v>
      </c>
      <c r="L2340" s="5" t="str">
        <f t="shared" si="3"/>
        <v>744450</v>
      </c>
    </row>
    <row r="2341">
      <c r="A2341" s="6" t="s">
        <v>3555</v>
      </c>
      <c r="B2341" s="7" t="str">
        <f>HYPERLINK("https://shopee.co.id/Z-Skincare-Glowing-Serum-i.136496322.2200709597", "https://shopee.co.id/Z-Skincare-Glowing-Serum-i.136496322.2200709597")</f>
        <v>https://shopee.co.id/Z-Skincare-Glowing-Serum-i.136496322.2200709597</v>
      </c>
      <c r="C2341" s="6" t="s">
        <v>3229</v>
      </c>
      <c r="D2341" s="6" t="s">
        <v>3230</v>
      </c>
      <c r="E2341" s="6" t="s">
        <v>12</v>
      </c>
      <c r="F2341" s="6" t="s">
        <v>13</v>
      </c>
      <c r="G2341" s="6" t="s">
        <v>469</v>
      </c>
      <c r="H2341" s="8" t="s">
        <v>3378</v>
      </c>
      <c r="I2341" s="9">
        <v>464400.0</v>
      </c>
      <c r="J2341" s="5" t="str">
        <f t="shared" ref="J2341:K2341" si="2341">SUBSTITUTE(H2341, ",", "")</f>
        <v>2</v>
      </c>
      <c r="K2341" s="5" t="str">
        <f t="shared" si="2341"/>
        <v>Rp464400</v>
      </c>
      <c r="L2341" s="5" t="str">
        <f t="shared" si="3"/>
        <v>464400</v>
      </c>
    </row>
    <row r="2342">
      <c r="A2342" s="6" t="s">
        <v>2704</v>
      </c>
      <c r="B2342" s="7" t="str">
        <f>HYPERLINK("https://shopee.co.id/Lacoco-Hydrating-Divine-Essence-50ml-i.10689.10201068973", "https://shopee.co.id/Lacoco-Hydrating-Divine-Essence-50ml-i.10689.10201068973")</f>
        <v>https://shopee.co.id/Lacoco-Hydrating-Divine-Essence-50ml-i.10689.10201068973</v>
      </c>
      <c r="C2342" s="6" t="s">
        <v>501</v>
      </c>
      <c r="D2342" s="6" t="s">
        <v>745</v>
      </c>
      <c r="E2342" s="6" t="s">
        <v>12</v>
      </c>
      <c r="F2342" s="6" t="s">
        <v>13</v>
      </c>
      <c r="G2342" s="6" t="s">
        <v>61</v>
      </c>
      <c r="H2342" s="8" t="s">
        <v>3378</v>
      </c>
      <c r="I2342" s="9">
        <v>446400.0</v>
      </c>
      <c r="J2342" s="5" t="str">
        <f t="shared" ref="J2342:K2342" si="2342">SUBSTITUTE(H2342, ",", "")</f>
        <v>2</v>
      </c>
      <c r="K2342" s="5" t="str">
        <f t="shared" si="2342"/>
        <v>Rp446400</v>
      </c>
      <c r="L2342" s="5" t="str">
        <f t="shared" si="3"/>
        <v>446400</v>
      </c>
    </row>
    <row r="2343">
      <c r="A2343" s="6" t="s">
        <v>3556</v>
      </c>
      <c r="B2343" s="7" t="str">
        <f>HYPERLINK("https://shopee.co.id/-BPOM-LANBENA-Serum-Treatment-B-2pcs--i.397732085.11118832295", "https://shopee.co.id/-BPOM-LANBENA-Serum-Treatment-B-2pcs--i.397732085.11118832295")</f>
        <v>https://shopee.co.id/-BPOM-LANBENA-Serum-Treatment-B-2pcs--i.397732085.11118832295</v>
      </c>
      <c r="C2343" s="6" t="s">
        <v>1427</v>
      </c>
      <c r="D2343" s="6" t="s">
        <v>1428</v>
      </c>
      <c r="E2343" s="6" t="s">
        <v>12</v>
      </c>
      <c r="F2343" s="6" t="s">
        <v>13</v>
      </c>
      <c r="G2343" s="6" t="s">
        <v>532</v>
      </c>
      <c r="H2343" s="8" t="s">
        <v>3378</v>
      </c>
      <c r="I2343" s="9">
        <v>1478000.0</v>
      </c>
      <c r="J2343" s="5" t="str">
        <f t="shared" ref="J2343:K2343" si="2343">SUBSTITUTE(H2343, ",", "")</f>
        <v>2</v>
      </c>
      <c r="K2343" s="5" t="str">
        <f t="shared" si="2343"/>
        <v>Rp1478000</v>
      </c>
      <c r="L2343" s="5" t="str">
        <f t="shared" si="3"/>
        <v>1478000</v>
      </c>
    </row>
    <row r="2344">
      <c r="A2344" s="6" t="s">
        <v>3557</v>
      </c>
      <c r="B2344" s="7" t="str">
        <f>HYPERLINK("https://shopee.co.id/Wardah-Uv-Shield-A-Prot-Serum-Sp50-35Ml-i.186214521.11109857905", "https://shopee.co.id/Wardah-Uv-Shield-A-Prot-Serum-Sp50-35Ml-i.186214521.11109857905")</f>
        <v>https://shopee.co.id/Wardah-Uv-Shield-A-Prot-Serum-Sp50-35Ml-i.186214521.11109857905</v>
      </c>
      <c r="C2344" s="6" t="s">
        <v>169</v>
      </c>
      <c r="D2344" s="6" t="s">
        <v>2293</v>
      </c>
      <c r="E2344" s="6" t="s">
        <v>12</v>
      </c>
      <c r="F2344" s="6" t="s">
        <v>13</v>
      </c>
      <c r="G2344" s="6" t="s">
        <v>61</v>
      </c>
      <c r="H2344" s="8" t="s">
        <v>3378</v>
      </c>
      <c r="I2344" s="9">
        <v>204750.0</v>
      </c>
      <c r="J2344" s="5" t="str">
        <f t="shared" ref="J2344:K2344" si="2344">SUBSTITUTE(H2344, ",", "")</f>
        <v>2</v>
      </c>
      <c r="K2344" s="5" t="str">
        <f t="shared" si="2344"/>
        <v>Rp204750</v>
      </c>
      <c r="L2344" s="5" t="str">
        <f t="shared" si="3"/>
        <v>204750</v>
      </c>
    </row>
    <row r="2345">
      <c r="A2345" s="6" t="s">
        <v>658</v>
      </c>
      <c r="B2345" s="7" t="str">
        <f>HYPERLINK("https://shopee.co.id/Azarine-Easy-White-Herbal-Moisturizer-Serum-20ml-i.68111.9013168035", "https://shopee.co.id/Azarine-Easy-White-Herbal-Moisturizer-Serum-20ml-i.68111.9013168035")</f>
        <v>https://shopee.co.id/Azarine-Easy-White-Herbal-Moisturizer-Serum-20ml-i.68111.9013168035</v>
      </c>
      <c r="C2345" s="6" t="s">
        <v>233</v>
      </c>
      <c r="D2345" s="6" t="s">
        <v>441</v>
      </c>
      <c r="E2345" s="6" t="s">
        <v>12</v>
      </c>
      <c r="F2345" s="6" t="s">
        <v>13</v>
      </c>
      <c r="G2345" s="6" t="s">
        <v>130</v>
      </c>
      <c r="H2345" s="8" t="s">
        <v>3378</v>
      </c>
      <c r="I2345" s="9">
        <v>98000.0</v>
      </c>
      <c r="J2345" s="5" t="str">
        <f t="shared" ref="J2345:K2345" si="2345">SUBSTITUTE(H2345, ",", "")</f>
        <v>2</v>
      </c>
      <c r="K2345" s="5" t="str">
        <f t="shared" si="2345"/>
        <v>Rp98000</v>
      </c>
      <c r="L2345" s="5" t="str">
        <f t="shared" si="3"/>
        <v>98000</v>
      </c>
    </row>
    <row r="2346">
      <c r="A2346" s="6" t="s">
        <v>3558</v>
      </c>
      <c r="B2346" s="7" t="str">
        <f>HYPERLINK("https://shopee.co.id/Everwhite-Chromabright-Brightening-Serum-15ml-i.136011044.9142151511", "https://shopee.co.id/Everwhite-Chromabright-Brightening-Serum-15ml-i.136011044.9142151511")</f>
        <v>https://shopee.co.id/Everwhite-Chromabright-Brightening-Serum-15ml-i.136011044.9142151511</v>
      </c>
      <c r="C2346" s="6" t="s">
        <v>157</v>
      </c>
      <c r="D2346" s="6" t="s">
        <v>632</v>
      </c>
      <c r="E2346" s="6" t="s">
        <v>12</v>
      </c>
      <c r="F2346" s="6" t="s">
        <v>13</v>
      </c>
      <c r="G2346" s="6" t="s">
        <v>21</v>
      </c>
      <c r="H2346" s="8" t="s">
        <v>3378</v>
      </c>
      <c r="I2346" s="9">
        <v>120000.0</v>
      </c>
      <c r="J2346" s="5" t="str">
        <f t="shared" ref="J2346:K2346" si="2346">SUBSTITUTE(H2346, ",", "")</f>
        <v>2</v>
      </c>
      <c r="K2346" s="5" t="str">
        <f t="shared" si="2346"/>
        <v>Rp120000</v>
      </c>
      <c r="L2346" s="5" t="str">
        <f t="shared" si="3"/>
        <v>120000</v>
      </c>
    </row>
    <row r="2347">
      <c r="A2347" s="6" t="s">
        <v>3559</v>
      </c>
      <c r="B2347" s="7" t="str">
        <f>HYPERLINK("https://shopee.co.id/Lacoco-5-Bakuchiol-Essence-30-ml-i.110573301.10937665282", "https://shopee.co.id/Lacoco-5-Bakuchiol-Essence-30-ml-i.110573301.10937665282")</f>
        <v>https://shopee.co.id/Lacoco-5-Bakuchiol-Essence-30-ml-i.110573301.10937665282</v>
      </c>
      <c r="C2347" s="6" t="s">
        <v>501</v>
      </c>
      <c r="D2347" s="6" t="s">
        <v>227</v>
      </c>
      <c r="E2347" s="6" t="s">
        <v>12</v>
      </c>
      <c r="F2347" s="6" t="s">
        <v>13</v>
      </c>
      <c r="G2347" s="6" t="s">
        <v>61</v>
      </c>
      <c r="H2347" s="8" t="s">
        <v>3378</v>
      </c>
      <c r="I2347" s="9">
        <v>196000.0</v>
      </c>
      <c r="J2347" s="5" t="str">
        <f t="shared" ref="J2347:K2347" si="2347">SUBSTITUTE(H2347, ",", "")</f>
        <v>2</v>
      </c>
      <c r="K2347" s="5" t="str">
        <f t="shared" si="2347"/>
        <v>Rp196000</v>
      </c>
      <c r="L2347" s="5" t="str">
        <f t="shared" si="3"/>
        <v>196000</v>
      </c>
    </row>
    <row r="2348">
      <c r="A2348" s="6" t="s">
        <v>3560</v>
      </c>
      <c r="B2348" s="7" t="str">
        <f>HYPERLINK("https://shopee.co.id/Yoqueen-Beauty-Serum-for-Acne-30ml-Buy-1-Get-1--i.48380572.11016489744", "https://shopee.co.id/Yoqueen-Beauty-Serum-for-Acne-30ml-Buy-1-Get-1--i.48380572.11016489744")</f>
        <v>https://shopee.co.id/Yoqueen-Beauty-Serum-for-Acne-30ml-Buy-1-Get-1--i.48380572.11016489744</v>
      </c>
      <c r="C2348" s="6" t="s">
        <v>3103</v>
      </c>
      <c r="D2348" s="6" t="s">
        <v>2119</v>
      </c>
      <c r="E2348" s="6" t="s">
        <v>12</v>
      </c>
      <c r="F2348" s="6" t="s">
        <v>13</v>
      </c>
      <c r="G2348" s="6" t="s">
        <v>2120</v>
      </c>
      <c r="H2348" s="8" t="s">
        <v>3378</v>
      </c>
      <c r="I2348" s="9">
        <v>5800000.0</v>
      </c>
      <c r="J2348" s="5" t="str">
        <f t="shared" ref="J2348:K2348" si="2348">SUBSTITUTE(H2348, ",", "")</f>
        <v>2</v>
      </c>
      <c r="K2348" s="5" t="str">
        <f t="shared" si="2348"/>
        <v>Rp5800000</v>
      </c>
      <c r="L2348" s="5" t="str">
        <f t="shared" si="3"/>
        <v>5800000</v>
      </c>
    </row>
    <row r="2349">
      <c r="A2349" s="6" t="s">
        <v>3561</v>
      </c>
      <c r="B2349" s="7" t="str">
        <f>HYPERLINK("https://shopee.co.id/Dear-Me-Beauty-Paket-Skin-Barrier-Acne-Water-Cream-32-ml-Face-Serum-BHA-Salicylic-Acid-i.45495764.13113723124", "https://shopee.co.id/Dear-Me-Beauty-Paket-Skin-Barrier-Acne-Water-Cream-32-ml-Face-Serum-BHA-Salicylic-Acid-i.45495764.13113723124")</f>
        <v>https://shopee.co.id/Dear-Me-Beauty-Paket-Skin-Barrier-Acne-Water-Cream-32-ml-Face-Serum-BHA-Salicylic-Acid-i.45495764.13113723124</v>
      </c>
      <c r="C2349" s="6" t="s">
        <v>70</v>
      </c>
      <c r="D2349" s="6" t="s">
        <v>71</v>
      </c>
      <c r="E2349" s="6" t="s">
        <v>12</v>
      </c>
      <c r="F2349" s="6" t="s">
        <v>13</v>
      </c>
      <c r="G2349" s="6" t="s">
        <v>61</v>
      </c>
      <c r="H2349" s="8" t="s">
        <v>3378</v>
      </c>
      <c r="I2349" s="9">
        <v>5020000.0</v>
      </c>
      <c r="J2349" s="5" t="str">
        <f t="shared" ref="J2349:K2349" si="2349">SUBSTITUTE(H2349, ",", "")</f>
        <v>2</v>
      </c>
      <c r="K2349" s="5" t="str">
        <f t="shared" si="2349"/>
        <v>Rp5020000</v>
      </c>
      <c r="L2349" s="5" t="str">
        <f t="shared" si="3"/>
        <v>5020000</v>
      </c>
    </row>
    <row r="2350">
      <c r="A2350" s="6" t="s">
        <v>3562</v>
      </c>
      <c r="B2350" s="7" t="str">
        <f>HYPERLINK("https://shopee.co.id/Garnier-Sakura-White-Whitening-Serum-Day-Cream-UV-40-mL-i.65323877.8079237416", "https://shopee.co.id/Garnier-Sakura-White-Whitening-Serum-Day-Cream-UV-40-mL-i.65323877.8079237416")</f>
        <v>https://shopee.co.id/Garnier-Sakura-White-Whitening-Serum-Day-Cream-UV-40-mL-i.65323877.8079237416</v>
      </c>
      <c r="C2350" s="6" t="s">
        <v>74</v>
      </c>
      <c r="D2350" s="6" t="s">
        <v>1600</v>
      </c>
      <c r="E2350" s="6" t="s">
        <v>12</v>
      </c>
      <c r="F2350" s="6" t="s">
        <v>13</v>
      </c>
      <c r="G2350" s="6" t="s">
        <v>296</v>
      </c>
      <c r="H2350" s="8" t="s">
        <v>3378</v>
      </c>
      <c r="I2350" s="9">
        <v>2530000.0</v>
      </c>
      <c r="J2350" s="5" t="str">
        <f t="shared" ref="J2350:K2350" si="2350">SUBSTITUTE(H2350, ",", "")</f>
        <v>2</v>
      </c>
      <c r="K2350" s="5" t="str">
        <f t="shared" si="2350"/>
        <v>Rp2530000</v>
      </c>
      <c r="L2350" s="5" t="str">
        <f t="shared" si="3"/>
        <v>2530000</v>
      </c>
    </row>
    <row r="2351">
      <c r="A2351" s="6" t="s">
        <v>3563</v>
      </c>
      <c r="B2351" s="7" t="str">
        <f>HYPERLINK("https://shopee.co.id/Raiku-Antioxidant-Serum-30-ml--i.82041605.6954933982", "https://shopee.co.id/Raiku-Antioxidant-Serum-30-ml--i.82041605.6954933982")</f>
        <v>https://shopee.co.id/Raiku-Antioxidant-Serum-30-ml--i.82041605.6954933982</v>
      </c>
      <c r="C2351" s="6" t="s">
        <v>2281</v>
      </c>
      <c r="D2351" s="6" t="s">
        <v>2282</v>
      </c>
      <c r="E2351" s="6" t="s">
        <v>12</v>
      </c>
      <c r="F2351" s="6" t="s">
        <v>13</v>
      </c>
      <c r="G2351" s="6" t="s">
        <v>21</v>
      </c>
      <c r="H2351" s="8" t="s">
        <v>3378</v>
      </c>
      <c r="I2351" s="9">
        <v>268200.0</v>
      </c>
      <c r="J2351" s="5" t="str">
        <f t="shared" ref="J2351:K2351" si="2351">SUBSTITUTE(H2351, ",", "")</f>
        <v>2</v>
      </c>
      <c r="K2351" s="5" t="str">
        <f t="shared" si="2351"/>
        <v>Rp268200</v>
      </c>
      <c r="L2351" s="5" t="str">
        <f t="shared" si="3"/>
        <v>268200</v>
      </c>
    </row>
    <row r="2352">
      <c r="A2352" s="6" t="s">
        <v>3564</v>
      </c>
      <c r="B2352" s="7" t="str">
        <f>HYPERLINK("https://shopee.co.id/-ORI-100-Illuminare-Brightening-Serum-30ml-Perawatan-Wajah-Serum-Wajah-i.114789399.2649979900", "https://shopee.co.id/-ORI-100-Illuminare-Brightening-Serum-30ml-Perawatan-Wajah-Serum-Wajah-i.114789399.2649979900")</f>
        <v>https://shopee.co.id/-ORI-100-Illuminare-Brightening-Serum-30ml-Perawatan-Wajah-Serum-Wajah-i.114789399.2649979900</v>
      </c>
      <c r="C2352" s="6" t="s">
        <v>1750</v>
      </c>
      <c r="D2352" s="6" t="s">
        <v>2531</v>
      </c>
      <c r="E2352" s="6" t="s">
        <v>12</v>
      </c>
      <c r="F2352" s="6" t="s">
        <v>13</v>
      </c>
      <c r="G2352" s="6" t="s">
        <v>36</v>
      </c>
      <c r="H2352" s="8" t="s">
        <v>3378</v>
      </c>
      <c r="I2352" s="9">
        <v>283100.0</v>
      </c>
      <c r="J2352" s="5" t="str">
        <f t="shared" ref="J2352:K2352" si="2352">SUBSTITUTE(H2352, ",", "")</f>
        <v>2</v>
      </c>
      <c r="K2352" s="5" t="str">
        <f t="shared" si="2352"/>
        <v>Rp283100</v>
      </c>
      <c r="L2352" s="5" t="str">
        <f t="shared" si="3"/>
        <v>283100</v>
      </c>
    </row>
    <row r="2353">
      <c r="A2353" s="6" t="s">
        <v>3565</v>
      </c>
      <c r="B2353" s="7" t="str">
        <f>HYPERLINK("https://shopee.co.id/Hada-Labo-Shirojyun-Ultimate-Whitening-Essence-30-ml-i.270965687.4741190130", "https://shopee.co.id/Hada-Labo-Shirojyun-Ultimate-Whitening-Essence-30-ml-i.270965687.4741190130")</f>
        <v>https://shopee.co.id/Hada-Labo-Shirojyun-Ultimate-Whitening-Essence-30-ml-i.270965687.4741190130</v>
      </c>
      <c r="C2353" s="6" t="s">
        <v>2090</v>
      </c>
      <c r="D2353" s="6" t="s">
        <v>379</v>
      </c>
      <c r="E2353" s="6" t="s">
        <v>12</v>
      </c>
      <c r="F2353" s="6" t="s">
        <v>13</v>
      </c>
      <c r="G2353" s="6" t="s">
        <v>380</v>
      </c>
      <c r="H2353" s="8" t="s">
        <v>3378</v>
      </c>
      <c r="I2353" s="9">
        <v>287000.0</v>
      </c>
      <c r="J2353" s="5" t="str">
        <f t="shared" ref="J2353:K2353" si="2353">SUBSTITUTE(H2353, ",", "")</f>
        <v>2</v>
      </c>
      <c r="K2353" s="5" t="str">
        <f t="shared" si="2353"/>
        <v>Rp287000</v>
      </c>
      <c r="L2353" s="5" t="str">
        <f t="shared" si="3"/>
        <v>287000</v>
      </c>
    </row>
    <row r="2354">
      <c r="A2354" s="6" t="s">
        <v>3566</v>
      </c>
      <c r="B2354" s="7" t="str">
        <f>HYPERLINK("https://shopee.co.id/Elshe-Skin-Serum-Vitamin-C-20ml--i.68111.1011133201", "https://shopee.co.id/Elshe-Skin-Serum-Vitamin-C-20ml--i.68111.1011133201")</f>
        <v>https://shopee.co.id/Elshe-Skin-Serum-Vitamin-C-20ml--i.68111.1011133201</v>
      </c>
      <c r="C2354" s="6" t="s">
        <v>135</v>
      </c>
      <c r="D2354" s="6" t="s">
        <v>441</v>
      </c>
      <c r="E2354" s="6" t="s">
        <v>12</v>
      </c>
      <c r="F2354" s="6" t="s">
        <v>13</v>
      </c>
      <c r="G2354" s="6" t="s">
        <v>130</v>
      </c>
      <c r="H2354" s="8" t="s">
        <v>3378</v>
      </c>
      <c r="I2354" s="9">
        <v>448000.0</v>
      </c>
      <c r="J2354" s="5" t="str">
        <f t="shared" ref="J2354:K2354" si="2354">SUBSTITUTE(H2354, ",", "")</f>
        <v>2</v>
      </c>
      <c r="K2354" s="5" t="str">
        <f t="shared" si="2354"/>
        <v>Rp448000</v>
      </c>
      <c r="L2354" s="5" t="str">
        <f t="shared" si="3"/>
        <v>448000</v>
      </c>
    </row>
    <row r="2355">
      <c r="A2355" s="6" t="s">
        <v>3567</v>
      </c>
      <c r="B2355" s="7" t="str">
        <f>HYPERLINK("https://shopee.co.id/MSBB-Votre-Peau-Brightening-Essence-i.288588702.3880573375", "https://shopee.co.id/MSBB-Votre-Peau-Brightening-Essence-i.288588702.3880573375")</f>
        <v>https://shopee.co.id/MSBB-Votre-Peau-Brightening-Essence-i.288588702.3880573375</v>
      </c>
      <c r="C2355" s="6" t="s">
        <v>471</v>
      </c>
      <c r="D2355" s="6" t="s">
        <v>79</v>
      </c>
      <c r="E2355" s="6" t="s">
        <v>12</v>
      </c>
      <c r="F2355" s="6" t="s">
        <v>13</v>
      </c>
      <c r="G2355" s="6" t="s">
        <v>80</v>
      </c>
      <c r="H2355" s="8" t="s">
        <v>3378</v>
      </c>
      <c r="I2355" s="9">
        <v>19800.0</v>
      </c>
      <c r="J2355" s="5" t="str">
        <f t="shared" ref="J2355:K2355" si="2355">SUBSTITUTE(H2355, ",", "")</f>
        <v>2</v>
      </c>
      <c r="K2355" s="5" t="str">
        <f t="shared" si="2355"/>
        <v>Rp19800</v>
      </c>
      <c r="L2355" s="5" t="str">
        <f t="shared" si="3"/>
        <v>19800</v>
      </c>
    </row>
    <row r="2356">
      <c r="A2356" s="6" t="s">
        <v>2447</v>
      </c>
      <c r="B2356" s="7" t="str">
        <f>HYPERLINK("https://shopee.co.id/AZARINE-Anti-Acne-Brightening-Serum-20-ml-i.270965687.8173423720", "https://shopee.co.id/AZARINE-Anti-Acne-Brightening-Serum-20-ml-i.270965687.8173423720")</f>
        <v>https://shopee.co.id/AZARINE-Anti-Acne-Brightening-Serum-20-ml-i.270965687.8173423720</v>
      </c>
      <c r="C2356" s="6" t="s">
        <v>233</v>
      </c>
      <c r="D2356" s="6" t="s">
        <v>379</v>
      </c>
      <c r="E2356" s="6" t="s">
        <v>12</v>
      </c>
      <c r="F2356" s="6" t="s">
        <v>13</v>
      </c>
      <c r="G2356" s="6" t="s">
        <v>380</v>
      </c>
      <c r="H2356" s="8" t="s">
        <v>3378</v>
      </c>
      <c r="I2356" s="9">
        <v>154200.0</v>
      </c>
      <c r="J2356" s="5" t="str">
        <f t="shared" ref="J2356:K2356" si="2356">SUBSTITUTE(H2356, ",", "")</f>
        <v>2</v>
      </c>
      <c r="K2356" s="5" t="str">
        <f t="shared" si="2356"/>
        <v>Rp154200</v>
      </c>
      <c r="L2356" s="5" t="str">
        <f t="shared" si="3"/>
        <v>154200</v>
      </c>
    </row>
    <row r="2357">
      <c r="A2357" s="6" t="s">
        <v>3568</v>
      </c>
      <c r="B2357" s="7" t="str">
        <f>HYPERLINK("https://shopee.co.id/Beautybarme-Azarine-Trio-Serum-Collection-i.28781862.8744628645", "https://shopee.co.id/Beautybarme-Azarine-Trio-Serum-Collection-i.28781862.8744628645")</f>
        <v>https://shopee.co.id/Beautybarme-Azarine-Trio-Serum-Collection-i.28781862.8744628645</v>
      </c>
      <c r="C2357" s="6" t="s">
        <v>233</v>
      </c>
      <c r="D2357" s="6" t="s">
        <v>1189</v>
      </c>
      <c r="E2357" s="6" t="s">
        <v>12</v>
      </c>
      <c r="F2357" s="6" t="s">
        <v>13</v>
      </c>
      <c r="G2357" s="6" t="s">
        <v>1190</v>
      </c>
      <c r="H2357" s="8" t="s">
        <v>3378</v>
      </c>
      <c r="I2357" s="9">
        <v>396000.0</v>
      </c>
      <c r="J2357" s="5" t="str">
        <f t="shared" ref="J2357:K2357" si="2357">SUBSTITUTE(H2357, ",", "")</f>
        <v>2</v>
      </c>
      <c r="K2357" s="5" t="str">
        <f t="shared" si="2357"/>
        <v>Rp396000</v>
      </c>
      <c r="L2357" s="5" t="str">
        <f t="shared" si="3"/>
        <v>396000</v>
      </c>
    </row>
    <row r="2358">
      <c r="A2358" s="6" t="s">
        <v>3569</v>
      </c>
      <c r="B2358" s="7" t="str">
        <f>HYPERLINK("https://shopee.co.id/TISHA-AC7-Spot-Serum-Phytosilica-Sachet-1g-x-3ea-i.283615589.5441623584", "https://shopee.co.id/TISHA-AC7-Spot-Serum-Phytosilica-Sachet-1g-x-3ea-i.283615589.5441623584")</f>
        <v>https://shopee.co.id/TISHA-AC7-Spot-Serum-Phytosilica-Sachet-1g-x-3ea-i.283615589.5441623584</v>
      </c>
      <c r="C2358" s="6" t="s">
        <v>3025</v>
      </c>
      <c r="D2358" s="6" t="s">
        <v>3026</v>
      </c>
      <c r="E2358" s="6" t="s">
        <v>12</v>
      </c>
      <c r="F2358" s="6" t="s">
        <v>13</v>
      </c>
      <c r="G2358" s="6" t="s">
        <v>3027</v>
      </c>
      <c r="H2358" s="8" t="s">
        <v>3378</v>
      </c>
      <c r="I2358" s="9">
        <v>398000.0</v>
      </c>
      <c r="J2358" s="5" t="str">
        <f t="shared" ref="J2358:K2358" si="2358">SUBSTITUTE(H2358, ",", "")</f>
        <v>2</v>
      </c>
      <c r="K2358" s="5" t="str">
        <f t="shared" si="2358"/>
        <v>Rp398000</v>
      </c>
      <c r="L2358" s="5" t="str">
        <f t="shared" si="3"/>
        <v>398000</v>
      </c>
    </row>
    <row r="2359">
      <c r="A2359" s="6" t="s">
        <v>3570</v>
      </c>
      <c r="B2359" s="7" t="str">
        <f>HYPERLINK("https://shopee.co.id/Esther-Tea-Tree-Serum-i.258793984.5732823852", "https://shopee.co.id/Esther-Tea-Tree-Serum-i.258793984.5732823852")</f>
        <v>https://shopee.co.id/Esther-Tea-Tree-Serum-i.258793984.5732823852</v>
      </c>
      <c r="C2359" s="6" t="s">
        <v>3398</v>
      </c>
      <c r="D2359" s="6" t="s">
        <v>3399</v>
      </c>
      <c r="E2359" s="6" t="s">
        <v>12</v>
      </c>
      <c r="F2359" s="6" t="s">
        <v>13</v>
      </c>
      <c r="G2359" s="6" t="s">
        <v>350</v>
      </c>
      <c r="H2359" s="8" t="s">
        <v>3378</v>
      </c>
      <c r="I2359" s="9">
        <v>451000.0</v>
      </c>
      <c r="J2359" s="5" t="str">
        <f t="shared" ref="J2359:K2359" si="2359">SUBSTITUTE(H2359, ",", "")</f>
        <v>2</v>
      </c>
      <c r="K2359" s="5" t="str">
        <f t="shared" si="2359"/>
        <v>Rp451000</v>
      </c>
      <c r="L2359" s="5" t="str">
        <f t="shared" si="3"/>
        <v>451000</v>
      </c>
    </row>
    <row r="2360">
      <c r="A2360" s="6" t="s">
        <v>3571</v>
      </c>
      <c r="B2360" s="7" t="str">
        <f>HYPERLINK("https://shopee.co.id/MSBB-Purivera-Everlasting-Tamanu-Serum-Oil-Scar-Repair-Bopeng-Truecica-Snail-Cica-i.288588702.9973533846", "https://shopee.co.id/MSBB-Purivera-Everlasting-Tamanu-Serum-Oil-Scar-Repair-Bopeng-Truecica-Snail-Cica-i.288588702.9973533846")</f>
        <v>https://shopee.co.id/MSBB-Purivera-Everlasting-Tamanu-Serum-Oil-Scar-Repair-Bopeng-Truecica-Snail-Cica-i.288588702.9973533846</v>
      </c>
      <c r="C2360" s="6" t="s">
        <v>940</v>
      </c>
      <c r="D2360" s="6" t="s">
        <v>79</v>
      </c>
      <c r="E2360" s="6" t="s">
        <v>12</v>
      </c>
      <c r="F2360" s="6" t="s">
        <v>13</v>
      </c>
      <c r="G2360" s="6" t="s">
        <v>80</v>
      </c>
      <c r="H2360" s="8" t="s">
        <v>3378</v>
      </c>
      <c r="I2360" s="9">
        <v>258000.0</v>
      </c>
      <c r="J2360" s="5" t="str">
        <f t="shared" ref="J2360:K2360" si="2360">SUBSTITUTE(H2360, ",", "")</f>
        <v>2</v>
      </c>
      <c r="K2360" s="5" t="str">
        <f t="shared" si="2360"/>
        <v>Rp258000</v>
      </c>
      <c r="L2360" s="5" t="str">
        <f t="shared" si="3"/>
        <v>258000</v>
      </c>
    </row>
    <row r="2361">
      <c r="A2361" s="6" t="s">
        <v>3572</v>
      </c>
      <c r="B2361" s="7" t="str">
        <f>HYPERLINK("https://shopee.co.id/Elshe-Skin-Active-Rejuvenating-Night-Serum-20ml-i.68111.6448747403", "https://shopee.co.id/Elshe-Skin-Active-Rejuvenating-Night-Serum-20ml-i.68111.6448747403")</f>
        <v>https://shopee.co.id/Elshe-Skin-Active-Rejuvenating-Night-Serum-20ml-i.68111.6448747403</v>
      </c>
      <c r="C2361" s="6" t="s">
        <v>135</v>
      </c>
      <c r="D2361" s="6" t="s">
        <v>441</v>
      </c>
      <c r="E2361" s="6" t="s">
        <v>12</v>
      </c>
      <c r="F2361" s="6" t="s">
        <v>13</v>
      </c>
      <c r="G2361" s="6" t="s">
        <v>130</v>
      </c>
      <c r="H2361" s="8" t="s">
        <v>3378</v>
      </c>
      <c r="I2361" s="9">
        <v>138000.0</v>
      </c>
      <c r="J2361" s="5" t="str">
        <f t="shared" ref="J2361:K2361" si="2361">SUBSTITUTE(H2361, ",", "")</f>
        <v>2</v>
      </c>
      <c r="K2361" s="5" t="str">
        <f t="shared" si="2361"/>
        <v>Rp138000</v>
      </c>
      <c r="L2361" s="5" t="str">
        <f t="shared" si="3"/>
        <v>138000</v>
      </c>
    </row>
    <row r="2362">
      <c r="A2362" s="6" t="s">
        <v>3573</v>
      </c>
      <c r="B2362" s="7" t="str">
        <f>HYPERLINK("https://shopee.co.id/ElsheSkin-Active-Rejuvenating-Night-Serum-20ml-i.825870.7757097325", "https://shopee.co.id/ElsheSkin-Active-Rejuvenating-Night-Serum-20ml-i.825870.7757097325")</f>
        <v>https://shopee.co.id/ElsheSkin-Active-Rejuvenating-Night-Serum-20ml-i.825870.7757097325</v>
      </c>
      <c r="C2362" s="6" t="s">
        <v>135</v>
      </c>
      <c r="D2362" s="6" t="s">
        <v>1184</v>
      </c>
      <c r="E2362" s="6" t="s">
        <v>12</v>
      </c>
      <c r="F2362" s="6" t="s">
        <v>13</v>
      </c>
      <c r="G2362" s="6" t="s">
        <v>21</v>
      </c>
      <c r="H2362" s="8" t="s">
        <v>3378</v>
      </c>
      <c r="I2362" s="9">
        <v>2139400.0</v>
      </c>
      <c r="J2362" s="5" t="str">
        <f t="shared" ref="J2362:K2362" si="2362">SUBSTITUTE(H2362, ",", "")</f>
        <v>2</v>
      </c>
      <c r="K2362" s="5" t="str">
        <f t="shared" si="2362"/>
        <v>Rp2139400</v>
      </c>
      <c r="L2362" s="5" t="str">
        <f t="shared" si="3"/>
        <v>2139400</v>
      </c>
    </row>
    <row r="2363">
      <c r="A2363" s="6" t="s">
        <v>3574</v>
      </c>
      <c r="B2363" s="7" t="str">
        <f>HYPERLINK("https://shopee.co.id/Esther-Brightening-Face-Serum-4-Ampoules-i.258793984.5732827976", "https://shopee.co.id/Esther-Brightening-Face-Serum-4-Ampoules-i.258793984.5732827976")</f>
        <v>https://shopee.co.id/Esther-Brightening-Face-Serum-4-Ampoules-i.258793984.5732827976</v>
      </c>
      <c r="C2363" s="6" t="s">
        <v>3398</v>
      </c>
      <c r="D2363" s="6" t="s">
        <v>3399</v>
      </c>
      <c r="E2363" s="6" t="s">
        <v>12</v>
      </c>
      <c r="F2363" s="6" t="s">
        <v>13</v>
      </c>
      <c r="G2363" s="6" t="s">
        <v>350</v>
      </c>
      <c r="H2363" s="8" t="s">
        <v>3378</v>
      </c>
      <c r="I2363" s="9">
        <v>2400000.0</v>
      </c>
      <c r="J2363" s="5" t="str">
        <f t="shared" ref="J2363:K2363" si="2363">SUBSTITUTE(H2363, ",", "")</f>
        <v>2</v>
      </c>
      <c r="K2363" s="5" t="str">
        <f t="shared" si="2363"/>
        <v>Rp2400000</v>
      </c>
      <c r="L2363" s="5" t="str">
        <f t="shared" si="3"/>
        <v>2400000</v>
      </c>
    </row>
    <row r="2364">
      <c r="A2364" s="6" t="s">
        <v>3575</v>
      </c>
      <c r="B2364" s="7" t="str">
        <f>HYPERLINK("https://shopee.co.id/MSBB-For-Skin-s-Sake-Vitamin-C-Serum-i.288588702.9639320439", "https://shopee.co.id/MSBB-For-Skin-s-Sake-Vitamin-C-Serum-i.288588702.9639320439")</f>
        <v>https://shopee.co.id/MSBB-For-Skin-s-Sake-Vitamin-C-Serum-i.288588702.9639320439</v>
      </c>
      <c r="C2364" s="6" t="s">
        <v>78</v>
      </c>
      <c r="D2364" s="6" t="s">
        <v>79</v>
      </c>
      <c r="E2364" s="6" t="s">
        <v>12</v>
      </c>
      <c r="F2364" s="6" t="s">
        <v>13</v>
      </c>
      <c r="G2364" s="6" t="s">
        <v>80</v>
      </c>
      <c r="H2364" s="8" t="s">
        <v>3378</v>
      </c>
      <c r="I2364" s="9">
        <v>320000.0</v>
      </c>
      <c r="J2364" s="5" t="str">
        <f t="shared" ref="J2364:K2364" si="2364">SUBSTITUTE(H2364, ",", "")</f>
        <v>2</v>
      </c>
      <c r="K2364" s="5" t="str">
        <f t="shared" si="2364"/>
        <v>Rp320000</v>
      </c>
      <c r="L2364" s="5" t="str">
        <f t="shared" si="3"/>
        <v>320000</v>
      </c>
    </row>
    <row r="2365">
      <c r="A2365" s="6" t="s">
        <v>3576</v>
      </c>
      <c r="B2365" s="7" t="str">
        <f>HYPERLINK("https://shopee.co.id/Safi-Age-Defy-Gold-Water-Essence-Gold-Extract-And-Silk-Protein-100-Ml-Esens-Perawatan-Kulit-Wajah-i.50972887.4005455393", "https://shopee.co.id/Safi-Age-Defy-Gold-Water-Essence-Gold-Extract-And-Silk-Protein-100-Ml-Esens-Perawatan-Kulit-Wajah-i.50972887.4005455393")</f>
        <v>https://shopee.co.id/Safi-Age-Defy-Gold-Water-Essence-Gold-Extract-And-Silk-Protein-100-Ml-Esens-Perawatan-Kulit-Wajah-i.50972887.4005455393</v>
      </c>
      <c r="C2365" s="6" t="s">
        <v>278</v>
      </c>
      <c r="D2365" s="6" t="s">
        <v>552</v>
      </c>
      <c r="E2365" s="6" t="s">
        <v>12</v>
      </c>
      <c r="F2365" s="6" t="s">
        <v>13</v>
      </c>
      <c r="G2365" s="6" t="s">
        <v>61</v>
      </c>
      <c r="H2365" s="8" t="s">
        <v>3378</v>
      </c>
      <c r="I2365" s="9">
        <v>812000.0</v>
      </c>
      <c r="J2365" s="5" t="str">
        <f t="shared" ref="J2365:K2365" si="2365">SUBSTITUTE(H2365, ",", "")</f>
        <v>2</v>
      </c>
      <c r="K2365" s="5" t="str">
        <f t="shared" si="2365"/>
        <v>Rp812000</v>
      </c>
      <c r="L2365" s="5" t="str">
        <f t="shared" si="3"/>
        <v>812000</v>
      </c>
    </row>
    <row r="2366">
      <c r="A2366" s="6" t="s">
        <v>154</v>
      </c>
      <c r="B2366" s="7" t="str">
        <f>HYPERLINK("https://shopee.co.id/Avoskin-Miraculous-Refining-Serum-i.476696916.3293387471", "https://shopee.co.id/Avoskin-Miraculous-Refining-Serum-i.476696916.3293387471")</f>
        <v>https://shopee.co.id/Avoskin-Miraculous-Refining-Serum-i.476696916.3293387471</v>
      </c>
      <c r="C2366" s="6" t="s">
        <v>83</v>
      </c>
      <c r="D2366" s="6" t="s">
        <v>3577</v>
      </c>
      <c r="E2366" s="6" t="s">
        <v>12</v>
      </c>
      <c r="F2366" s="6" t="s">
        <v>13</v>
      </c>
      <c r="G2366" s="6" t="s">
        <v>350</v>
      </c>
      <c r="H2366" s="8" t="s">
        <v>3378</v>
      </c>
      <c r="I2366" s="9">
        <v>282820.0</v>
      </c>
      <c r="J2366" s="5" t="str">
        <f t="shared" ref="J2366:K2366" si="2366">SUBSTITUTE(H2366, ",", "")</f>
        <v>2</v>
      </c>
      <c r="K2366" s="5" t="str">
        <f t="shared" si="2366"/>
        <v>Rp282820</v>
      </c>
      <c r="L2366" s="5" t="str">
        <f t="shared" si="3"/>
        <v>282820</v>
      </c>
    </row>
    <row r="2367">
      <c r="A2367" s="6" t="s">
        <v>3578</v>
      </c>
      <c r="B2367" s="7" t="str">
        <f>HYPERLINK("https://shopee.co.id/Aish-Serum-Brightening-Original-Serum-Korean-Pencerah-Wajah-Glowing-Serum-Pemutih-Wajah-BPOM-Serum-Viral-Tiktok-Aish-i.287975332.12909535576", "https://shopee.co.id/Aish-Serum-Brightening-Original-Serum-Korean-Pencerah-Wajah-Glowing-Serum-Pemutih-Wajah-BPOM-Serum-Viral-Tiktok-Aish-i.287975332.12909535576")</f>
        <v>https://shopee.co.id/Aish-Serum-Brightening-Original-Serum-Korean-Pencerah-Wajah-Glowing-Serum-Pemutih-Wajah-BPOM-Serum-Viral-Tiktok-Aish-i.287975332.12909535576</v>
      </c>
      <c r="C2367" s="6" t="s">
        <v>348</v>
      </c>
      <c r="D2367" s="6" t="s">
        <v>349</v>
      </c>
      <c r="E2367" s="6" t="s">
        <v>12</v>
      </c>
      <c r="F2367" s="6" t="s">
        <v>13</v>
      </c>
      <c r="G2367" s="6" t="s">
        <v>350</v>
      </c>
      <c r="H2367" s="8" t="s">
        <v>3378</v>
      </c>
      <c r="I2367" s="9">
        <v>1198000.0</v>
      </c>
      <c r="J2367" s="5" t="str">
        <f t="shared" ref="J2367:K2367" si="2367">SUBSTITUTE(H2367, ",", "")</f>
        <v>2</v>
      </c>
      <c r="K2367" s="5" t="str">
        <f t="shared" si="2367"/>
        <v>Rp1198000</v>
      </c>
      <c r="L2367" s="5" t="str">
        <f t="shared" si="3"/>
        <v>1198000</v>
      </c>
    </row>
    <row r="2368">
      <c r="A2368" s="6" t="s">
        <v>3579</v>
      </c>
      <c r="B2368" s="7" t="str">
        <f>HYPERLINK("https://shopee.co.id/JARTE-Beauty-CICA-Care-Ampoule-i.68111.9113600017", "https://shopee.co.id/JARTE-Beauty-CICA-Care-Ampoule-i.68111.9113600017")</f>
        <v>https://shopee.co.id/JARTE-Beauty-CICA-Care-Ampoule-i.68111.9113600017</v>
      </c>
      <c r="C2368" s="6" t="s">
        <v>3219</v>
      </c>
      <c r="D2368" s="6" t="s">
        <v>441</v>
      </c>
      <c r="E2368" s="6" t="s">
        <v>12</v>
      </c>
      <c r="F2368" s="6" t="s">
        <v>13</v>
      </c>
      <c r="G2368" s="6" t="s">
        <v>130</v>
      </c>
      <c r="H2368" s="8" t="s">
        <v>3378</v>
      </c>
      <c r="I2368" s="9">
        <v>393100.0</v>
      </c>
      <c r="J2368" s="5" t="str">
        <f t="shared" ref="J2368:K2368" si="2368">SUBSTITUTE(H2368, ",", "")</f>
        <v>2</v>
      </c>
      <c r="K2368" s="5" t="str">
        <f t="shared" si="2368"/>
        <v>Rp393100</v>
      </c>
      <c r="L2368" s="5" t="str">
        <f t="shared" si="3"/>
        <v>393100</v>
      </c>
    </row>
    <row r="2369">
      <c r="A2369" s="6" t="s">
        <v>3580</v>
      </c>
      <c r="B2369" s="7" t="str">
        <f>HYPERLINK("https://shopee.co.id/Hanasui-Vitamin-C-Serum-20Ml-Serum-Wajah-Pelembab-Wajah-Vitamin-Wajah-Isi-3--i.175375997.5000249126", "https://shopee.co.id/Hanasui-Vitamin-C-Serum-20Ml-Serum-Wajah-Pelembab-Wajah-Vitamin-Wajah-Isi-3--i.175375997.5000249126")</f>
        <v>https://shopee.co.id/Hanasui-Vitamin-C-Serum-20Ml-Serum-Wajah-Pelembab-Wajah-Vitamin-Wajah-Isi-3--i.175375997.5000249126</v>
      </c>
      <c r="C2369" s="6" t="s">
        <v>784</v>
      </c>
      <c r="D2369" s="6" t="s">
        <v>2123</v>
      </c>
      <c r="E2369" s="6" t="s">
        <v>12</v>
      </c>
      <c r="F2369" s="6" t="s">
        <v>13</v>
      </c>
      <c r="G2369" s="6" t="s">
        <v>36</v>
      </c>
      <c r="H2369" s="8" t="s">
        <v>3378</v>
      </c>
      <c r="I2369" s="9">
        <v>334800.0</v>
      </c>
      <c r="J2369" s="5" t="str">
        <f t="shared" ref="J2369:K2369" si="2369">SUBSTITUTE(H2369, ",", "")</f>
        <v>2</v>
      </c>
      <c r="K2369" s="5" t="str">
        <f t="shared" si="2369"/>
        <v>Rp334800</v>
      </c>
      <c r="L2369" s="5" t="str">
        <f t="shared" si="3"/>
        <v>334800</v>
      </c>
    </row>
    <row r="2370">
      <c r="A2370" s="6" t="s">
        <v>3581</v>
      </c>
      <c r="B2370" s="7" t="str">
        <f>HYPERLINK("https://shopee.co.id/Raiku-Water-Essence-30ml-i.82041605.6114955618", "https://shopee.co.id/Raiku-Water-Essence-30ml-i.82041605.6114955618")</f>
        <v>https://shopee.co.id/Raiku-Water-Essence-30ml-i.82041605.6114955618</v>
      </c>
      <c r="C2370" s="6" t="s">
        <v>2281</v>
      </c>
      <c r="D2370" s="6" t="s">
        <v>2282</v>
      </c>
      <c r="E2370" s="6" t="s">
        <v>12</v>
      </c>
      <c r="F2370" s="6" t="s">
        <v>13</v>
      </c>
      <c r="G2370" s="6" t="s">
        <v>21</v>
      </c>
      <c r="H2370" s="8" t="s">
        <v>3378</v>
      </c>
      <c r="I2370" s="9">
        <v>320850.0</v>
      </c>
      <c r="J2370" s="5" t="str">
        <f t="shared" ref="J2370:K2370" si="2370">SUBSTITUTE(H2370, ",", "")</f>
        <v>2</v>
      </c>
      <c r="K2370" s="5" t="str">
        <f t="shared" si="2370"/>
        <v>Rp320850</v>
      </c>
      <c r="L2370" s="5" t="str">
        <f t="shared" si="3"/>
        <v>320850</v>
      </c>
    </row>
    <row r="2371">
      <c r="A2371" s="6" t="s">
        <v>3582</v>
      </c>
      <c r="B2371" s="7" t="str">
        <f>HYPERLINK("https://shopee.co.id/Safi-Age-Defy-Concentrated-Serum-20-ml-i.186214521.5804533578", "https://shopee.co.id/Safi-Age-Defy-Concentrated-Serum-20-ml-i.186214521.5804533578")</f>
        <v>https://shopee.co.id/Safi-Age-Defy-Concentrated-Serum-20-ml-i.186214521.5804533578</v>
      </c>
      <c r="C2371" s="6" t="s">
        <v>278</v>
      </c>
      <c r="D2371" s="6" t="s">
        <v>2293</v>
      </c>
      <c r="E2371" s="6" t="s">
        <v>12</v>
      </c>
      <c r="F2371" s="6" t="s">
        <v>13</v>
      </c>
      <c r="G2371" s="6" t="s">
        <v>61</v>
      </c>
      <c r="H2371" s="8" t="s">
        <v>3378</v>
      </c>
      <c r="I2371" s="9">
        <v>292950.0</v>
      </c>
      <c r="J2371" s="5" t="str">
        <f t="shared" ref="J2371:K2371" si="2371">SUBSTITUTE(H2371, ",", "")</f>
        <v>2</v>
      </c>
      <c r="K2371" s="5" t="str">
        <f t="shared" si="2371"/>
        <v>Rp292950</v>
      </c>
      <c r="L2371" s="5" t="str">
        <f t="shared" si="3"/>
        <v>292950</v>
      </c>
    </row>
    <row r="2372">
      <c r="A2372" s="6" t="s">
        <v>3583</v>
      </c>
      <c r="B2372" s="7" t="str">
        <f>HYPERLINK("https://shopee.co.id/G9Skin-Light-Serum-i.137563500.2075794520", "https://shopee.co.id/G9Skin-Light-Serum-i.137563500.2075794520")</f>
        <v>https://shopee.co.id/G9Skin-Light-Serum-i.137563500.2075794520</v>
      </c>
      <c r="C2372" s="6" t="s">
        <v>3584</v>
      </c>
      <c r="D2372" s="6" t="s">
        <v>3585</v>
      </c>
      <c r="E2372" s="6" t="s">
        <v>12</v>
      </c>
      <c r="F2372" s="6" t="s">
        <v>13</v>
      </c>
      <c r="G2372" s="6" t="s">
        <v>532</v>
      </c>
      <c r="H2372" s="8" t="s">
        <v>3378</v>
      </c>
      <c r="I2372" s="9">
        <v>311500.0</v>
      </c>
      <c r="J2372" s="5" t="str">
        <f t="shared" ref="J2372:K2372" si="2372">SUBSTITUTE(H2372, ",", "")</f>
        <v>2</v>
      </c>
      <c r="K2372" s="5" t="str">
        <f t="shared" si="2372"/>
        <v>Rp311500</v>
      </c>
      <c r="L2372" s="5" t="str">
        <f t="shared" si="3"/>
        <v>311500</v>
      </c>
    </row>
    <row r="2373">
      <c r="A2373" s="6" t="s">
        <v>3586</v>
      </c>
      <c r="B2373" s="7" t="str">
        <f>HYPERLINK("https://shopee.co.id/Colus-Facial-Essence-Serum-100ml-i.27587544.2176032996", "https://shopee.co.id/Colus-Facial-Essence-Serum-100ml-i.27587544.2176032996")</f>
        <v>https://shopee.co.id/Colus-Facial-Essence-Serum-100ml-i.27587544.2176032996</v>
      </c>
      <c r="C2373" s="6" t="s">
        <v>3587</v>
      </c>
      <c r="D2373" s="6" t="s">
        <v>3588</v>
      </c>
      <c r="E2373" s="6" t="s">
        <v>12</v>
      </c>
      <c r="F2373" s="6" t="s">
        <v>13</v>
      </c>
      <c r="G2373" s="6" t="s">
        <v>2690</v>
      </c>
      <c r="H2373" s="8" t="s">
        <v>3378</v>
      </c>
      <c r="I2373" s="9">
        <v>436250.0</v>
      </c>
      <c r="J2373" s="5" t="str">
        <f t="shared" ref="J2373:K2373" si="2373">SUBSTITUTE(H2373, ",", "")</f>
        <v>2</v>
      </c>
      <c r="K2373" s="5" t="str">
        <f t="shared" si="2373"/>
        <v>Rp436250</v>
      </c>
      <c r="L2373" s="5" t="str">
        <f t="shared" si="3"/>
        <v>436250</v>
      </c>
    </row>
    <row r="2374">
      <c r="A2374" s="6" t="s">
        <v>3589</v>
      </c>
      <c r="B2374" s="7" t="str">
        <f>HYPERLINK("https://shopee.co.id/FACE-UP-AGE-DEFENCE-HAC-LIFT-SERUM-i.131135447.8745263574", "https://shopee.co.id/FACE-UP-AGE-DEFENCE-HAC-LIFT-SERUM-i.131135447.8745263574")</f>
        <v>https://shopee.co.id/FACE-UP-AGE-DEFENCE-HAC-LIFT-SERUM-i.131135447.8745263574</v>
      </c>
      <c r="C2374" s="6" t="s">
        <v>1923</v>
      </c>
      <c r="D2374" s="6" t="s">
        <v>1924</v>
      </c>
      <c r="E2374" s="6" t="s">
        <v>12</v>
      </c>
      <c r="F2374" s="6" t="s">
        <v>13</v>
      </c>
      <c r="G2374" s="6" t="s">
        <v>469</v>
      </c>
      <c r="H2374" s="8" t="s">
        <v>3378</v>
      </c>
      <c r="I2374" s="9">
        <v>46178.0</v>
      </c>
      <c r="J2374" s="5" t="str">
        <f t="shared" ref="J2374:K2374" si="2374">SUBSTITUTE(H2374, ",", "")</f>
        <v>2</v>
      </c>
      <c r="K2374" s="5" t="str">
        <f t="shared" si="2374"/>
        <v>Rp46178</v>
      </c>
      <c r="L2374" s="5" t="str">
        <f t="shared" si="3"/>
        <v>46178</v>
      </c>
    </row>
    <row r="2375">
      <c r="A2375" s="6" t="s">
        <v>3590</v>
      </c>
      <c r="B2375" s="7" t="str">
        <f>HYPERLINK("https://shopee.co.id/Azarine-Eyeluminate-Firming-Serum-C-White-15mL-i.65323877.10519054372", "https://shopee.co.id/Azarine-Eyeluminate-Firming-Serum-C-White-15mL-i.65323877.10519054372")</f>
        <v>https://shopee.co.id/Azarine-Eyeluminate-Firming-Serum-C-White-15mL-i.65323877.10519054372</v>
      </c>
      <c r="C2375" s="6" t="s">
        <v>233</v>
      </c>
      <c r="D2375" s="6" t="s">
        <v>1600</v>
      </c>
      <c r="E2375" s="6" t="s">
        <v>12</v>
      </c>
      <c r="F2375" s="6" t="s">
        <v>13</v>
      </c>
      <c r="G2375" s="6" t="s">
        <v>296</v>
      </c>
      <c r="H2375" s="8" t="s">
        <v>3378</v>
      </c>
      <c r="I2375" s="9">
        <v>648000.0</v>
      </c>
      <c r="J2375" s="5" t="str">
        <f t="shared" ref="J2375:K2375" si="2375">SUBSTITUTE(H2375, ",", "")</f>
        <v>2</v>
      </c>
      <c r="K2375" s="5" t="str">
        <f t="shared" si="2375"/>
        <v>Rp648000</v>
      </c>
      <c r="L2375" s="5" t="str">
        <f t="shared" si="3"/>
        <v>648000</v>
      </c>
    </row>
    <row r="2376">
      <c r="A2376" s="6" t="s">
        <v>3591</v>
      </c>
      <c r="B2376" s="7" t="str">
        <f>HYPERLINK("https://shopee.co.id/Illuminare-Pore-Serum-30ml-Serum-Wajah-i.204185841.3619399357", "https://shopee.co.id/Illuminare-Pore-Serum-30ml-Serum-Wajah-i.204185841.3619399357")</f>
        <v>https://shopee.co.id/Illuminare-Pore-Serum-30ml-Serum-Wajah-i.204185841.3619399357</v>
      </c>
      <c r="C2376" s="6" t="s">
        <v>1750</v>
      </c>
      <c r="D2376" s="6" t="s">
        <v>2568</v>
      </c>
      <c r="E2376" s="6" t="s">
        <v>12</v>
      </c>
      <c r="F2376" s="6" t="s">
        <v>13</v>
      </c>
      <c r="G2376" s="6" t="s">
        <v>36</v>
      </c>
      <c r="H2376" s="8" t="s">
        <v>3378</v>
      </c>
      <c r="I2376" s="9">
        <v>714000.0</v>
      </c>
      <c r="J2376" s="5" t="str">
        <f t="shared" ref="J2376:K2376" si="2376">SUBSTITUTE(H2376, ",", "")</f>
        <v>2</v>
      </c>
      <c r="K2376" s="5" t="str">
        <f t="shared" si="2376"/>
        <v>Rp714000</v>
      </c>
      <c r="L2376" s="5" t="str">
        <f t="shared" si="3"/>
        <v>714000</v>
      </c>
    </row>
    <row r="2377">
      <c r="A2377" s="6" t="s">
        <v>3592</v>
      </c>
      <c r="B2377" s="7" t="str">
        <f>HYPERLINK("https://shopee.co.id/Nu-Aroma-Jojoba-Oil-Natural-Serum-Wajah-Serum-Kulit-Serum-Rambut--i.262175945.5257193480", "https://shopee.co.id/Nu-Aroma-Jojoba-Oil-Natural-Serum-Wajah-Serum-Kulit-Serum-Rambut--i.262175945.5257193480")</f>
        <v>https://shopee.co.id/Nu-Aroma-Jojoba-Oil-Natural-Serum-Wajah-Serum-Kulit-Serum-Rambut--i.262175945.5257193480</v>
      </c>
      <c r="C2377" s="6" t="s">
        <v>2863</v>
      </c>
      <c r="D2377" s="6" t="s">
        <v>2864</v>
      </c>
      <c r="E2377" s="6" t="s">
        <v>12</v>
      </c>
      <c r="F2377" s="6" t="s">
        <v>13</v>
      </c>
      <c r="G2377" s="6" t="s">
        <v>945</v>
      </c>
      <c r="H2377" s="8" t="s">
        <v>3378</v>
      </c>
      <c r="I2377" s="9">
        <v>310000.0</v>
      </c>
      <c r="J2377" s="5" t="str">
        <f t="shared" ref="J2377:K2377" si="2377">SUBSTITUTE(H2377, ",", "")</f>
        <v>2</v>
      </c>
      <c r="K2377" s="5" t="str">
        <f t="shared" si="2377"/>
        <v>Rp310000</v>
      </c>
      <c r="L2377" s="5" t="str">
        <f t="shared" si="3"/>
        <v>310000</v>
      </c>
    </row>
    <row r="2378">
      <c r="A2378" s="6" t="s">
        <v>3593</v>
      </c>
      <c r="B2378" s="7" t="str">
        <f>HYPERLINK("https://shopee.co.id/RORO-MENDUT-Blewah-Mulberry-Alpha-Arbutin-Hyaluronic-Acid-Serum-i.87869551.3014963542", "https://shopee.co.id/RORO-MENDUT-Blewah-Mulberry-Alpha-Arbutin-Hyaluronic-Acid-Serum-i.87869551.3014963542")</f>
        <v>https://shopee.co.id/RORO-MENDUT-Blewah-Mulberry-Alpha-Arbutin-Hyaluronic-Acid-Serum-i.87869551.3014963542</v>
      </c>
      <c r="C2378" s="6" t="s">
        <v>1526</v>
      </c>
      <c r="D2378" s="6" t="s">
        <v>1527</v>
      </c>
      <c r="E2378" s="6" t="s">
        <v>12</v>
      </c>
      <c r="F2378" s="6" t="s">
        <v>13</v>
      </c>
      <c r="G2378" s="6" t="s">
        <v>380</v>
      </c>
      <c r="H2378" s="8" t="s">
        <v>3378</v>
      </c>
      <c r="I2378" s="9">
        <v>410000.0</v>
      </c>
      <c r="J2378" s="5" t="str">
        <f t="shared" ref="J2378:K2378" si="2378">SUBSTITUTE(H2378, ",", "")</f>
        <v>2</v>
      </c>
      <c r="K2378" s="5" t="str">
        <f t="shared" si="2378"/>
        <v>Rp410000</v>
      </c>
      <c r="L2378" s="5" t="str">
        <f t="shared" si="3"/>
        <v>410000</v>
      </c>
    </row>
    <row r="2379">
      <c r="A2379" s="6" t="s">
        <v>3594</v>
      </c>
      <c r="B2379" s="7" t="str">
        <f>HYPERLINK("https://shopee.co.id/DeBiuryn-Removind-Lotion-10ml-Anti-Jerawat-i.231437504.6140482011", "https://shopee.co.id/DeBiuryn-Removind-Lotion-10ml-Anti-Jerawat-i.231437504.6140482011")</f>
        <v>https://shopee.co.id/DeBiuryn-Removind-Lotion-10ml-Anti-Jerawat-i.231437504.6140482011</v>
      </c>
      <c r="C2379" s="6" t="s">
        <v>3484</v>
      </c>
      <c r="D2379" s="6" t="s">
        <v>3485</v>
      </c>
      <c r="E2379" s="6" t="s">
        <v>12</v>
      </c>
      <c r="F2379" s="6" t="s">
        <v>13</v>
      </c>
      <c r="G2379" s="6" t="s">
        <v>1480</v>
      </c>
      <c r="H2379" s="8" t="s">
        <v>3378</v>
      </c>
      <c r="I2379" s="9">
        <v>391000.0</v>
      </c>
      <c r="J2379" s="5" t="str">
        <f t="shared" ref="J2379:K2379" si="2379">SUBSTITUTE(H2379, ",", "")</f>
        <v>2</v>
      </c>
      <c r="K2379" s="5" t="str">
        <f t="shared" si="2379"/>
        <v>Rp391000</v>
      </c>
      <c r="L2379" s="5" t="str">
        <f t="shared" si="3"/>
        <v>391000</v>
      </c>
    </row>
    <row r="2380">
      <c r="A2380" s="6" t="s">
        <v>3595</v>
      </c>
      <c r="B2380" s="7" t="str">
        <f>HYPERLINK("https://shopee.co.id/BREYLEE-Serum-Mata-Roll-On-Vitamin-C-Mencerahkan-15ml-i.68111.11902982440", "https://shopee.co.id/BREYLEE-Serum-Mata-Roll-On-Vitamin-C-Mencerahkan-15ml-i.68111.11902982440")</f>
        <v>https://shopee.co.id/BREYLEE-Serum-Mata-Roll-On-Vitamin-C-Mencerahkan-15ml-i.68111.11902982440</v>
      </c>
      <c r="C2380" s="6" t="s">
        <v>852</v>
      </c>
      <c r="D2380" s="6" t="s">
        <v>441</v>
      </c>
      <c r="E2380" s="6" t="s">
        <v>12</v>
      </c>
      <c r="F2380" s="6" t="s">
        <v>13</v>
      </c>
      <c r="G2380" s="6" t="s">
        <v>130</v>
      </c>
      <c r="H2380" s="8" t="s">
        <v>3378</v>
      </c>
      <c r="I2380" s="9">
        <v>258000.0</v>
      </c>
      <c r="J2380" s="5" t="str">
        <f t="shared" ref="J2380:K2380" si="2380">SUBSTITUTE(H2380, ",", "")</f>
        <v>2</v>
      </c>
      <c r="K2380" s="5" t="str">
        <f t="shared" si="2380"/>
        <v>Rp258000</v>
      </c>
      <c r="L2380" s="5" t="str">
        <f t="shared" si="3"/>
        <v>258000</v>
      </c>
    </row>
    <row r="2381">
      <c r="A2381" s="6" t="s">
        <v>917</v>
      </c>
      <c r="B2381" s="7" t="str">
        <f>HYPERLINK("https://shopee.co.id/NACIFIC-Fresh-Herb-Origin-Serum-50ml-i.68111.651349314", "https://shopee.co.id/NACIFIC-Fresh-Herb-Origin-Serum-50ml-i.68111.651349314")</f>
        <v>https://shopee.co.id/NACIFIC-Fresh-Herb-Origin-Serum-50ml-i.68111.651349314</v>
      </c>
      <c r="C2381" s="6" t="s">
        <v>344</v>
      </c>
      <c r="D2381" s="6" t="s">
        <v>441</v>
      </c>
      <c r="E2381" s="6" t="s">
        <v>12</v>
      </c>
      <c r="F2381" s="6" t="s">
        <v>13</v>
      </c>
      <c r="G2381" s="6" t="s">
        <v>130</v>
      </c>
      <c r="H2381" s="8" t="s">
        <v>3378</v>
      </c>
      <c r="I2381" s="9">
        <v>440000.0</v>
      </c>
      <c r="J2381" s="5" t="str">
        <f t="shared" ref="J2381:K2381" si="2381">SUBSTITUTE(H2381, ",", "")</f>
        <v>2</v>
      </c>
      <c r="K2381" s="5" t="str">
        <f t="shared" si="2381"/>
        <v>Rp440000</v>
      </c>
      <c r="L2381" s="5" t="str">
        <f t="shared" si="3"/>
        <v>440000</v>
      </c>
    </row>
    <row r="2382">
      <c r="A2382" s="6" t="s">
        <v>3596</v>
      </c>
      <c r="B2382" s="7" t="str">
        <f>HYPERLINK("https://shopee.co.id/NACIFIC-Phyto-Niacin-Whitening-Essence-i.68111.2275691725", "https://shopee.co.id/NACIFIC-Phyto-Niacin-Whitening-Essence-i.68111.2275691725")</f>
        <v>https://shopee.co.id/NACIFIC-Phyto-Niacin-Whitening-Essence-i.68111.2275691725</v>
      </c>
      <c r="C2382" s="6" t="s">
        <v>344</v>
      </c>
      <c r="D2382" s="6" t="s">
        <v>441</v>
      </c>
      <c r="E2382" s="6" t="s">
        <v>12</v>
      </c>
      <c r="F2382" s="6" t="s">
        <v>13</v>
      </c>
      <c r="G2382" s="6" t="s">
        <v>130</v>
      </c>
      <c r="H2382" s="8" t="s">
        <v>3378</v>
      </c>
      <c r="I2382" s="9">
        <v>198000.0</v>
      </c>
      <c r="J2382" s="5" t="str">
        <f t="shared" ref="J2382:K2382" si="2382">SUBSTITUTE(H2382, ",", "")</f>
        <v>2</v>
      </c>
      <c r="K2382" s="5" t="str">
        <f t="shared" si="2382"/>
        <v>Rp198000</v>
      </c>
      <c r="L2382" s="5" t="str">
        <f t="shared" si="3"/>
        <v>198000</v>
      </c>
    </row>
    <row r="2383">
      <c r="A2383" s="6" t="s">
        <v>3597</v>
      </c>
      <c r="B2383" s="7" t="str">
        <f>HYPERLINK("https://shopee.co.id/Wardah-Hydra-Rose-Micro-Gel-Serum-30-ml-423821--i.16735262.3558694423", "https://shopee.co.id/Wardah-Hydra-Rose-Micro-Gel-Serum-30-ml-423821--i.16735262.3558694423")</f>
        <v>https://shopee.co.id/Wardah-Hydra-Rose-Micro-Gel-Serum-30-ml-423821--i.16735262.3558694423</v>
      </c>
      <c r="C2383" s="6" t="s">
        <v>169</v>
      </c>
      <c r="D2383" s="6" t="s">
        <v>3598</v>
      </c>
      <c r="E2383" s="6" t="s">
        <v>12</v>
      </c>
      <c r="F2383" s="6" t="s">
        <v>13</v>
      </c>
      <c r="G2383" s="6" t="s">
        <v>36</v>
      </c>
      <c r="H2383" s="8" t="s">
        <v>3378</v>
      </c>
      <c r="I2383" s="9">
        <v>174000.0</v>
      </c>
      <c r="J2383" s="5" t="str">
        <f t="shared" ref="J2383:K2383" si="2383">SUBSTITUTE(H2383, ",", "")</f>
        <v>2</v>
      </c>
      <c r="K2383" s="5" t="str">
        <f t="shared" si="2383"/>
        <v>Rp174000</v>
      </c>
      <c r="L2383" s="5" t="str">
        <f t="shared" si="3"/>
        <v>174000</v>
      </c>
    </row>
    <row r="2384">
      <c r="A2384" s="6" t="s">
        <v>3599</v>
      </c>
      <c r="B2384" s="7" t="str">
        <f>HYPERLINK("https://shopee.co.id/BREYLEE-Serum-Vitamin-C-Mencerahkan-Wajah-17ml-i.68111.10802966794", "https://shopee.co.id/BREYLEE-Serum-Vitamin-C-Mencerahkan-Wajah-17ml-i.68111.10802966794")</f>
        <v>https://shopee.co.id/BREYLEE-Serum-Vitamin-C-Mencerahkan-Wajah-17ml-i.68111.10802966794</v>
      </c>
      <c r="C2384" s="6" t="s">
        <v>852</v>
      </c>
      <c r="D2384" s="6" t="s">
        <v>441</v>
      </c>
      <c r="E2384" s="6" t="s">
        <v>12</v>
      </c>
      <c r="F2384" s="6" t="s">
        <v>13</v>
      </c>
      <c r="G2384" s="6" t="s">
        <v>130</v>
      </c>
      <c r="H2384" s="8" t="s">
        <v>3378</v>
      </c>
      <c r="I2384" s="9">
        <v>863270.0</v>
      </c>
      <c r="J2384" s="5" t="str">
        <f t="shared" ref="J2384:K2384" si="2384">SUBSTITUTE(H2384, ",", "")</f>
        <v>2</v>
      </c>
      <c r="K2384" s="5" t="str">
        <f t="shared" si="2384"/>
        <v>Rp863270</v>
      </c>
      <c r="L2384" s="5" t="str">
        <f t="shared" si="3"/>
        <v>863270</v>
      </c>
    </row>
    <row r="2385">
      <c r="A2385" s="6" t="s">
        <v>3600</v>
      </c>
      <c r="B2385" s="7" t="str">
        <f>HYPERLINK("https://shopee.co.id/NEOGEN-Dermalogy-Real-Vit-C-serum-i.270965687.9483733204", "https://shopee.co.id/NEOGEN-Dermalogy-Real-Vit-C-serum-i.270965687.9483733204")</f>
        <v>https://shopee.co.id/NEOGEN-Dermalogy-Real-Vit-C-serum-i.270965687.9483733204</v>
      </c>
      <c r="C2385" s="6" t="s">
        <v>2093</v>
      </c>
      <c r="D2385" s="6" t="s">
        <v>379</v>
      </c>
      <c r="E2385" s="6" t="s">
        <v>12</v>
      </c>
      <c r="F2385" s="6" t="s">
        <v>13</v>
      </c>
      <c r="G2385" s="6" t="s">
        <v>380</v>
      </c>
      <c r="H2385" s="8" t="s">
        <v>3378</v>
      </c>
      <c r="I2385" s="9">
        <v>630800.0</v>
      </c>
      <c r="J2385" s="5" t="str">
        <f t="shared" ref="J2385:K2385" si="2385">SUBSTITUTE(H2385, ",", "")</f>
        <v>2</v>
      </c>
      <c r="K2385" s="5" t="str">
        <f t="shared" si="2385"/>
        <v>Rp630800</v>
      </c>
      <c r="L2385" s="5" t="str">
        <f t="shared" si="3"/>
        <v>630800</v>
      </c>
    </row>
    <row r="2386">
      <c r="A2386" s="6" t="s">
        <v>3601</v>
      </c>
      <c r="B2386" s="7" t="str">
        <f>HYPERLINK("https://shopee.co.id/Beautybarme-Emina-Bright-Stuff-Face-Serum-30-Ml-Bpom-i.28781862.8731556252", "https://shopee.co.id/Beautybarme-Emina-Bright-Stuff-Face-Serum-30-Ml-Bpom-i.28781862.8731556252")</f>
        <v>https://shopee.co.id/Beautybarme-Emina-Bright-Stuff-Face-Serum-30-Ml-Bpom-i.28781862.8731556252</v>
      </c>
      <c r="C2386" s="6" t="s">
        <v>209</v>
      </c>
      <c r="D2386" s="6" t="s">
        <v>1189</v>
      </c>
      <c r="E2386" s="6" t="s">
        <v>12</v>
      </c>
      <c r="F2386" s="6" t="s">
        <v>13</v>
      </c>
      <c r="G2386" s="6" t="s">
        <v>1190</v>
      </c>
      <c r="H2386" s="8" t="s">
        <v>3378</v>
      </c>
      <c r="I2386" s="9">
        <v>40000.0</v>
      </c>
      <c r="J2386" s="5" t="str">
        <f t="shared" ref="J2386:K2386" si="2386">SUBSTITUTE(H2386, ",", "")</f>
        <v>2</v>
      </c>
      <c r="K2386" s="5" t="str">
        <f t="shared" si="2386"/>
        <v>Rp40000</v>
      </c>
      <c r="L2386" s="5" t="str">
        <f t="shared" si="3"/>
        <v>40000</v>
      </c>
    </row>
    <row r="2387">
      <c r="A2387" s="6" t="s">
        <v>3602</v>
      </c>
      <c r="B2387" s="7" t="str">
        <f>HYPERLINK("https://shopee.co.id/Calmedi-Exfoliating-Essence-10-ml-Melembabkan-Kulit-Mencerahkan-dan-Mengangkat-Sel-Kulit-Mati-i.129229117.7535799031", "https://shopee.co.id/Calmedi-Exfoliating-Essence-10-ml-Melembabkan-Kulit-Mencerahkan-dan-Mengangkat-Sel-Kulit-Mati-i.129229117.7535799031")</f>
        <v>https://shopee.co.id/Calmedi-Exfoliating-Essence-10-ml-Melembabkan-Kulit-Mencerahkan-dan-Mengangkat-Sel-Kulit-Mati-i.129229117.7535799031</v>
      </c>
      <c r="C2387" s="6" t="s">
        <v>2931</v>
      </c>
      <c r="D2387" s="6" t="s">
        <v>2932</v>
      </c>
      <c r="E2387" s="6" t="s">
        <v>12</v>
      </c>
      <c r="F2387" s="6" t="s">
        <v>13</v>
      </c>
      <c r="G2387" s="6" t="s">
        <v>98</v>
      </c>
      <c r="H2387" s="8" t="s">
        <v>3378</v>
      </c>
      <c r="I2387" s="9">
        <v>375000.0</v>
      </c>
      <c r="J2387" s="5" t="str">
        <f t="shared" ref="J2387:K2387" si="2387">SUBSTITUTE(H2387, ",", "")</f>
        <v>2</v>
      </c>
      <c r="K2387" s="5" t="str">
        <f t="shared" si="2387"/>
        <v>Rp375000</v>
      </c>
      <c r="L2387" s="5" t="str">
        <f t="shared" si="3"/>
        <v>375000</v>
      </c>
    </row>
    <row r="2388">
      <c r="A2388" s="6" t="s">
        <v>3603</v>
      </c>
      <c r="B2388" s="7" t="str">
        <f>HYPERLINK("https://shopee.co.id/Glass-Skin-Serum-for-Acne-and-Oily-Skin-Marwah-Skin-Care-i.357101711.5579719969", "https://shopee.co.id/Glass-Skin-Serum-for-Acne-and-Oily-Skin-Marwah-Skin-Care-i.357101711.5579719969")</f>
        <v>https://shopee.co.id/Glass-Skin-Serum-for-Acne-and-Oily-Skin-Marwah-Skin-Care-i.357101711.5579719969</v>
      </c>
      <c r="C2388" s="6" t="s">
        <v>2249</v>
      </c>
      <c r="D2388" s="6" t="s">
        <v>2250</v>
      </c>
      <c r="E2388" s="6" t="s">
        <v>12</v>
      </c>
      <c r="F2388" s="6" t="s">
        <v>13</v>
      </c>
      <c r="G2388" s="6" t="s">
        <v>370</v>
      </c>
      <c r="H2388" s="8" t="s">
        <v>3378</v>
      </c>
      <c r="I2388" s="9">
        <v>227500.0</v>
      </c>
      <c r="J2388" s="5" t="str">
        <f t="shared" ref="J2388:K2388" si="2388">SUBSTITUTE(H2388, ",", "")</f>
        <v>2</v>
      </c>
      <c r="K2388" s="5" t="str">
        <f t="shared" si="2388"/>
        <v>Rp227500</v>
      </c>
      <c r="L2388" s="5" t="str">
        <f t="shared" si="3"/>
        <v>227500</v>
      </c>
    </row>
    <row r="2389">
      <c r="A2389" s="6" t="s">
        <v>3604</v>
      </c>
      <c r="B2389" s="7" t="str">
        <f>HYPERLINK("https://shopee.co.id/Lacoco-5-Bakuchiol-Essence-30ml-i.50948181.10534738976", "https://shopee.co.id/Lacoco-5-Bakuchiol-Essence-30ml-i.50948181.10534738976")</f>
        <v>https://shopee.co.id/Lacoco-5-Bakuchiol-Essence-30ml-i.50948181.10534738976</v>
      </c>
      <c r="C2389" s="6" t="s">
        <v>501</v>
      </c>
      <c r="D2389" s="6" t="s">
        <v>1129</v>
      </c>
      <c r="E2389" s="6" t="s">
        <v>12</v>
      </c>
      <c r="F2389" s="6" t="s">
        <v>13</v>
      </c>
      <c r="G2389" s="6" t="s">
        <v>1130</v>
      </c>
      <c r="H2389" s="8" t="s">
        <v>3378</v>
      </c>
      <c r="I2389" s="9">
        <v>39800.0</v>
      </c>
      <c r="J2389" s="5" t="str">
        <f t="shared" ref="J2389:K2389" si="2389">SUBSTITUTE(H2389, ",", "")</f>
        <v>2</v>
      </c>
      <c r="K2389" s="5" t="str">
        <f t="shared" si="2389"/>
        <v>Rp39800</v>
      </c>
      <c r="L2389" s="5" t="str">
        <f t="shared" si="3"/>
        <v>39800</v>
      </c>
    </row>
    <row r="2390">
      <c r="A2390" s="6" t="s">
        <v>3605</v>
      </c>
      <c r="B2390" s="7" t="str">
        <f>HYPERLINK("https://shopee.co.id/DNI-Anti-Aging-Serum-i.41174739.7420361678", "https://shopee.co.id/DNI-Anti-Aging-Serum-i.41174739.7420361678")</f>
        <v>https://shopee.co.id/DNI-Anti-Aging-Serum-i.41174739.7420361678</v>
      </c>
      <c r="C2390" s="6" t="s">
        <v>2382</v>
      </c>
      <c r="D2390" s="6" t="s">
        <v>2383</v>
      </c>
      <c r="E2390" s="6" t="s">
        <v>12</v>
      </c>
      <c r="F2390" s="6" t="s">
        <v>13</v>
      </c>
      <c r="G2390" s="6" t="s">
        <v>945</v>
      </c>
      <c r="H2390" s="8" t="s">
        <v>3378</v>
      </c>
      <c r="I2390" s="9">
        <v>117000.0</v>
      </c>
      <c r="J2390" s="5" t="str">
        <f t="shared" ref="J2390:K2390" si="2390">SUBSTITUTE(H2390, ",", "")</f>
        <v>2</v>
      </c>
      <c r="K2390" s="5" t="str">
        <f t="shared" si="2390"/>
        <v>Rp117000</v>
      </c>
      <c r="L2390" s="5" t="str">
        <f t="shared" si="3"/>
        <v>117000</v>
      </c>
    </row>
    <row r="2391">
      <c r="A2391" s="6" t="s">
        <v>3606</v>
      </c>
      <c r="B2391" s="7" t="str">
        <f>HYPERLINK("https://shopee.co.id/Tuesbelle-LACOCO-5-Bakuchiol-Essence-30-ml-i.36872574.11531607187", "https://shopee.co.id/Tuesbelle-LACOCO-5-Bakuchiol-Essence-30-ml-i.36872574.11531607187")</f>
        <v>https://shopee.co.id/Tuesbelle-LACOCO-5-Bakuchiol-Essence-30-ml-i.36872574.11531607187</v>
      </c>
      <c r="C2391" s="6" t="s">
        <v>501</v>
      </c>
      <c r="D2391" s="6" t="s">
        <v>969</v>
      </c>
      <c r="E2391" s="6" t="s">
        <v>12</v>
      </c>
      <c r="F2391" s="6" t="s">
        <v>13</v>
      </c>
      <c r="G2391" s="6" t="s">
        <v>115</v>
      </c>
      <c r="H2391" s="8" t="s">
        <v>3378</v>
      </c>
      <c r="I2391" s="9">
        <v>119998.0</v>
      </c>
      <c r="J2391" s="5" t="str">
        <f t="shared" ref="J2391:K2391" si="2391">SUBSTITUTE(H2391, ",", "")</f>
        <v>2</v>
      </c>
      <c r="K2391" s="5" t="str">
        <f t="shared" si="2391"/>
        <v>Rp119998</v>
      </c>
      <c r="L2391" s="5" t="str">
        <f t="shared" si="3"/>
        <v>119998</v>
      </c>
    </row>
    <row r="2392">
      <c r="A2392" s="6" t="s">
        <v>3607</v>
      </c>
      <c r="B2392" s="7" t="str">
        <f>HYPERLINK("https://shopee.co.id/Hanasui-Serum-417913--i.16735262.4765258376", "https://shopee.co.id/Hanasui-Serum-417913--i.16735262.4765258376")</f>
        <v>https://shopee.co.id/Hanasui-Serum-417913--i.16735262.4765258376</v>
      </c>
      <c r="C2392" s="6" t="s">
        <v>784</v>
      </c>
      <c r="D2392" s="6" t="s">
        <v>3598</v>
      </c>
      <c r="E2392" s="6" t="s">
        <v>12</v>
      </c>
      <c r="F2392" s="6" t="s">
        <v>13</v>
      </c>
      <c r="G2392" s="6" t="s">
        <v>36</v>
      </c>
      <c r="H2392" s="8" t="s">
        <v>3378</v>
      </c>
      <c r="I2392" s="9">
        <v>1358000.0</v>
      </c>
      <c r="J2392" s="5" t="str">
        <f t="shared" ref="J2392:K2392" si="2392">SUBSTITUTE(H2392, ",", "")</f>
        <v>2</v>
      </c>
      <c r="K2392" s="5" t="str">
        <f t="shared" si="2392"/>
        <v>Rp1358000</v>
      </c>
      <c r="L2392" s="5" t="str">
        <f t="shared" si="3"/>
        <v>1358000</v>
      </c>
    </row>
    <row r="2393">
      <c r="A2393" s="6" t="s">
        <v>3608</v>
      </c>
      <c r="B2393" s="7" t="str">
        <f>HYPERLINK("https://shopee.co.id/Power-Ampoule-Pro-Nutri-35ml-i.58386356.5188171736", "https://shopee.co.id/Power-Ampoule-Pro-Nutri-35ml-i.58386356.5188171736")</f>
        <v>https://shopee.co.id/Power-Ampoule-Pro-Nutri-35ml-i.58386356.5188171736</v>
      </c>
      <c r="C2393" s="6" t="s">
        <v>2339</v>
      </c>
      <c r="D2393" s="6" t="s">
        <v>2340</v>
      </c>
      <c r="E2393" s="6" t="s">
        <v>12</v>
      </c>
      <c r="F2393" s="6" t="s">
        <v>13</v>
      </c>
      <c r="G2393" s="6" t="s">
        <v>21</v>
      </c>
      <c r="H2393" s="8" t="s">
        <v>3378</v>
      </c>
      <c r="I2393" s="9">
        <v>250000.0</v>
      </c>
      <c r="J2393" s="5" t="str">
        <f t="shared" ref="J2393:K2393" si="2393">SUBSTITUTE(H2393, ",", "")</f>
        <v>2</v>
      </c>
      <c r="K2393" s="5" t="str">
        <f t="shared" si="2393"/>
        <v>Rp250000</v>
      </c>
      <c r="L2393" s="5" t="str">
        <f t="shared" si="3"/>
        <v>250000</v>
      </c>
    </row>
    <row r="2394">
      <c r="A2394" s="6" t="s">
        <v>3609</v>
      </c>
      <c r="B2394" s="7" t="str">
        <f>HYPERLINK("https://shopee.co.id/Power-Ampoule-Vita-White-35ml-i.58386356.9219123296", "https://shopee.co.id/Power-Ampoule-Vita-White-35ml-i.58386356.9219123296")</f>
        <v>https://shopee.co.id/Power-Ampoule-Vita-White-35ml-i.58386356.9219123296</v>
      </c>
      <c r="C2394" s="6" t="s">
        <v>2339</v>
      </c>
      <c r="D2394" s="6" t="s">
        <v>2340</v>
      </c>
      <c r="E2394" s="6" t="s">
        <v>12</v>
      </c>
      <c r="F2394" s="6" t="s">
        <v>13</v>
      </c>
      <c r="G2394" s="6" t="s">
        <v>21</v>
      </c>
      <c r="H2394" s="8" t="s">
        <v>3378</v>
      </c>
      <c r="I2394" s="9">
        <v>390000.0</v>
      </c>
      <c r="J2394" s="5" t="str">
        <f t="shared" ref="J2394:K2394" si="2394">SUBSTITUTE(H2394, ",", "")</f>
        <v>2</v>
      </c>
      <c r="K2394" s="5" t="str">
        <f t="shared" si="2394"/>
        <v>Rp390000</v>
      </c>
      <c r="L2394" s="5" t="str">
        <f t="shared" si="3"/>
        <v>390000</v>
      </c>
    </row>
    <row r="2395">
      <c r="A2395" s="6" t="s">
        <v>3610</v>
      </c>
      <c r="B2395" s="7" t="str">
        <f>HYPERLINK("https://shopee.co.id/Dr-Oracle-21-Stay-Hyaluronic-Ampoule-i.17081863.6415067416", "https://shopee.co.id/Dr-Oracle-21-Stay-Hyaluronic-Ampoule-i.17081863.6415067416")</f>
        <v>https://shopee.co.id/Dr-Oracle-21-Stay-Hyaluronic-Ampoule-i.17081863.6415067416</v>
      </c>
      <c r="C2395" s="6" t="s">
        <v>3611</v>
      </c>
      <c r="D2395" s="6" t="s">
        <v>2497</v>
      </c>
      <c r="E2395" s="6" t="s">
        <v>12</v>
      </c>
      <c r="F2395" s="6" t="s">
        <v>13</v>
      </c>
      <c r="G2395" s="6" t="s">
        <v>21</v>
      </c>
      <c r="H2395" s="8" t="s">
        <v>3612</v>
      </c>
      <c r="I2395" s="9">
        <v>400500.0</v>
      </c>
      <c r="J2395" s="5" t="str">
        <f t="shared" ref="J2395:K2395" si="2395">SUBSTITUTE(H2395, ",", "")</f>
        <v>1</v>
      </c>
      <c r="K2395" s="5" t="str">
        <f t="shared" si="2395"/>
        <v>Rp400500</v>
      </c>
      <c r="L2395" s="5" t="str">
        <f t="shared" si="3"/>
        <v>400500</v>
      </c>
    </row>
    <row r="2396">
      <c r="A2396" s="6" t="s">
        <v>3613</v>
      </c>
      <c r="B2396" s="7" t="str">
        <f>HYPERLINK("https://shopee.co.id/DEAR-ME-BEAUTY-Perfect-Conceal-Serum-Skin-Corrector-i.68111.7879919639", "https://shopee.co.id/DEAR-ME-BEAUTY-Perfect-Conceal-Serum-Skin-Corrector-i.68111.7879919639")</f>
        <v>https://shopee.co.id/DEAR-ME-BEAUTY-Perfect-Conceal-Serum-Skin-Corrector-i.68111.7879919639</v>
      </c>
      <c r="C2396" s="6" t="s">
        <v>70</v>
      </c>
      <c r="D2396" s="6" t="s">
        <v>441</v>
      </c>
      <c r="E2396" s="6" t="s">
        <v>12</v>
      </c>
      <c r="F2396" s="6" t="s">
        <v>13</v>
      </c>
      <c r="G2396" s="6" t="s">
        <v>130</v>
      </c>
      <c r="H2396" s="8" t="s">
        <v>3612</v>
      </c>
      <c r="I2396" s="9">
        <v>371000.0</v>
      </c>
      <c r="J2396" s="5" t="str">
        <f t="shared" ref="J2396:K2396" si="2396">SUBSTITUTE(H2396, ",", "")</f>
        <v>1</v>
      </c>
      <c r="K2396" s="5" t="str">
        <f t="shared" si="2396"/>
        <v>Rp371000</v>
      </c>
      <c r="L2396" s="5" t="str">
        <f t="shared" si="3"/>
        <v>371000</v>
      </c>
    </row>
    <row r="2397">
      <c r="A2397" s="6" t="s">
        <v>3614</v>
      </c>
      <c r="B2397" s="7" t="str">
        <f>HYPERLINK("https://shopee.co.id/Nayou-Skin-Galactomyces-Glow-Serum-i.172662975.4458755141", "https://shopee.co.id/Nayou-Skin-Galactomyces-Glow-Serum-i.172662975.4458755141")</f>
        <v>https://shopee.co.id/Nayou-Skin-Galactomyces-Glow-Serum-i.172662975.4458755141</v>
      </c>
      <c r="C2397" s="6" t="s">
        <v>3615</v>
      </c>
      <c r="D2397" s="6" t="s">
        <v>3616</v>
      </c>
      <c r="E2397" s="6" t="s">
        <v>12</v>
      </c>
      <c r="F2397" s="6" t="s">
        <v>13</v>
      </c>
      <c r="G2397" s="6" t="s">
        <v>469</v>
      </c>
      <c r="H2397" s="8" t="s">
        <v>3612</v>
      </c>
      <c r="I2397" s="9">
        <v>125000.0</v>
      </c>
      <c r="J2397" s="5" t="str">
        <f t="shared" ref="J2397:K2397" si="2397">SUBSTITUTE(H2397, ",", "")</f>
        <v>1</v>
      </c>
      <c r="K2397" s="5" t="str">
        <f t="shared" si="2397"/>
        <v>Rp125000</v>
      </c>
      <c r="L2397" s="5" t="str">
        <f t="shared" si="3"/>
        <v>125000</v>
      </c>
    </row>
    <row r="2398">
      <c r="A2398" s="6" t="s">
        <v>3617</v>
      </c>
      <c r="B2398" s="7" t="str">
        <f>HYPERLINK("https://shopee.co.id/COSRX-Hyaluronic-Acid-Hydra-Power-Essence-100ml-i.825870.7049864976", "https://shopee.co.id/COSRX-Hyaluronic-Acid-Hydra-Power-Essence-100ml-i.825870.7049864976")</f>
        <v>https://shopee.co.id/COSRX-Hyaluronic-Acid-Hydra-Power-Essence-100ml-i.825870.7049864976</v>
      </c>
      <c r="C2398" s="6" t="s">
        <v>305</v>
      </c>
      <c r="D2398" s="6" t="s">
        <v>1184</v>
      </c>
      <c r="E2398" s="6" t="s">
        <v>12</v>
      </c>
      <c r="F2398" s="6" t="s">
        <v>13</v>
      </c>
      <c r="G2398" s="6" t="s">
        <v>21</v>
      </c>
      <c r="H2398" s="8" t="s">
        <v>3612</v>
      </c>
      <c r="I2398" s="9">
        <v>149000.0</v>
      </c>
      <c r="J2398" s="5" t="str">
        <f t="shared" ref="J2398:K2398" si="2398">SUBSTITUTE(H2398, ",", "")</f>
        <v>1</v>
      </c>
      <c r="K2398" s="5" t="str">
        <f t="shared" si="2398"/>
        <v>Rp149000</v>
      </c>
      <c r="L2398" s="5" t="str">
        <f t="shared" si="3"/>
        <v>149000</v>
      </c>
    </row>
    <row r="2399">
      <c r="A2399" s="6" t="s">
        <v>3618</v>
      </c>
      <c r="B2399" s="7" t="str">
        <f>HYPERLINK("https://shopee.co.id/KKV-Everwhite-Cica-Soothing-Serum-30ml-i.261911729.9056116454", "https://shopee.co.id/KKV-Everwhite-Cica-Soothing-Serum-30ml-i.261911729.9056116454")</f>
        <v>https://shopee.co.id/KKV-Everwhite-Cica-Soothing-Serum-30ml-i.261911729.9056116454</v>
      </c>
      <c r="C2399" s="6" t="s">
        <v>157</v>
      </c>
      <c r="D2399" s="6" t="s">
        <v>1485</v>
      </c>
      <c r="E2399" s="6" t="s">
        <v>12</v>
      </c>
      <c r="F2399" s="6" t="s">
        <v>13</v>
      </c>
      <c r="G2399" s="6" t="s">
        <v>61</v>
      </c>
      <c r="H2399" s="8" t="s">
        <v>3612</v>
      </c>
      <c r="I2399" s="9">
        <v>212000.0</v>
      </c>
      <c r="J2399" s="5" t="str">
        <f t="shared" ref="J2399:K2399" si="2399">SUBSTITUTE(H2399, ",", "")</f>
        <v>1</v>
      </c>
      <c r="K2399" s="5" t="str">
        <f t="shared" si="2399"/>
        <v>Rp212000</v>
      </c>
      <c r="L2399" s="5" t="str">
        <f t="shared" si="3"/>
        <v>212000</v>
      </c>
    </row>
    <row r="2400">
      <c r="A2400" s="6" t="s">
        <v>3619</v>
      </c>
      <c r="B2400" s="7" t="str">
        <f>HYPERLINK("https://shopee.co.id/Mad-For-Makeup-Pore-Clarifying-Treatment-Essence-60ml-i.825870.6035012943", "https://shopee.co.id/Mad-For-Makeup-Pore-Clarifying-Treatment-Essence-60ml-i.825870.6035012943")</f>
        <v>https://shopee.co.id/Mad-For-Makeup-Pore-Clarifying-Treatment-Essence-60ml-i.825870.6035012943</v>
      </c>
      <c r="C2400" s="6" t="s">
        <v>627</v>
      </c>
      <c r="D2400" s="6" t="s">
        <v>1184</v>
      </c>
      <c r="E2400" s="6" t="s">
        <v>12</v>
      </c>
      <c r="F2400" s="6" t="s">
        <v>13</v>
      </c>
      <c r="G2400" s="6" t="s">
        <v>21</v>
      </c>
      <c r="H2400" s="8" t="s">
        <v>3612</v>
      </c>
      <c r="I2400" s="9">
        <v>128250.0</v>
      </c>
      <c r="J2400" s="5" t="str">
        <f t="shared" ref="J2400:K2400" si="2400">SUBSTITUTE(H2400, ",", "")</f>
        <v>1</v>
      </c>
      <c r="K2400" s="5" t="str">
        <f t="shared" si="2400"/>
        <v>Rp128250</v>
      </c>
      <c r="L2400" s="5" t="str">
        <f t="shared" si="3"/>
        <v>128250</v>
      </c>
    </row>
    <row r="2401">
      <c r="A2401" s="6" t="s">
        <v>3620</v>
      </c>
      <c r="B2401" s="7" t="str">
        <f>HYPERLINK("https://shopee.co.id/Natur-E-Advanced-Anti-Aging-Serum-15-ML-i.309940894.5767266048", "https://shopee.co.id/Natur-E-Advanced-Anti-Aging-Serum-15-ML-i.309940894.5767266048")</f>
        <v>https://shopee.co.id/Natur-E-Advanced-Anti-Aging-Serum-15-ML-i.309940894.5767266048</v>
      </c>
      <c r="C2401" s="6" t="s">
        <v>849</v>
      </c>
      <c r="D2401" s="6" t="s">
        <v>3621</v>
      </c>
      <c r="E2401" s="6" t="s">
        <v>12</v>
      </c>
      <c r="F2401" s="6" t="s">
        <v>13</v>
      </c>
      <c r="G2401" s="6" t="s">
        <v>296</v>
      </c>
      <c r="H2401" s="8" t="s">
        <v>3612</v>
      </c>
      <c r="I2401" s="9">
        <v>138000.0</v>
      </c>
      <c r="J2401" s="5" t="str">
        <f t="shared" ref="J2401:K2401" si="2401">SUBSTITUTE(H2401, ",", "")</f>
        <v>1</v>
      </c>
      <c r="K2401" s="5" t="str">
        <f t="shared" si="2401"/>
        <v>Rp138000</v>
      </c>
      <c r="L2401" s="5" t="str">
        <f t="shared" si="3"/>
        <v>138000</v>
      </c>
    </row>
    <row r="2402">
      <c r="A2402" s="6" t="s">
        <v>3622</v>
      </c>
      <c r="B2402" s="7" t="str">
        <f>HYPERLINK("https://shopee.co.id/VIENNA-BEAUTY-FACE-SERUM-B3-NIACINAMIDE-15ML-BOTTLE-i.8463767.4133501173", "https://shopee.co.id/VIENNA-BEAUTY-FACE-SERUM-B3-NIACINAMIDE-15ML-BOTTLE-i.8463767.4133501173")</f>
        <v>https://shopee.co.id/VIENNA-BEAUTY-FACE-SERUM-B3-NIACINAMIDE-15ML-BOTTLE-i.8463767.4133501173</v>
      </c>
      <c r="C2402" s="6" t="s">
        <v>3453</v>
      </c>
      <c r="D2402" s="6" t="s">
        <v>3454</v>
      </c>
      <c r="E2402" s="6" t="s">
        <v>12</v>
      </c>
      <c r="F2402" s="6" t="s">
        <v>13</v>
      </c>
      <c r="G2402" s="6" t="s">
        <v>36</v>
      </c>
      <c r="H2402" s="8" t="s">
        <v>3612</v>
      </c>
      <c r="I2402" s="9">
        <v>225000.0</v>
      </c>
      <c r="J2402" s="5" t="str">
        <f t="shared" ref="J2402:K2402" si="2402">SUBSTITUTE(H2402, ",", "")</f>
        <v>1</v>
      </c>
      <c r="K2402" s="5" t="str">
        <f t="shared" si="2402"/>
        <v>Rp225000</v>
      </c>
      <c r="L2402" s="5" t="str">
        <f t="shared" si="3"/>
        <v>225000</v>
      </c>
    </row>
    <row r="2403">
      <c r="A2403" s="6" t="s">
        <v>3623</v>
      </c>
      <c r="B2403" s="7" t="str">
        <f>HYPERLINK("https://shopee.co.id/DR-Tisha-TISHA-AC7-SPOT-SERUM-PHYTOSILICA-Injection-4ml-i.68111.1885566521", "https://shopee.co.id/DR-Tisha-TISHA-AC7-SPOT-SERUM-PHYTOSILICA-Injection-4ml-i.68111.1885566521")</f>
        <v>https://shopee.co.id/DR-Tisha-TISHA-AC7-SPOT-SERUM-PHYTOSILICA-Injection-4ml-i.68111.1885566521</v>
      </c>
      <c r="C2403" s="6" t="s">
        <v>3025</v>
      </c>
      <c r="D2403" s="6" t="s">
        <v>441</v>
      </c>
      <c r="E2403" s="6" t="s">
        <v>12</v>
      </c>
      <c r="F2403" s="6" t="s">
        <v>13</v>
      </c>
      <c r="G2403" s="6" t="s">
        <v>130</v>
      </c>
      <c r="H2403" s="8" t="s">
        <v>3612</v>
      </c>
      <c r="I2403" s="9">
        <v>141550.0</v>
      </c>
      <c r="J2403" s="5" t="str">
        <f t="shared" ref="J2403:K2403" si="2403">SUBSTITUTE(H2403, ",", "")</f>
        <v>1</v>
      </c>
      <c r="K2403" s="5" t="str">
        <f t="shared" si="2403"/>
        <v>Rp141550</v>
      </c>
      <c r="L2403" s="5" t="str">
        <f t="shared" si="3"/>
        <v>141550</v>
      </c>
    </row>
    <row r="2404">
      <c r="A2404" s="6" t="s">
        <v>3624</v>
      </c>
      <c r="B2404" s="7" t="str">
        <f>HYPERLINK("https://shopee.co.id/Olay-Regenerist-Youth-Pre-Essence-40ml-i.186214521.4927848441", "https://shopee.co.id/Olay-Regenerist-Youth-Pre-Essence-40ml-i.186214521.4927848441")</f>
        <v>https://shopee.co.id/Olay-Regenerist-Youth-Pre-Essence-40ml-i.186214521.4927848441</v>
      </c>
      <c r="C2404" s="6" t="s">
        <v>317</v>
      </c>
      <c r="D2404" s="6" t="s">
        <v>2293</v>
      </c>
      <c r="E2404" s="6" t="s">
        <v>12</v>
      </c>
      <c r="F2404" s="6" t="s">
        <v>13</v>
      </c>
      <c r="G2404" s="6" t="s">
        <v>61</v>
      </c>
      <c r="H2404" s="8" t="s">
        <v>3612</v>
      </c>
      <c r="I2404" s="9">
        <v>359100.0</v>
      </c>
      <c r="J2404" s="5" t="str">
        <f t="shared" ref="J2404:K2404" si="2404">SUBSTITUTE(H2404, ",", "")</f>
        <v>1</v>
      </c>
      <c r="K2404" s="5" t="str">
        <f t="shared" si="2404"/>
        <v>Rp359100</v>
      </c>
      <c r="L2404" s="5" t="str">
        <f t="shared" si="3"/>
        <v>359100</v>
      </c>
    </row>
    <row r="2405">
      <c r="A2405" s="6" t="s">
        <v>3625</v>
      </c>
      <c r="B2405" s="7" t="str">
        <f>HYPERLINK("https://shopee.co.id/ECLA-C-Lite-Brightening-Serum-i.14403453.115602482", "https://shopee.co.id/ECLA-C-Lite-Brightening-Serum-i.14403453.115602482")</f>
        <v>https://shopee.co.id/ECLA-C-Lite-Brightening-Serum-i.14403453.115602482</v>
      </c>
      <c r="C2405" s="6" t="s">
        <v>3626</v>
      </c>
      <c r="D2405" s="6" t="s">
        <v>3627</v>
      </c>
      <c r="E2405" s="6" t="s">
        <v>12</v>
      </c>
      <c r="F2405" s="6" t="s">
        <v>13</v>
      </c>
      <c r="G2405" s="6" t="s">
        <v>469</v>
      </c>
      <c r="H2405" s="8" t="s">
        <v>3612</v>
      </c>
      <c r="I2405" s="9">
        <v>1169100.0</v>
      </c>
      <c r="J2405" s="5" t="str">
        <f t="shared" ref="J2405:K2405" si="2405">SUBSTITUTE(H2405, ",", "")</f>
        <v>1</v>
      </c>
      <c r="K2405" s="5" t="str">
        <f t="shared" si="2405"/>
        <v>Rp1169100</v>
      </c>
      <c r="L2405" s="5" t="str">
        <f t="shared" si="3"/>
        <v>1169100</v>
      </c>
    </row>
    <row r="2406">
      <c r="A2406" s="6" t="s">
        <v>3628</v>
      </c>
      <c r="B2406" s="7" t="str">
        <f>HYPERLINK("https://shopee.co.id/SECA-Intense-Exfoliation-Bundle-AHA-BHA-serum-i.373749700.8787270939", "https://shopee.co.id/SECA-Intense-Exfoliation-Bundle-AHA-BHA-serum-i.373749700.8787270939")</f>
        <v>https://shopee.co.id/SECA-Intense-Exfoliation-Bundle-AHA-BHA-serum-i.373749700.8787270939</v>
      </c>
      <c r="C2406" s="6" t="s">
        <v>2026</v>
      </c>
      <c r="D2406" s="6" t="s">
        <v>986</v>
      </c>
      <c r="E2406" s="6" t="s">
        <v>12</v>
      </c>
      <c r="F2406" s="6" t="s">
        <v>13</v>
      </c>
      <c r="G2406" s="6" t="s">
        <v>36</v>
      </c>
      <c r="H2406" s="8" t="s">
        <v>3612</v>
      </c>
      <c r="I2406" s="9">
        <v>539100.0</v>
      </c>
      <c r="J2406" s="5" t="str">
        <f t="shared" ref="J2406:K2406" si="2406">SUBSTITUTE(H2406, ",", "")</f>
        <v>1</v>
      </c>
      <c r="K2406" s="5" t="str">
        <f t="shared" si="2406"/>
        <v>Rp539100</v>
      </c>
      <c r="L2406" s="5" t="str">
        <f t="shared" si="3"/>
        <v>539100</v>
      </c>
    </row>
    <row r="2407">
      <c r="A2407" s="6" t="s">
        <v>3629</v>
      </c>
      <c r="B2407" s="7" t="str">
        <f>HYPERLINK("https://shopee.co.id/Azarine-C-White-Refreshing-Essence-Mist-85ml-i.30736001.9152395512", "https://shopee.co.id/Azarine-C-White-Refreshing-Essence-Mist-85ml-i.30736001.9152395512")</f>
        <v>https://shopee.co.id/Azarine-C-White-Refreshing-Essence-Mist-85ml-i.30736001.9152395512</v>
      </c>
      <c r="C2407" s="6" t="s">
        <v>233</v>
      </c>
      <c r="D2407" s="6" t="s">
        <v>335</v>
      </c>
      <c r="E2407" s="6" t="s">
        <v>12</v>
      </c>
      <c r="F2407" s="6" t="s">
        <v>13</v>
      </c>
      <c r="G2407" s="6" t="s">
        <v>36</v>
      </c>
      <c r="H2407" s="8" t="s">
        <v>3612</v>
      </c>
      <c r="I2407" s="9">
        <v>99000.0</v>
      </c>
      <c r="J2407" s="5" t="str">
        <f t="shared" ref="J2407:K2407" si="2407">SUBSTITUTE(H2407, ",", "")</f>
        <v>1</v>
      </c>
      <c r="K2407" s="5" t="str">
        <f t="shared" si="2407"/>
        <v>Rp99000</v>
      </c>
      <c r="L2407" s="5" t="str">
        <f t="shared" si="3"/>
        <v>99000</v>
      </c>
    </row>
    <row r="2408">
      <c r="A2408" s="6" t="s">
        <v>3630</v>
      </c>
      <c r="B2408" s="7" t="str">
        <f>HYPERLINK("https://shopee.co.id/LUMIER-Advanced-Brightening-Oil-Control-Serum-i.231467354.8658639687", "https://shopee.co.id/LUMIER-Advanced-Brightening-Oil-Control-Serum-i.231467354.8658639687")</f>
        <v>https://shopee.co.id/LUMIER-Advanced-Brightening-Oil-Control-Serum-i.231467354.8658639687</v>
      </c>
      <c r="C2408" s="6" t="s">
        <v>2878</v>
      </c>
      <c r="D2408" s="6" t="s">
        <v>2879</v>
      </c>
      <c r="E2408" s="6" t="s">
        <v>12</v>
      </c>
      <c r="F2408" s="6" t="s">
        <v>13</v>
      </c>
      <c r="G2408" s="6" t="s">
        <v>532</v>
      </c>
      <c r="H2408" s="8" t="s">
        <v>3612</v>
      </c>
      <c r="I2408" s="9">
        <v>160650.0</v>
      </c>
      <c r="J2408" s="5" t="str">
        <f t="shared" ref="J2408:K2408" si="2408">SUBSTITUTE(H2408, ",", "")</f>
        <v>1</v>
      </c>
      <c r="K2408" s="5" t="str">
        <f t="shared" si="2408"/>
        <v>Rp160650</v>
      </c>
      <c r="L2408" s="5" t="str">
        <f t="shared" si="3"/>
        <v>160650</v>
      </c>
    </row>
    <row r="2409">
      <c r="A2409" s="6" t="s">
        <v>2704</v>
      </c>
      <c r="B2409" s="7" t="str">
        <f>HYPERLINK("https://shopee.co.id/Lacoco-Hydrating-Divine-Essence-50ml-i.136011044.9105115380", "https://shopee.co.id/Lacoco-Hydrating-Divine-Essence-50ml-i.136011044.9105115380")</f>
        <v>https://shopee.co.id/Lacoco-Hydrating-Divine-Essence-50ml-i.136011044.9105115380</v>
      </c>
      <c r="C2409" s="6" t="s">
        <v>501</v>
      </c>
      <c r="D2409" s="6" t="s">
        <v>632</v>
      </c>
      <c r="E2409" s="6" t="s">
        <v>12</v>
      </c>
      <c r="F2409" s="6" t="s">
        <v>13</v>
      </c>
      <c r="G2409" s="6" t="s">
        <v>21</v>
      </c>
      <c r="H2409" s="8" t="s">
        <v>3612</v>
      </c>
      <c r="I2409" s="9">
        <v>286000.0</v>
      </c>
      <c r="J2409" s="5" t="str">
        <f t="shared" ref="J2409:K2409" si="2409">SUBSTITUTE(H2409, ",", "")</f>
        <v>1</v>
      </c>
      <c r="K2409" s="5" t="str">
        <f t="shared" si="2409"/>
        <v>Rp286000</v>
      </c>
      <c r="L2409" s="5" t="str">
        <f t="shared" si="3"/>
        <v>286000</v>
      </c>
    </row>
    <row r="2410">
      <c r="A2410" s="6" t="s">
        <v>3631</v>
      </c>
      <c r="B2410" s="7" t="str">
        <f>HYPERLINK("https://shopee.co.id/Cosrx-Advanced-Snail-96-Mucin-Power-Essence-100ml-i.50948181.8847219395", "https://shopee.co.id/Cosrx-Advanced-Snail-96-Mucin-Power-Essence-100ml-i.50948181.8847219395")</f>
        <v>https://shopee.co.id/Cosrx-Advanced-Snail-96-Mucin-Power-Essence-100ml-i.50948181.8847219395</v>
      </c>
      <c r="C2410" s="6" t="s">
        <v>305</v>
      </c>
      <c r="D2410" s="6" t="s">
        <v>1129</v>
      </c>
      <c r="E2410" s="6" t="s">
        <v>12</v>
      </c>
      <c r="F2410" s="6" t="s">
        <v>13</v>
      </c>
      <c r="G2410" s="6" t="s">
        <v>1130</v>
      </c>
      <c r="H2410" s="8" t="s">
        <v>3612</v>
      </c>
      <c r="I2410" s="9">
        <v>122000.0</v>
      </c>
      <c r="J2410" s="5" t="str">
        <f t="shared" ref="J2410:K2410" si="2410">SUBSTITUTE(H2410, ",", "")</f>
        <v>1</v>
      </c>
      <c r="K2410" s="5" t="str">
        <f t="shared" si="2410"/>
        <v>Rp122000</v>
      </c>
      <c r="L2410" s="5" t="str">
        <f t="shared" si="3"/>
        <v>122000</v>
      </c>
    </row>
    <row r="2411">
      <c r="A2411" s="6" t="s">
        <v>3632</v>
      </c>
      <c r="B2411" s="7" t="str">
        <f>HYPERLINK("https://shopee.co.id/Whitelab-Hydrating-Face-Essence-60ml-i.825870.9509706862", "https://shopee.co.id/Whitelab-Hydrating-Face-Essence-60ml-i.825870.9509706862")</f>
        <v>https://shopee.co.id/Whitelab-Hydrating-Face-Essence-60ml-i.825870.9509706862</v>
      </c>
      <c r="C2411" s="6" t="s">
        <v>59</v>
      </c>
      <c r="D2411" s="6" t="s">
        <v>1184</v>
      </c>
      <c r="E2411" s="6" t="s">
        <v>12</v>
      </c>
      <c r="F2411" s="6" t="s">
        <v>13</v>
      </c>
      <c r="G2411" s="6" t="s">
        <v>21</v>
      </c>
      <c r="H2411" s="8" t="s">
        <v>3612</v>
      </c>
      <c r="I2411" s="9">
        <v>140000.0</v>
      </c>
      <c r="J2411" s="5" t="str">
        <f t="shared" ref="J2411:K2411" si="2411">SUBSTITUTE(H2411, ",", "")</f>
        <v>1</v>
      </c>
      <c r="K2411" s="5" t="str">
        <f t="shared" si="2411"/>
        <v>Rp140000</v>
      </c>
      <c r="L2411" s="5" t="str">
        <f t="shared" si="3"/>
        <v>140000</v>
      </c>
    </row>
    <row r="2412">
      <c r="A2412" s="6" t="s">
        <v>3633</v>
      </c>
      <c r="B2412" s="7" t="str">
        <f>HYPERLINK("https://shopee.co.id/Acnes-Derma-Care-Anti-Blemish-Essence-20ml-Gentle-Cleanser-120gr-i.50948181.11913277180", "https://shopee.co.id/Acnes-Derma-Care-Anti-Blemish-Essence-20ml-Gentle-Cleanser-120gr-i.50948181.11913277180")</f>
        <v>https://shopee.co.id/Acnes-Derma-Care-Anti-Blemish-Essence-20ml-Gentle-Cleanser-120gr-i.50948181.11913277180</v>
      </c>
      <c r="C2412" s="6" t="s">
        <v>3634</v>
      </c>
      <c r="D2412" s="6" t="s">
        <v>1129</v>
      </c>
      <c r="E2412" s="6" t="s">
        <v>12</v>
      </c>
      <c r="F2412" s="6" t="s">
        <v>13</v>
      </c>
      <c r="G2412" s="6" t="s">
        <v>1130</v>
      </c>
      <c r="H2412" s="8" t="s">
        <v>3612</v>
      </c>
      <c r="I2412" s="9">
        <v>65000.0</v>
      </c>
      <c r="J2412" s="5" t="str">
        <f t="shared" ref="J2412:K2412" si="2412">SUBSTITUTE(H2412, ",", "")</f>
        <v>1</v>
      </c>
      <c r="K2412" s="5" t="str">
        <f t="shared" si="2412"/>
        <v>Rp65000</v>
      </c>
      <c r="L2412" s="5" t="str">
        <f t="shared" si="3"/>
        <v>65000</v>
      </c>
    </row>
    <row r="2413">
      <c r="A2413" s="6" t="s">
        <v>3635</v>
      </c>
      <c r="B2413" s="7" t="str">
        <f>HYPERLINK("https://shopee.co.id/Azarine-C-White-Lightening-Serum-20ml-i.825870.5910706375", "https://shopee.co.id/Azarine-C-White-Lightening-Serum-20ml-i.825870.5910706375")</f>
        <v>https://shopee.co.id/Azarine-C-White-Lightening-Serum-20ml-i.825870.5910706375</v>
      </c>
      <c r="C2413" s="6" t="s">
        <v>233</v>
      </c>
      <c r="D2413" s="6" t="s">
        <v>1184</v>
      </c>
      <c r="E2413" s="6" t="s">
        <v>12</v>
      </c>
      <c r="F2413" s="6" t="s">
        <v>13</v>
      </c>
      <c r="G2413" s="6" t="s">
        <v>21</v>
      </c>
      <c r="H2413" s="8" t="s">
        <v>3612</v>
      </c>
      <c r="I2413" s="9">
        <v>306750.0</v>
      </c>
      <c r="J2413" s="5" t="str">
        <f t="shared" ref="J2413:K2413" si="2413">SUBSTITUTE(H2413, ",", "")</f>
        <v>1</v>
      </c>
      <c r="K2413" s="5" t="str">
        <f t="shared" si="2413"/>
        <v>Rp306750</v>
      </c>
      <c r="L2413" s="5" t="str">
        <f t="shared" si="3"/>
        <v>306750</v>
      </c>
    </row>
    <row r="2414">
      <c r="A2414" s="6" t="s">
        <v>3636</v>
      </c>
      <c r="B2414" s="7" t="str">
        <f>HYPERLINK("https://shopee.co.id/Indoganic-Beauty-Brightening-Vitamin-C-Serum-with-Glutathione-15ml-i.825870.7315511634", "https://shopee.co.id/Indoganic-Beauty-Brightening-Vitamin-C-Serum-with-Glutathione-15ml-i.825870.7315511634")</f>
        <v>https://shopee.co.id/Indoganic-Beauty-Brightening-Vitamin-C-Serum-with-Glutathione-15ml-i.825870.7315511634</v>
      </c>
      <c r="C2414" s="6" t="s">
        <v>995</v>
      </c>
      <c r="D2414" s="6" t="s">
        <v>1184</v>
      </c>
      <c r="E2414" s="6" t="s">
        <v>12</v>
      </c>
      <c r="F2414" s="6" t="s">
        <v>13</v>
      </c>
      <c r="G2414" s="6" t="s">
        <v>21</v>
      </c>
      <c r="H2414" s="8" t="s">
        <v>3612</v>
      </c>
      <c r="I2414" s="9">
        <v>359700.0</v>
      </c>
      <c r="J2414" s="5" t="str">
        <f t="shared" ref="J2414:K2414" si="2414">SUBSTITUTE(H2414, ",", "")</f>
        <v>1</v>
      </c>
      <c r="K2414" s="5" t="str">
        <f t="shared" si="2414"/>
        <v>Rp359700</v>
      </c>
      <c r="L2414" s="5" t="str">
        <f t="shared" si="3"/>
        <v>359700</v>
      </c>
    </row>
    <row r="2415">
      <c r="A2415" s="6" t="s">
        <v>3637</v>
      </c>
      <c r="B2415" s="7" t="str">
        <f>HYPERLINK("https://shopee.co.id/Amaranthine-Lineage-Complex-BIO-Intensive-Serum-Q74066-i.199182536.3120681378", "https://shopee.co.id/Amaranthine-Lineage-Complex-BIO-Intensive-Serum-Q74066-i.199182536.3120681378")</f>
        <v>https://shopee.co.id/Amaranthine-Lineage-Complex-BIO-Intensive-Serum-Q74066-i.199182536.3120681378</v>
      </c>
      <c r="C2415" s="6" t="s">
        <v>3638</v>
      </c>
      <c r="D2415" s="6" t="s">
        <v>3639</v>
      </c>
      <c r="E2415" s="6" t="s">
        <v>12</v>
      </c>
      <c r="F2415" s="6" t="s">
        <v>13</v>
      </c>
      <c r="G2415" s="6" t="s">
        <v>1048</v>
      </c>
      <c r="H2415" s="8" t="s">
        <v>3612</v>
      </c>
      <c r="I2415" s="9">
        <v>119000.0</v>
      </c>
      <c r="J2415" s="5" t="str">
        <f t="shared" ref="J2415:K2415" si="2415">SUBSTITUTE(H2415, ",", "")</f>
        <v>1</v>
      </c>
      <c r="K2415" s="5" t="str">
        <f t="shared" si="2415"/>
        <v>Rp119000</v>
      </c>
      <c r="L2415" s="5" t="str">
        <f t="shared" si="3"/>
        <v>119000</v>
      </c>
    </row>
    <row r="2416">
      <c r="A2416" s="6" t="s">
        <v>1449</v>
      </c>
      <c r="B2416" s="7" t="str">
        <f>HYPERLINK("https://shopee.co.id/Nacific-Fresh-Herb-Origin-Serum-50ml-i.10689.2905627899", "https://shopee.co.id/Nacific-Fresh-Herb-Origin-Serum-50ml-i.10689.2905627899")</f>
        <v>https://shopee.co.id/Nacific-Fresh-Herb-Origin-Serum-50ml-i.10689.2905627899</v>
      </c>
      <c r="C2416" s="6" t="s">
        <v>344</v>
      </c>
      <c r="D2416" s="6" t="s">
        <v>745</v>
      </c>
      <c r="E2416" s="6" t="s">
        <v>12</v>
      </c>
      <c r="F2416" s="6" t="s">
        <v>13</v>
      </c>
      <c r="G2416" s="6" t="s">
        <v>61</v>
      </c>
      <c r="H2416" s="8" t="s">
        <v>3612</v>
      </c>
      <c r="I2416" s="9">
        <v>119000.0</v>
      </c>
      <c r="J2416" s="5" t="str">
        <f t="shared" ref="J2416:K2416" si="2416">SUBSTITUTE(H2416, ",", "")</f>
        <v>1</v>
      </c>
      <c r="K2416" s="5" t="str">
        <f t="shared" si="2416"/>
        <v>Rp119000</v>
      </c>
      <c r="L2416" s="5" t="str">
        <f t="shared" si="3"/>
        <v>119000</v>
      </c>
    </row>
    <row r="2417">
      <c r="A2417" s="6" t="s">
        <v>2262</v>
      </c>
      <c r="B2417" s="7" t="str">
        <f>HYPERLINK("https://shopee.co.id/Nacific-Fresh-Cica-Plus-Clear-Serum-50ml-i.10689.5617640853", "https://shopee.co.id/Nacific-Fresh-Cica-Plus-Clear-Serum-50ml-i.10689.5617640853")</f>
        <v>https://shopee.co.id/Nacific-Fresh-Cica-Plus-Clear-Serum-50ml-i.10689.5617640853</v>
      </c>
      <c r="C2417" s="6" t="s">
        <v>344</v>
      </c>
      <c r="D2417" s="6" t="s">
        <v>745</v>
      </c>
      <c r="E2417" s="6" t="s">
        <v>12</v>
      </c>
      <c r="F2417" s="6" t="s">
        <v>13</v>
      </c>
      <c r="G2417" s="6" t="s">
        <v>61</v>
      </c>
      <c r="H2417" s="8" t="s">
        <v>3612</v>
      </c>
      <c r="I2417" s="9">
        <v>132050.0</v>
      </c>
      <c r="J2417" s="5" t="str">
        <f t="shared" ref="J2417:K2417" si="2417">SUBSTITUTE(H2417, ",", "")</f>
        <v>1</v>
      </c>
      <c r="K2417" s="5" t="str">
        <f t="shared" si="2417"/>
        <v>Rp132050</v>
      </c>
      <c r="L2417" s="5" t="str">
        <f t="shared" si="3"/>
        <v>132050</v>
      </c>
    </row>
    <row r="2418">
      <c r="A2418" s="6" t="s">
        <v>3640</v>
      </c>
      <c r="B2418" s="7" t="str">
        <f>HYPERLINK("https://shopee.co.id/FIRST-LAB-FIRST-LAB-Probiotic-Serum-i.68111.2258622807", "https://shopee.co.id/FIRST-LAB-FIRST-LAB-Probiotic-Serum-i.68111.2258622807")</f>
        <v>https://shopee.co.id/FIRST-LAB-FIRST-LAB-Probiotic-Serum-i.68111.2258622807</v>
      </c>
      <c r="C2418" s="6" t="s">
        <v>1617</v>
      </c>
      <c r="D2418" s="6" t="s">
        <v>441</v>
      </c>
      <c r="E2418" s="6" t="s">
        <v>12</v>
      </c>
      <c r="F2418" s="6" t="s">
        <v>13</v>
      </c>
      <c r="G2418" s="6" t="s">
        <v>130</v>
      </c>
      <c r="H2418" s="8" t="s">
        <v>3612</v>
      </c>
      <c r="I2418" s="9">
        <v>88900.0</v>
      </c>
      <c r="J2418" s="5" t="str">
        <f t="shared" ref="J2418:K2418" si="2418">SUBSTITUTE(H2418, ",", "")</f>
        <v>1</v>
      </c>
      <c r="K2418" s="5" t="str">
        <f t="shared" si="2418"/>
        <v>Rp88900</v>
      </c>
      <c r="L2418" s="5" t="str">
        <f t="shared" si="3"/>
        <v>88900</v>
      </c>
    </row>
    <row r="2419">
      <c r="A2419" s="6" t="s">
        <v>3641</v>
      </c>
      <c r="B2419" s="7" t="str">
        <f>HYPERLINK("https://shopee.co.id/FIRST-LAB-Probiotic-Pore-Tightening-Essence-30ml-i.109981258.5751941178", "https://shopee.co.id/FIRST-LAB-Probiotic-Pore-Tightening-Essence-30ml-i.109981258.5751941178")</f>
        <v>https://shopee.co.id/FIRST-LAB-Probiotic-Pore-Tightening-Essence-30ml-i.109981258.5751941178</v>
      </c>
      <c r="C2419" s="6" t="s">
        <v>1617</v>
      </c>
      <c r="D2419" s="6" t="s">
        <v>2576</v>
      </c>
      <c r="E2419" s="6" t="s">
        <v>12</v>
      </c>
      <c r="F2419" s="6" t="s">
        <v>13</v>
      </c>
      <c r="G2419" s="6" t="s">
        <v>21</v>
      </c>
      <c r="H2419" s="8" t="s">
        <v>3612</v>
      </c>
      <c r="I2419" s="9">
        <v>127000.0</v>
      </c>
      <c r="J2419" s="5" t="str">
        <f t="shared" ref="J2419:K2419" si="2419">SUBSTITUTE(H2419, ",", "")</f>
        <v>1</v>
      </c>
      <c r="K2419" s="5" t="str">
        <f t="shared" si="2419"/>
        <v>Rp127000</v>
      </c>
      <c r="L2419" s="5" t="str">
        <f t="shared" si="3"/>
        <v>127000</v>
      </c>
    </row>
    <row r="2420">
      <c r="A2420" s="6" t="s">
        <v>3642</v>
      </c>
      <c r="B2420" s="7" t="str">
        <f>HYPERLINK("https://shopee.co.id/Man-Made-All-in-One-Essence-50ml-i.373494324.3776409123", "https://shopee.co.id/Man-Made-All-in-One-Essence-50ml-i.373494324.3776409123")</f>
        <v>https://shopee.co.id/Man-Made-All-in-One-Essence-50ml-i.373494324.3776409123</v>
      </c>
      <c r="C2420" s="6" t="s">
        <v>3643</v>
      </c>
      <c r="D2420" s="6" t="s">
        <v>3644</v>
      </c>
      <c r="E2420" s="6" t="s">
        <v>12</v>
      </c>
      <c r="F2420" s="6" t="s">
        <v>13</v>
      </c>
      <c r="G2420" s="6" t="s">
        <v>98</v>
      </c>
      <c r="H2420" s="8" t="s">
        <v>3612</v>
      </c>
      <c r="I2420" s="9">
        <v>117000.0</v>
      </c>
      <c r="J2420" s="5" t="str">
        <f t="shared" ref="J2420:K2420" si="2420">SUBSTITUTE(H2420, ",", "")</f>
        <v>1</v>
      </c>
      <c r="K2420" s="5" t="str">
        <f t="shared" si="2420"/>
        <v>Rp117000</v>
      </c>
      <c r="L2420" s="5" t="str">
        <f t="shared" si="3"/>
        <v>117000</v>
      </c>
    </row>
    <row r="2421">
      <c r="A2421" s="6" t="s">
        <v>3645</v>
      </c>
      <c r="B2421" s="7" t="str">
        <f>HYPERLINK("https://shopee.co.id/Serum-Antiaging-4ml-Normal-Dry-Skin--i.108311902.5219912434", "https://shopee.co.id/Serum-Antiaging-4ml-Normal-Dry-Skin--i.108311902.5219912434")</f>
        <v>https://shopee.co.id/Serum-Antiaging-4ml-Normal-Dry-Skin--i.108311902.5219912434</v>
      </c>
      <c r="C2421" s="6" t="s">
        <v>3473</v>
      </c>
      <c r="D2421" s="6" t="s">
        <v>3474</v>
      </c>
      <c r="E2421" s="6" t="s">
        <v>12</v>
      </c>
      <c r="F2421" s="6" t="s">
        <v>13</v>
      </c>
      <c r="G2421" s="6" t="s">
        <v>350</v>
      </c>
      <c r="H2421" s="8" t="s">
        <v>3612</v>
      </c>
      <c r="I2421" s="9">
        <v>89100.0</v>
      </c>
      <c r="J2421" s="5" t="str">
        <f t="shared" ref="J2421:K2421" si="2421">SUBSTITUTE(H2421, ",", "")</f>
        <v>1</v>
      </c>
      <c r="K2421" s="5" t="str">
        <f t="shared" si="2421"/>
        <v>Rp89100</v>
      </c>
      <c r="L2421" s="5" t="str">
        <f t="shared" si="3"/>
        <v>89100</v>
      </c>
    </row>
    <row r="2422">
      <c r="A2422" s="6" t="s">
        <v>3646</v>
      </c>
      <c r="B2422" s="7" t="str">
        <f>HYPERLINK("https://shopee.co.id/HAYEJIN-Blessing-of-Sprout-Enriched-Serum10ml-i.240712269.7668222502", "https://shopee.co.id/HAYEJIN-Blessing-of-Sprout-Enriched-Serum10ml-i.240712269.7668222502")</f>
        <v>https://shopee.co.id/HAYEJIN-Blessing-of-Sprout-Enriched-Serum10ml-i.240712269.7668222502</v>
      </c>
      <c r="C2422" s="6" t="s">
        <v>761</v>
      </c>
      <c r="D2422" s="6" t="s">
        <v>762</v>
      </c>
      <c r="E2422" s="6" t="s">
        <v>12</v>
      </c>
      <c r="F2422" s="6" t="s">
        <v>13</v>
      </c>
      <c r="G2422" s="6" t="s">
        <v>98</v>
      </c>
      <c r="H2422" s="8" t="s">
        <v>3612</v>
      </c>
      <c r="I2422" s="9">
        <v>90000.0</v>
      </c>
      <c r="J2422" s="5" t="str">
        <f t="shared" ref="J2422:K2422" si="2422">SUBSTITUTE(H2422, ",", "")</f>
        <v>1</v>
      </c>
      <c r="K2422" s="5" t="str">
        <f t="shared" si="2422"/>
        <v>Rp90000</v>
      </c>
      <c r="L2422" s="5" t="str">
        <f t="shared" si="3"/>
        <v>90000</v>
      </c>
    </row>
    <row r="2423">
      <c r="A2423" s="6" t="s">
        <v>3647</v>
      </c>
      <c r="B2423" s="7" t="str">
        <f>HYPERLINK("https://shopee.co.id/ERHA-Truwhite-Vit-C-Peptides-Brightening-Serum-20ml-i.68111.2953255242", "https://shopee.co.id/ERHA-Truwhite-Vit-C-Peptides-Brightening-Serum-20ml-i.68111.2953255242")</f>
        <v>https://shopee.co.id/ERHA-Truwhite-Vit-C-Peptides-Brightening-Serum-20ml-i.68111.2953255242</v>
      </c>
      <c r="C2423" s="6" t="s">
        <v>181</v>
      </c>
      <c r="D2423" s="6" t="s">
        <v>441</v>
      </c>
      <c r="E2423" s="6" t="s">
        <v>12</v>
      </c>
      <c r="F2423" s="6" t="s">
        <v>13</v>
      </c>
      <c r="G2423" s="6" t="s">
        <v>130</v>
      </c>
      <c r="H2423" s="8" t="s">
        <v>3612</v>
      </c>
      <c r="I2423" s="9">
        <v>239000.0</v>
      </c>
      <c r="J2423" s="5" t="str">
        <f t="shared" ref="J2423:K2423" si="2423">SUBSTITUTE(H2423, ",", "")</f>
        <v>1</v>
      </c>
      <c r="K2423" s="5" t="str">
        <f t="shared" si="2423"/>
        <v>Rp239000</v>
      </c>
      <c r="L2423" s="5" t="str">
        <f t="shared" si="3"/>
        <v>239000</v>
      </c>
    </row>
    <row r="2424">
      <c r="A2424" s="6" t="s">
        <v>3648</v>
      </c>
      <c r="B2424" s="7" t="str">
        <f>HYPERLINK("https://shopee.co.id/ERHA-hiserha-booster-essence-all-in-one-60ml-i.187117294.9326858906", "https://shopee.co.id/ERHA-hiserha-booster-essence-all-in-one-60ml-i.187117294.9326858906")</f>
        <v>https://shopee.co.id/ERHA-hiserha-booster-essence-all-in-one-60ml-i.187117294.9326858906</v>
      </c>
      <c r="C2424" s="6" t="s">
        <v>1952</v>
      </c>
      <c r="D2424" s="6" t="s">
        <v>2366</v>
      </c>
      <c r="E2424" s="6" t="s">
        <v>12</v>
      </c>
      <c r="F2424" s="6" t="s">
        <v>13</v>
      </c>
      <c r="G2424" s="6" t="s">
        <v>469</v>
      </c>
      <c r="H2424" s="8" t="s">
        <v>3612</v>
      </c>
      <c r="I2424" s="9">
        <v>132099.0</v>
      </c>
      <c r="J2424" s="5" t="str">
        <f t="shared" ref="J2424:K2424" si="2424">SUBSTITUTE(H2424, ",", "")</f>
        <v>1</v>
      </c>
      <c r="K2424" s="5" t="str">
        <f t="shared" si="2424"/>
        <v>Rp132099</v>
      </c>
      <c r="L2424" s="5" t="str">
        <f t="shared" si="3"/>
        <v>132099</v>
      </c>
    </row>
    <row r="2425">
      <c r="A2425" s="6" t="s">
        <v>1734</v>
      </c>
      <c r="B2425" s="7" t="str">
        <f>HYPERLINK("https://shopee.co.id/Scarlett-Whitening-Glowtening-Serum-15ml-i.10689.10333772473", "https://shopee.co.id/Scarlett-Whitening-Glowtening-Serum-15ml-i.10689.10333772473")</f>
        <v>https://shopee.co.id/Scarlett-Whitening-Glowtening-Serum-15ml-i.10689.10333772473</v>
      </c>
      <c r="C2425" s="6" t="s">
        <v>19</v>
      </c>
      <c r="D2425" s="6" t="s">
        <v>745</v>
      </c>
      <c r="E2425" s="6" t="s">
        <v>12</v>
      </c>
      <c r="F2425" s="6" t="s">
        <v>13</v>
      </c>
      <c r="G2425" s="6" t="s">
        <v>61</v>
      </c>
      <c r="H2425" s="8" t="s">
        <v>3612</v>
      </c>
      <c r="I2425" s="9">
        <v>148180.0</v>
      </c>
      <c r="J2425" s="5" t="str">
        <f t="shared" ref="J2425:K2425" si="2425">SUBSTITUTE(H2425, ",", "")</f>
        <v>1</v>
      </c>
      <c r="K2425" s="5" t="str">
        <f t="shared" si="2425"/>
        <v>Rp148180</v>
      </c>
      <c r="L2425" s="5" t="str">
        <f t="shared" si="3"/>
        <v>148180</v>
      </c>
    </row>
    <row r="2426">
      <c r="A2426" s="6" t="s">
        <v>3649</v>
      </c>
      <c r="B2426" s="7" t="str">
        <f>HYPERLINK("https://shopee.co.id/Egg-Collagen-White-Serum-Pagi-Malam-Pemutih-Wajah-Mulus-Whitening-Memudarkan-Flek-i.40233008.2221623610", "https://shopee.co.id/Egg-Collagen-White-Serum-Pagi-Malam-Pemutih-Wajah-Mulus-Whitening-Memudarkan-Flek-i.40233008.2221623610")</f>
        <v>https://shopee.co.id/Egg-Collagen-White-Serum-Pagi-Malam-Pemutih-Wajah-Mulus-Whitening-Memudarkan-Flek-i.40233008.2221623610</v>
      </c>
      <c r="C2426" s="6" t="s">
        <v>3650</v>
      </c>
      <c r="D2426" s="6" t="s">
        <v>3651</v>
      </c>
      <c r="E2426" s="6" t="s">
        <v>12</v>
      </c>
      <c r="F2426" s="6" t="s">
        <v>13</v>
      </c>
      <c r="G2426" s="6" t="s">
        <v>85</v>
      </c>
      <c r="H2426" s="8" t="s">
        <v>3612</v>
      </c>
      <c r="I2426" s="9">
        <v>33000.0</v>
      </c>
      <c r="J2426" s="5" t="str">
        <f t="shared" ref="J2426:K2426" si="2426">SUBSTITUTE(H2426, ",", "")</f>
        <v>1</v>
      </c>
      <c r="K2426" s="5" t="str">
        <f t="shared" si="2426"/>
        <v>Rp33000</v>
      </c>
      <c r="L2426" s="5" t="str">
        <f t="shared" si="3"/>
        <v>33000</v>
      </c>
    </row>
    <row r="2427">
      <c r="A2427" s="6" t="s">
        <v>3652</v>
      </c>
      <c r="B2427" s="7" t="str">
        <f>HYPERLINK("https://shopee.co.id/Bio-Essence-Bio-Water-Moist-in-Water-Gel-50gr-i.186214521.6131717115", "https://shopee.co.id/Bio-Essence-Bio-Water-Moist-in-Water-Gel-50gr-i.186214521.6131717115")</f>
        <v>https://shopee.co.id/Bio-Essence-Bio-Water-Moist-in-Water-Gel-50gr-i.186214521.6131717115</v>
      </c>
      <c r="C2427" s="6" t="s">
        <v>2240</v>
      </c>
      <c r="D2427" s="6" t="s">
        <v>2293</v>
      </c>
      <c r="E2427" s="6" t="s">
        <v>12</v>
      </c>
      <c r="F2427" s="6" t="s">
        <v>13</v>
      </c>
      <c r="G2427" s="6" t="s">
        <v>61</v>
      </c>
      <c r="H2427" s="8" t="s">
        <v>3612</v>
      </c>
      <c r="I2427" s="9">
        <v>24000.0</v>
      </c>
      <c r="J2427" s="5" t="str">
        <f t="shared" ref="J2427:K2427" si="2427">SUBSTITUTE(H2427, ",", "")</f>
        <v>1</v>
      </c>
      <c r="K2427" s="5" t="str">
        <f t="shared" si="2427"/>
        <v>Rp24000</v>
      </c>
      <c r="L2427" s="5" t="str">
        <f t="shared" si="3"/>
        <v>24000</v>
      </c>
    </row>
    <row r="2428">
      <c r="A2428" s="6" t="s">
        <v>3058</v>
      </c>
      <c r="B2428" s="7" t="str">
        <f>HYPERLINK("https://shopee.co.id/Iunik-Black-Snail-Restore-Serum-50ml-i.825870.2357252510", "https://shopee.co.id/Iunik-Black-Snail-Restore-Serum-50ml-i.825870.2357252510")</f>
        <v>https://shopee.co.id/Iunik-Black-Snail-Restore-Serum-50ml-i.825870.2357252510</v>
      </c>
      <c r="C2428" s="6" t="s">
        <v>1658</v>
      </c>
      <c r="D2428" s="6" t="s">
        <v>1184</v>
      </c>
      <c r="E2428" s="6" t="s">
        <v>12</v>
      </c>
      <c r="F2428" s="6" t="s">
        <v>13</v>
      </c>
      <c r="G2428" s="6" t="s">
        <v>21</v>
      </c>
      <c r="H2428" s="8" t="s">
        <v>3612</v>
      </c>
      <c r="I2428" s="9">
        <v>98000.0</v>
      </c>
      <c r="J2428" s="5" t="str">
        <f t="shared" ref="J2428:K2428" si="2428">SUBSTITUTE(H2428, ",", "")</f>
        <v>1</v>
      </c>
      <c r="K2428" s="5" t="str">
        <f t="shared" si="2428"/>
        <v>Rp98000</v>
      </c>
      <c r="L2428" s="5" t="str">
        <f t="shared" si="3"/>
        <v>98000</v>
      </c>
    </row>
    <row r="2429">
      <c r="A2429" s="6" t="s">
        <v>3653</v>
      </c>
      <c r="B2429" s="7" t="str">
        <f>HYPERLINK("https://shopee.co.id/Garnier-Sakura-White-Whitening-Serum-Day-Cream-SPF-30-20-mL-i.65323877.6589498627", "https://shopee.co.id/Garnier-Sakura-White-Whitening-Serum-Day-Cream-SPF-30-20-mL-i.65323877.6589498627")</f>
        <v>https://shopee.co.id/Garnier-Sakura-White-Whitening-Serum-Day-Cream-SPF-30-20-mL-i.65323877.6589498627</v>
      </c>
      <c r="C2429" s="6" t="s">
        <v>74</v>
      </c>
      <c r="D2429" s="6" t="s">
        <v>1600</v>
      </c>
      <c r="E2429" s="6" t="s">
        <v>12</v>
      </c>
      <c r="F2429" s="6" t="s">
        <v>13</v>
      </c>
      <c r="G2429" s="6" t="s">
        <v>296</v>
      </c>
      <c r="H2429" s="8" t="s">
        <v>3612</v>
      </c>
      <c r="I2429" s="9">
        <v>75000.0</v>
      </c>
      <c r="J2429" s="5" t="str">
        <f t="shared" ref="J2429:K2429" si="2429">SUBSTITUTE(H2429, ",", "")</f>
        <v>1</v>
      </c>
      <c r="K2429" s="5" t="str">
        <f t="shared" si="2429"/>
        <v>Rp75000</v>
      </c>
      <c r="L2429" s="5" t="str">
        <f t="shared" si="3"/>
        <v>75000</v>
      </c>
    </row>
    <row r="2430">
      <c r="A2430" s="6" t="s">
        <v>3654</v>
      </c>
      <c r="B2430" s="7" t="str">
        <f>HYPERLINK("https://shopee.co.id/Clove-Flower-Turmeric-Anti-Aging-Serum-Deluxe--i.69878037.3827832132", "https://shopee.co.id/Clove-Flower-Turmeric-Anti-Aging-Serum-Deluxe--i.69878037.3827832132")</f>
        <v>https://shopee.co.id/Clove-Flower-Turmeric-Anti-Aging-Serum-Deluxe--i.69878037.3827832132</v>
      </c>
      <c r="C2430" s="6" t="s">
        <v>3655</v>
      </c>
      <c r="D2430" s="6" t="s">
        <v>3656</v>
      </c>
      <c r="E2430" s="6" t="s">
        <v>12</v>
      </c>
      <c r="F2430" s="6" t="s">
        <v>13</v>
      </c>
      <c r="G2430" s="6" t="s">
        <v>532</v>
      </c>
      <c r="H2430" s="8" t="s">
        <v>3612</v>
      </c>
      <c r="I2430" s="9">
        <v>1600000.0</v>
      </c>
      <c r="J2430" s="5" t="str">
        <f t="shared" ref="J2430:K2430" si="2430">SUBSTITUTE(H2430, ",", "")</f>
        <v>1</v>
      </c>
      <c r="K2430" s="5" t="str">
        <f t="shared" si="2430"/>
        <v>Rp1600000</v>
      </c>
      <c r="L2430" s="5" t="str">
        <f t="shared" si="3"/>
        <v>1600000</v>
      </c>
    </row>
    <row r="2431">
      <c r="A2431" s="6" t="s">
        <v>3657</v>
      </c>
      <c r="B2431" s="7" t="str">
        <f>HYPERLINK("https://shopee.co.id/Esther-Radiant-Serum-i.258793984.3232990708", "https://shopee.co.id/Esther-Radiant-Serum-i.258793984.3232990708")</f>
        <v>https://shopee.co.id/Esther-Radiant-Serum-i.258793984.3232990708</v>
      </c>
      <c r="C2431" s="6" t="s">
        <v>3398</v>
      </c>
      <c r="D2431" s="6" t="s">
        <v>3399</v>
      </c>
      <c r="E2431" s="6" t="s">
        <v>12</v>
      </c>
      <c r="F2431" s="6" t="s">
        <v>13</v>
      </c>
      <c r="G2431" s="6" t="s">
        <v>350</v>
      </c>
      <c r="H2431" s="8" t="s">
        <v>3612</v>
      </c>
      <c r="I2431" s="9">
        <v>945000.0</v>
      </c>
      <c r="J2431" s="5" t="str">
        <f t="shared" ref="J2431:K2431" si="2431">SUBSTITUTE(H2431, ",", "")</f>
        <v>1</v>
      </c>
      <c r="K2431" s="5" t="str">
        <f t="shared" si="2431"/>
        <v>Rp945000</v>
      </c>
      <c r="L2431" s="5" t="str">
        <f t="shared" si="3"/>
        <v>945000</v>
      </c>
    </row>
    <row r="2432">
      <c r="A2432" s="6" t="s">
        <v>3658</v>
      </c>
      <c r="B2432" s="7" t="str">
        <f>HYPERLINK("https://shopee.co.id/MSBB-Westcare-Bounce-And-Glow-Serum-i.288588702.5576998214", "https://shopee.co.id/MSBB-Westcare-Bounce-And-Glow-Serum-i.288588702.5576998214")</f>
        <v>https://shopee.co.id/MSBB-Westcare-Bounce-And-Glow-Serum-i.288588702.5576998214</v>
      </c>
      <c r="C2432" s="6" t="s">
        <v>1402</v>
      </c>
      <c r="D2432" s="6" t="s">
        <v>79</v>
      </c>
      <c r="E2432" s="6" t="s">
        <v>12</v>
      </c>
      <c r="F2432" s="6" t="s">
        <v>13</v>
      </c>
      <c r="G2432" s="6" t="s">
        <v>80</v>
      </c>
      <c r="H2432" s="8" t="s">
        <v>3612</v>
      </c>
      <c r="I2432" s="9">
        <v>510000.0</v>
      </c>
      <c r="J2432" s="5" t="str">
        <f t="shared" ref="J2432:K2432" si="2432">SUBSTITUTE(H2432, ",", "")</f>
        <v>1</v>
      </c>
      <c r="K2432" s="5" t="str">
        <f t="shared" si="2432"/>
        <v>Rp510000</v>
      </c>
      <c r="L2432" s="5" t="str">
        <f t="shared" si="3"/>
        <v>510000</v>
      </c>
    </row>
    <row r="2433">
      <c r="A2433" s="6" t="s">
        <v>3659</v>
      </c>
      <c r="B2433" s="7" t="str">
        <f>HYPERLINK("https://shopee.co.id/Keep-Cool-and-Soothe-Serum-50ml-i.136011044.3640477823", "https://shopee.co.id/Keep-Cool-and-Soothe-Serum-50ml-i.136011044.3640477823")</f>
        <v>https://shopee.co.id/Keep-Cool-and-Soothe-Serum-50ml-i.136011044.3640477823</v>
      </c>
      <c r="C2433" s="6" t="s">
        <v>1202</v>
      </c>
      <c r="D2433" s="6" t="s">
        <v>632</v>
      </c>
      <c r="E2433" s="6" t="s">
        <v>12</v>
      </c>
      <c r="F2433" s="6" t="s">
        <v>13</v>
      </c>
      <c r="G2433" s="6" t="s">
        <v>21</v>
      </c>
      <c r="H2433" s="8" t="s">
        <v>3612</v>
      </c>
      <c r="I2433" s="9">
        <v>510000.0</v>
      </c>
      <c r="J2433" s="5" t="str">
        <f t="shared" ref="J2433:K2433" si="2433">SUBSTITUTE(H2433, ",", "")</f>
        <v>1</v>
      </c>
      <c r="K2433" s="5" t="str">
        <f t="shared" si="2433"/>
        <v>Rp510000</v>
      </c>
      <c r="L2433" s="5" t="str">
        <f t="shared" si="3"/>
        <v>510000</v>
      </c>
    </row>
    <row r="2434">
      <c r="A2434" s="6" t="s">
        <v>3660</v>
      </c>
      <c r="B2434" s="7" t="str">
        <f>HYPERLINK("https://shopee.co.id/Aubree-Hyaluron-Hydrating-Serum-30ml-i.825870.10747357317", "https://shopee.co.id/Aubree-Hyaluron-Hydrating-Serum-30ml-i.825870.10747357317")</f>
        <v>https://shopee.co.id/Aubree-Hyaluron-Hydrating-Serum-30ml-i.825870.10747357317</v>
      </c>
      <c r="C2434" s="6" t="s">
        <v>2642</v>
      </c>
      <c r="D2434" s="6" t="s">
        <v>1184</v>
      </c>
      <c r="E2434" s="6" t="s">
        <v>12</v>
      </c>
      <c r="F2434" s="6" t="s">
        <v>13</v>
      </c>
      <c r="G2434" s="6" t="s">
        <v>21</v>
      </c>
      <c r="H2434" s="8" t="s">
        <v>3612</v>
      </c>
      <c r="I2434" s="9">
        <v>1300000.0</v>
      </c>
      <c r="J2434" s="5" t="str">
        <f t="shared" ref="J2434:K2434" si="2434">SUBSTITUTE(H2434, ",", "")</f>
        <v>1</v>
      </c>
      <c r="K2434" s="5" t="str">
        <f t="shared" si="2434"/>
        <v>Rp1300000</v>
      </c>
      <c r="L2434" s="5" t="str">
        <f t="shared" si="3"/>
        <v>1300000</v>
      </c>
    </row>
    <row r="2435">
      <c r="A2435" s="6" t="s">
        <v>3661</v>
      </c>
      <c r="B2435" s="7" t="str">
        <f>HYPERLINK("https://shopee.co.id/Bio-Essence-24K-Bio-Gold-Gold-Water-i.68111.2025815029", "https://shopee.co.id/Bio-Essence-24K-Bio-Gold-Gold-Water-i.68111.2025815029")</f>
        <v>https://shopee.co.id/Bio-Essence-24K-Bio-Gold-Gold-Water-i.68111.2025815029</v>
      </c>
      <c r="C2435" s="6" t="s">
        <v>834</v>
      </c>
      <c r="D2435" s="6" t="s">
        <v>441</v>
      </c>
      <c r="E2435" s="6" t="s">
        <v>12</v>
      </c>
      <c r="F2435" s="6" t="s">
        <v>13</v>
      </c>
      <c r="G2435" s="6" t="s">
        <v>130</v>
      </c>
      <c r="H2435" s="8" t="s">
        <v>3612</v>
      </c>
      <c r="I2435" s="9">
        <v>1350000.0</v>
      </c>
      <c r="J2435" s="5" t="str">
        <f t="shared" ref="J2435:K2435" si="2435">SUBSTITUTE(H2435, ",", "")</f>
        <v>1</v>
      </c>
      <c r="K2435" s="5" t="str">
        <f t="shared" si="2435"/>
        <v>Rp1350000</v>
      </c>
      <c r="L2435" s="5" t="str">
        <f t="shared" si="3"/>
        <v>1350000</v>
      </c>
    </row>
    <row r="2436">
      <c r="A2436" s="6" t="s">
        <v>3662</v>
      </c>
      <c r="B2436" s="7" t="str">
        <f>HYPERLINK("https://shopee.co.id/Vavl-Pure-White-Glowing-Serum-15ml-i.136011044.7497684517", "https://shopee.co.id/Vavl-Pure-White-Glowing-Serum-15ml-i.136011044.7497684517")</f>
        <v>https://shopee.co.id/Vavl-Pure-White-Glowing-Serum-15ml-i.136011044.7497684517</v>
      </c>
      <c r="C2436" s="6" t="s">
        <v>1171</v>
      </c>
      <c r="D2436" s="6" t="s">
        <v>632</v>
      </c>
      <c r="E2436" s="6" t="s">
        <v>12</v>
      </c>
      <c r="F2436" s="6" t="s">
        <v>13</v>
      </c>
      <c r="G2436" s="6" t="s">
        <v>21</v>
      </c>
      <c r="H2436" s="8" t="s">
        <v>3612</v>
      </c>
      <c r="I2436" s="9">
        <v>285000.0</v>
      </c>
      <c r="J2436" s="5" t="str">
        <f t="shared" ref="J2436:K2436" si="2436">SUBSTITUTE(H2436, ",", "")</f>
        <v>1</v>
      </c>
      <c r="K2436" s="5" t="str">
        <f t="shared" si="2436"/>
        <v>Rp285000</v>
      </c>
      <c r="L2436" s="5" t="str">
        <f t="shared" si="3"/>
        <v>285000</v>
      </c>
    </row>
    <row r="2437">
      <c r="A2437" s="6" t="s">
        <v>3663</v>
      </c>
      <c r="B2437" s="7" t="str">
        <f>HYPERLINK("https://shopee.co.id/Natosh-Sunflower-Seed-Oil-i.79298106.1421397759", "https://shopee.co.id/Natosh-Sunflower-Seed-Oil-i.79298106.1421397759")</f>
        <v>https://shopee.co.id/Natosh-Sunflower-Seed-Oil-i.79298106.1421397759</v>
      </c>
      <c r="C2437" s="6" t="s">
        <v>1665</v>
      </c>
      <c r="D2437" s="6" t="s">
        <v>2969</v>
      </c>
      <c r="E2437" s="6" t="s">
        <v>12</v>
      </c>
      <c r="F2437" s="6" t="s">
        <v>13</v>
      </c>
      <c r="G2437" s="6" t="s">
        <v>350</v>
      </c>
      <c r="H2437" s="8" t="s">
        <v>3612</v>
      </c>
      <c r="I2437" s="9">
        <v>185000.0</v>
      </c>
      <c r="J2437" s="5" t="str">
        <f t="shared" ref="J2437:K2437" si="2437">SUBSTITUTE(H2437, ",", "")</f>
        <v>1</v>
      </c>
      <c r="K2437" s="5" t="str">
        <f t="shared" si="2437"/>
        <v>Rp185000</v>
      </c>
      <c r="L2437" s="5" t="str">
        <f t="shared" si="3"/>
        <v>185000</v>
      </c>
    </row>
    <row r="2438">
      <c r="A2438" s="6" t="s">
        <v>3664</v>
      </c>
      <c r="B2438" s="7" t="str">
        <f>HYPERLINK("https://shopee.co.id/Serum-Wajah-Glowing-Nature-Reaction-CRYSTAL-BRIGHT-SERUM-ORIGINAL-BPOM-i.375565670.8889562976", "https://shopee.co.id/Serum-Wajah-Glowing-Nature-Reaction-CRYSTAL-BRIGHT-SERUM-ORIGINAL-BPOM-i.375565670.8889562976")</f>
        <v>https://shopee.co.id/Serum-Wajah-Glowing-Nature-Reaction-CRYSTAL-BRIGHT-SERUM-ORIGINAL-BPOM-i.375565670.8889562976</v>
      </c>
      <c r="C2438" s="6" t="s">
        <v>530</v>
      </c>
      <c r="D2438" s="6" t="s">
        <v>531</v>
      </c>
      <c r="E2438" s="6" t="s">
        <v>12</v>
      </c>
      <c r="F2438" s="6" t="s">
        <v>13</v>
      </c>
      <c r="G2438" s="6" t="s">
        <v>532</v>
      </c>
      <c r="H2438" s="8" t="s">
        <v>3612</v>
      </c>
      <c r="I2438" s="9">
        <v>179000.0</v>
      </c>
      <c r="J2438" s="5" t="str">
        <f t="shared" ref="J2438:K2438" si="2438">SUBSTITUTE(H2438, ",", "")</f>
        <v>1</v>
      </c>
      <c r="K2438" s="5" t="str">
        <f t="shared" si="2438"/>
        <v>Rp179000</v>
      </c>
      <c r="L2438" s="5" t="str">
        <f t="shared" si="3"/>
        <v>179000</v>
      </c>
    </row>
    <row r="2439">
      <c r="A2439" s="6" t="s">
        <v>3665</v>
      </c>
      <c r="B2439" s="7" t="str">
        <f>HYPERLINK("https://shopee.co.id/ROJUKISS-Orange-C-Bright-Pore-Care-Serum-8ml-i.270965687.9473016289", "https://shopee.co.id/ROJUKISS-Orange-C-Bright-Pore-Care-Serum-8ml-i.270965687.9473016289")</f>
        <v>https://shopee.co.id/ROJUKISS-Orange-C-Bright-Pore-Care-Serum-8ml-i.270965687.9473016289</v>
      </c>
      <c r="C2439" s="6" t="s">
        <v>1508</v>
      </c>
      <c r="D2439" s="6" t="s">
        <v>379</v>
      </c>
      <c r="E2439" s="6" t="s">
        <v>12</v>
      </c>
      <c r="F2439" s="6" t="s">
        <v>13</v>
      </c>
      <c r="G2439" s="6" t="s">
        <v>380</v>
      </c>
      <c r="H2439" s="8" t="s">
        <v>3612</v>
      </c>
      <c r="I2439" s="9">
        <v>126000.0</v>
      </c>
      <c r="J2439" s="5" t="str">
        <f t="shared" ref="J2439:K2439" si="2439">SUBSTITUTE(H2439, ",", "")</f>
        <v>1</v>
      </c>
      <c r="K2439" s="5" t="str">
        <f t="shared" si="2439"/>
        <v>Rp126000</v>
      </c>
      <c r="L2439" s="5" t="str">
        <f t="shared" si="3"/>
        <v>126000</v>
      </c>
    </row>
    <row r="2440">
      <c r="A2440" s="6" t="s">
        <v>3666</v>
      </c>
      <c r="B2440" s="7" t="str">
        <f>HYPERLINK("https://shopee.co.id/Rubiena-Brightening-Serum-i.191323030.5504509162", "https://shopee.co.id/Rubiena-Brightening-Serum-i.191323030.5504509162")</f>
        <v>https://shopee.co.id/Rubiena-Brightening-Serum-i.191323030.5504509162</v>
      </c>
      <c r="C2440" s="6" t="s">
        <v>3667</v>
      </c>
      <c r="D2440" s="6" t="s">
        <v>3668</v>
      </c>
      <c r="E2440" s="6" t="s">
        <v>12</v>
      </c>
      <c r="F2440" s="6" t="s">
        <v>13</v>
      </c>
      <c r="G2440" s="6" t="s">
        <v>61</v>
      </c>
      <c r="H2440" s="8" t="s">
        <v>3612</v>
      </c>
      <c r="I2440" s="9">
        <v>175000.0</v>
      </c>
      <c r="J2440" s="5" t="str">
        <f t="shared" ref="J2440:K2440" si="2440">SUBSTITUTE(H2440, ",", "")</f>
        <v>1</v>
      </c>
      <c r="K2440" s="5" t="str">
        <f t="shared" si="2440"/>
        <v>Rp175000</v>
      </c>
      <c r="L2440" s="5" t="str">
        <f t="shared" si="3"/>
        <v>175000</v>
      </c>
    </row>
    <row r="2441">
      <c r="A2441" s="6" t="s">
        <v>3669</v>
      </c>
      <c r="B2441" s="7" t="str">
        <f>HYPERLINK("https://shopee.co.id/Skind-Aesthetic-Rose-Drip-Crystal-Clear-Serum-Ageless-Beauty-Perfect-Eye-Gel-i.168325789.9283916017", "https://shopee.co.id/Skind-Aesthetic-Rose-Drip-Crystal-Clear-Serum-Ageless-Beauty-Perfect-Eye-Gel-i.168325789.9283916017")</f>
        <v>https://shopee.co.id/Skind-Aesthetic-Rose-Drip-Crystal-Clear-Serum-Ageless-Beauty-Perfect-Eye-Gel-i.168325789.9283916017</v>
      </c>
      <c r="C2441" s="6" t="s">
        <v>2921</v>
      </c>
      <c r="D2441" s="6" t="s">
        <v>3282</v>
      </c>
      <c r="E2441" s="6" t="s">
        <v>12</v>
      </c>
      <c r="F2441" s="6" t="s">
        <v>13</v>
      </c>
      <c r="G2441" s="6" t="s">
        <v>241</v>
      </c>
      <c r="H2441" s="8" t="s">
        <v>3612</v>
      </c>
      <c r="I2441" s="9">
        <v>69000.0</v>
      </c>
      <c r="J2441" s="5" t="str">
        <f t="shared" ref="J2441:K2441" si="2441">SUBSTITUTE(H2441, ",", "")</f>
        <v>1</v>
      </c>
      <c r="K2441" s="5" t="str">
        <f t="shared" si="2441"/>
        <v>Rp69000</v>
      </c>
      <c r="L2441" s="5" t="str">
        <f t="shared" si="3"/>
        <v>69000</v>
      </c>
    </row>
    <row r="2442">
      <c r="A2442" s="6" t="s">
        <v>3670</v>
      </c>
      <c r="B2442" s="7" t="str">
        <f>HYPERLINK("https://shopee.co.id/FACE-2-FACE-Whitening-Serum-i.100248646.1632018660", "https://shopee.co.id/FACE-2-FACE-Whitening-Serum-i.100248646.1632018660")</f>
        <v>https://shopee.co.id/FACE-2-FACE-Whitening-Serum-i.100248646.1632018660</v>
      </c>
      <c r="C2442" s="6" t="s">
        <v>3671</v>
      </c>
      <c r="D2442" s="6" t="s">
        <v>3672</v>
      </c>
      <c r="E2442" s="6" t="s">
        <v>12</v>
      </c>
      <c r="F2442" s="6" t="s">
        <v>13</v>
      </c>
      <c r="G2442" s="6" t="s">
        <v>532</v>
      </c>
      <c r="H2442" s="8" t="s">
        <v>3612</v>
      </c>
      <c r="I2442" s="9">
        <v>33600.0</v>
      </c>
      <c r="J2442" s="5" t="str">
        <f t="shared" ref="J2442:K2442" si="2442">SUBSTITUTE(H2442, ",", "")</f>
        <v>1</v>
      </c>
      <c r="K2442" s="5" t="str">
        <f t="shared" si="2442"/>
        <v>Rp33600</v>
      </c>
      <c r="L2442" s="5" t="str">
        <f t="shared" si="3"/>
        <v>33600</v>
      </c>
    </row>
    <row r="2443">
      <c r="A2443" s="6" t="s">
        <v>3673</v>
      </c>
      <c r="B2443" s="7" t="str">
        <f>HYPERLINK("https://shopee.co.id/The-Body-Culture-BUY-1-GET-1-Fruitamin-Serum-i.114290068.5042974962", "https://shopee.co.id/The-Body-Culture-BUY-1-GET-1-Fruitamin-Serum-i.114290068.5042974962")</f>
        <v>https://shopee.co.id/The-Body-Culture-BUY-1-GET-1-Fruitamin-Serum-i.114290068.5042974962</v>
      </c>
      <c r="C2443" s="6" t="s">
        <v>3674</v>
      </c>
      <c r="D2443" s="6" t="s">
        <v>3675</v>
      </c>
      <c r="E2443" s="6" t="s">
        <v>12</v>
      </c>
      <c r="F2443" s="6" t="s">
        <v>13</v>
      </c>
      <c r="G2443" s="6" t="s">
        <v>61</v>
      </c>
      <c r="H2443" s="8" t="s">
        <v>3612</v>
      </c>
      <c r="I2443" s="9">
        <v>186000.0</v>
      </c>
      <c r="J2443" s="5" t="str">
        <f t="shared" ref="J2443:K2443" si="2443">SUBSTITUTE(H2443, ",", "")</f>
        <v>1</v>
      </c>
      <c r="K2443" s="5" t="str">
        <f t="shared" si="2443"/>
        <v>Rp186000</v>
      </c>
      <c r="L2443" s="5" t="str">
        <f t="shared" si="3"/>
        <v>186000</v>
      </c>
    </row>
    <row r="2444">
      <c r="A2444" s="6" t="s">
        <v>3676</v>
      </c>
      <c r="B2444" s="7" t="str">
        <f>HYPERLINK("https://shopee.co.id/Elshe-Skin-Sebum-Reducer-Serum-20ml-i.68111.1011131011", "https://shopee.co.id/Elshe-Skin-Sebum-Reducer-Serum-20ml-i.68111.1011131011")</f>
        <v>https://shopee.co.id/Elshe-Skin-Sebum-Reducer-Serum-20ml-i.68111.1011131011</v>
      </c>
      <c r="C2444" s="6" t="s">
        <v>135</v>
      </c>
      <c r="D2444" s="6" t="s">
        <v>441</v>
      </c>
      <c r="E2444" s="6" t="s">
        <v>12</v>
      </c>
      <c r="F2444" s="6" t="s">
        <v>13</v>
      </c>
      <c r="G2444" s="6" t="s">
        <v>130</v>
      </c>
      <c r="H2444" s="8" t="s">
        <v>3612</v>
      </c>
      <c r="I2444" s="9">
        <v>269000.0</v>
      </c>
      <c r="J2444" s="5" t="str">
        <f t="shared" ref="J2444:K2444" si="2444">SUBSTITUTE(H2444, ",", "")</f>
        <v>1</v>
      </c>
      <c r="K2444" s="5" t="str">
        <f t="shared" si="2444"/>
        <v>Rp269000</v>
      </c>
      <c r="L2444" s="5" t="str">
        <f t="shared" si="3"/>
        <v>269000</v>
      </c>
    </row>
    <row r="2445">
      <c r="A2445" s="6" t="s">
        <v>3677</v>
      </c>
      <c r="B2445" s="7" t="str">
        <f>HYPERLINK("https://shopee.co.id/HERSALL-2pcs-Watermelon-Ice-Cream-i.329847628.8789714696", "https://shopee.co.id/HERSALL-2pcs-Watermelon-Ice-Cream-i.329847628.8789714696")</f>
        <v>https://shopee.co.id/HERSALL-2pcs-Watermelon-Ice-Cream-i.329847628.8789714696</v>
      </c>
      <c r="C2445" s="6" t="s">
        <v>2000</v>
      </c>
      <c r="D2445" s="6" t="s">
        <v>2001</v>
      </c>
      <c r="E2445" s="6" t="s">
        <v>12</v>
      </c>
      <c r="F2445" s="6" t="s">
        <v>13</v>
      </c>
      <c r="G2445" s="6" t="s">
        <v>61</v>
      </c>
      <c r="H2445" s="8" t="s">
        <v>3612</v>
      </c>
      <c r="I2445" s="9">
        <v>313500.0</v>
      </c>
      <c r="J2445" s="5" t="str">
        <f t="shared" ref="J2445:K2445" si="2445">SUBSTITUTE(H2445, ",", "")</f>
        <v>1</v>
      </c>
      <c r="K2445" s="5" t="str">
        <f t="shared" si="2445"/>
        <v>Rp313500</v>
      </c>
      <c r="L2445" s="5" t="str">
        <f t="shared" si="3"/>
        <v>313500</v>
      </c>
    </row>
    <row r="2446">
      <c r="A2446" s="6" t="s">
        <v>3678</v>
      </c>
      <c r="B2446" s="7" t="str">
        <f>HYPERLINK("https://shopee.co.id/Bundle-Skinmee-Shine-Bright-x-Neogen-Dermalogy-Lemon-Sachet-3Pcs-i.426361756.10631921906", "https://shopee.co.id/Bundle-Skinmee-Shine-Bright-x-Neogen-Dermalogy-Lemon-Sachet-3Pcs-i.426361756.10631921906")</f>
        <v>https://shopee.co.id/Bundle-Skinmee-Shine-Bright-x-Neogen-Dermalogy-Lemon-Sachet-3Pcs-i.426361756.10631921906</v>
      </c>
      <c r="C2446" s="6" t="s">
        <v>1141</v>
      </c>
      <c r="D2446" s="6" t="s">
        <v>1142</v>
      </c>
      <c r="E2446" s="6" t="s">
        <v>12</v>
      </c>
      <c r="F2446" s="6" t="s">
        <v>13</v>
      </c>
      <c r="G2446" s="6" t="s">
        <v>98</v>
      </c>
      <c r="H2446" s="8" t="s">
        <v>3612</v>
      </c>
      <c r="I2446" s="9">
        <v>280000.0</v>
      </c>
      <c r="J2446" s="5" t="str">
        <f t="shared" ref="J2446:K2446" si="2446">SUBSTITUTE(H2446, ",", "")</f>
        <v>1</v>
      </c>
      <c r="K2446" s="5" t="str">
        <f t="shared" si="2446"/>
        <v>Rp280000</v>
      </c>
      <c r="L2446" s="5" t="str">
        <f t="shared" si="3"/>
        <v>280000</v>
      </c>
    </row>
    <row r="2447">
      <c r="A2447" s="6" t="s">
        <v>3679</v>
      </c>
      <c r="B2447" s="7" t="str">
        <f>HYPERLINK("https://shopee.co.id/ElsheSkin-Smoothing-Serum-For-Acne-Skin-20ml-i.825870.1924014332", "https://shopee.co.id/ElsheSkin-Smoothing-Serum-For-Acne-Skin-20ml-i.825870.1924014332")</f>
        <v>https://shopee.co.id/ElsheSkin-Smoothing-Serum-For-Acne-Skin-20ml-i.825870.1924014332</v>
      </c>
      <c r="C2447" s="6" t="s">
        <v>135</v>
      </c>
      <c r="D2447" s="6" t="s">
        <v>1184</v>
      </c>
      <c r="E2447" s="6" t="s">
        <v>12</v>
      </c>
      <c r="F2447" s="6" t="s">
        <v>13</v>
      </c>
      <c r="G2447" s="6" t="s">
        <v>21</v>
      </c>
      <c r="H2447" s="8" t="s">
        <v>3612</v>
      </c>
      <c r="I2447" s="9">
        <v>280000.0</v>
      </c>
      <c r="J2447" s="5" t="str">
        <f t="shared" ref="J2447:K2447" si="2447">SUBSTITUTE(H2447, ",", "")</f>
        <v>1</v>
      </c>
      <c r="K2447" s="5" t="str">
        <f t="shared" si="2447"/>
        <v>Rp280000</v>
      </c>
      <c r="L2447" s="5" t="str">
        <f t="shared" si="3"/>
        <v>280000</v>
      </c>
    </row>
    <row r="2448">
      <c r="A2448" s="6" t="s">
        <v>3680</v>
      </c>
      <c r="B2448" s="7" t="str">
        <f>HYPERLINK("https://shopee.co.id/Ponds-Age-Miracle-Face-Serum-30-mL-Ponds-Age-Miracle-Facial-Foam-100-gr-i.65323877.8779911332", "https://shopee.co.id/Ponds-Age-Miracle-Face-Serum-30-mL-Ponds-Age-Miracle-Facial-Foam-100-gr-i.65323877.8779911332")</f>
        <v>https://shopee.co.id/Ponds-Age-Miracle-Face-Serum-30-mL-Ponds-Age-Miracle-Facial-Foam-100-gr-i.65323877.8779911332</v>
      </c>
      <c r="C2448" s="6" t="s">
        <v>325</v>
      </c>
      <c r="D2448" s="6" t="s">
        <v>1600</v>
      </c>
      <c r="E2448" s="6" t="s">
        <v>12</v>
      </c>
      <c r="F2448" s="6" t="s">
        <v>13</v>
      </c>
      <c r="G2448" s="6" t="s">
        <v>296</v>
      </c>
      <c r="H2448" s="8" t="s">
        <v>3612</v>
      </c>
      <c r="I2448" s="9">
        <v>119600.0</v>
      </c>
      <c r="J2448" s="5" t="str">
        <f t="shared" ref="J2448:K2448" si="2448">SUBSTITUTE(H2448, ",", "")</f>
        <v>1</v>
      </c>
      <c r="K2448" s="5" t="str">
        <f t="shared" si="2448"/>
        <v>Rp119600</v>
      </c>
      <c r="L2448" s="5" t="str">
        <f t="shared" si="3"/>
        <v>119600</v>
      </c>
    </row>
    <row r="2449">
      <c r="A2449" s="6" t="s">
        <v>3681</v>
      </c>
      <c r="B2449" s="7" t="str">
        <f>HYPERLINK("https://shopee.co.id/Noola-Breezy-Willow-Moist-Serum-30ml-i.50948181.9189637290", "https://shopee.co.id/Noola-Breezy-Willow-Moist-Serum-30ml-i.50948181.9189637290")</f>
        <v>https://shopee.co.id/Noola-Breezy-Willow-Moist-Serum-30ml-i.50948181.9189637290</v>
      </c>
      <c r="C2449" s="6" t="s">
        <v>2794</v>
      </c>
      <c r="D2449" s="6" t="s">
        <v>1129</v>
      </c>
      <c r="E2449" s="6" t="s">
        <v>12</v>
      </c>
      <c r="F2449" s="6" t="s">
        <v>13</v>
      </c>
      <c r="G2449" s="6" t="s">
        <v>1130</v>
      </c>
      <c r="H2449" s="8" t="s">
        <v>3612</v>
      </c>
      <c r="I2449" s="9">
        <v>299000.0</v>
      </c>
      <c r="J2449" s="5" t="str">
        <f t="shared" ref="J2449:K2449" si="2449">SUBSTITUTE(H2449, ",", "")</f>
        <v>1</v>
      </c>
      <c r="K2449" s="5" t="str">
        <f t="shared" si="2449"/>
        <v>Rp299000</v>
      </c>
      <c r="L2449" s="5" t="str">
        <f t="shared" si="3"/>
        <v>299000</v>
      </c>
    </row>
    <row r="2450">
      <c r="A2450" s="6" t="s">
        <v>3682</v>
      </c>
      <c r="B2450" s="7" t="str">
        <f>HYPERLINK("https://shopee.co.id/Aubree-Centella-Herb-Serum-Unscented-30ml-i.825870.3030353236", "https://shopee.co.id/Aubree-Centella-Herb-Serum-Unscented-30ml-i.825870.3030353236")</f>
        <v>https://shopee.co.id/Aubree-Centella-Herb-Serum-Unscented-30ml-i.825870.3030353236</v>
      </c>
      <c r="C2450" s="6" t="s">
        <v>2642</v>
      </c>
      <c r="D2450" s="6" t="s">
        <v>1184</v>
      </c>
      <c r="E2450" s="6" t="s">
        <v>12</v>
      </c>
      <c r="F2450" s="6" t="s">
        <v>13</v>
      </c>
      <c r="G2450" s="6" t="s">
        <v>21</v>
      </c>
      <c r="H2450" s="8" t="s">
        <v>3612</v>
      </c>
      <c r="I2450" s="9">
        <v>120000.0</v>
      </c>
      <c r="J2450" s="5" t="str">
        <f t="shared" ref="J2450:K2450" si="2450">SUBSTITUTE(H2450, ",", "")</f>
        <v>1</v>
      </c>
      <c r="K2450" s="5" t="str">
        <f t="shared" si="2450"/>
        <v>Rp120000</v>
      </c>
      <c r="L2450" s="5" t="str">
        <f t="shared" si="3"/>
        <v>120000</v>
      </c>
    </row>
    <row r="2451">
      <c r="A2451" s="6" t="s">
        <v>3683</v>
      </c>
      <c r="B2451" s="7" t="str">
        <f>HYPERLINK("https://shopee.co.id/SBC-Skin-Whitening-Complex-Serum-20ml-i.825870.6016468082", "https://shopee.co.id/SBC-Skin-Whitening-Complex-Serum-20ml-i.825870.6016468082")</f>
        <v>https://shopee.co.id/SBC-Skin-Whitening-Complex-Serum-20ml-i.825870.6016468082</v>
      </c>
      <c r="C2451" s="6" t="s">
        <v>1775</v>
      </c>
      <c r="D2451" s="6" t="s">
        <v>1184</v>
      </c>
      <c r="E2451" s="6" t="s">
        <v>12</v>
      </c>
      <c r="F2451" s="6" t="s">
        <v>13</v>
      </c>
      <c r="G2451" s="6" t="s">
        <v>21</v>
      </c>
      <c r="H2451" s="8" t="s">
        <v>3612</v>
      </c>
      <c r="I2451" s="9">
        <v>299000.0</v>
      </c>
      <c r="J2451" s="5" t="str">
        <f t="shared" ref="J2451:K2451" si="2451">SUBSTITUTE(H2451, ",", "")</f>
        <v>1</v>
      </c>
      <c r="K2451" s="5" t="str">
        <f t="shared" si="2451"/>
        <v>Rp299000</v>
      </c>
      <c r="L2451" s="5" t="str">
        <f t="shared" si="3"/>
        <v>299000</v>
      </c>
    </row>
    <row r="2452">
      <c r="A2452" s="6" t="s">
        <v>3684</v>
      </c>
      <c r="B2452" s="7" t="str">
        <f>HYPERLINK("https://shopee.co.id/FIRM-AND-YOUTHFULL-SKIN-ADVANCED-TREATMENT-SERUM-i.231467354.11606416806", "https://shopee.co.id/FIRM-AND-YOUTHFULL-SKIN-ADVANCED-TREATMENT-SERUM-i.231467354.11606416806")</f>
        <v>https://shopee.co.id/FIRM-AND-YOUTHFULL-SKIN-ADVANCED-TREATMENT-SERUM-i.231467354.11606416806</v>
      </c>
      <c r="C2452" s="6" t="s">
        <v>2878</v>
      </c>
      <c r="D2452" s="6" t="s">
        <v>2879</v>
      </c>
      <c r="E2452" s="6" t="s">
        <v>12</v>
      </c>
      <c r="F2452" s="6" t="s">
        <v>13</v>
      </c>
      <c r="G2452" s="6" t="s">
        <v>532</v>
      </c>
      <c r="H2452" s="8" t="s">
        <v>3612</v>
      </c>
      <c r="I2452" s="9">
        <v>625500.0</v>
      </c>
      <c r="J2452" s="5" t="str">
        <f t="shared" ref="J2452:K2452" si="2452">SUBSTITUTE(H2452, ",", "")</f>
        <v>1</v>
      </c>
      <c r="K2452" s="5" t="str">
        <f t="shared" si="2452"/>
        <v>Rp625500</v>
      </c>
      <c r="L2452" s="5" t="str">
        <f t="shared" si="3"/>
        <v>625500</v>
      </c>
    </row>
    <row r="2453">
      <c r="A2453" s="6" t="s">
        <v>3685</v>
      </c>
      <c r="B2453" s="7" t="str">
        <f>HYPERLINK("https://shopee.co.id/Dr-Ceuracle-AC-Care-Solution-Green-Two-Size-50-ml-Edit-by-Sociolla-i.224957239.4033282062", "https://shopee.co.id/Dr-Ceuracle-AC-Care-Solution-Green-Two-Size-50-ml-Edit-by-Sociolla-i.224957239.4033282062")</f>
        <v>https://shopee.co.id/Dr-Ceuracle-AC-Care-Solution-Green-Two-Size-50-ml-Edit-by-Sociolla-i.224957239.4033282062</v>
      </c>
      <c r="C2453" s="6" t="s">
        <v>3011</v>
      </c>
      <c r="D2453" s="6" t="s">
        <v>492</v>
      </c>
      <c r="E2453" s="6" t="s">
        <v>12</v>
      </c>
      <c r="F2453" s="6" t="s">
        <v>13</v>
      </c>
      <c r="G2453" s="6" t="s">
        <v>21</v>
      </c>
      <c r="H2453" s="8" t="s">
        <v>3612</v>
      </c>
      <c r="I2453" s="9">
        <v>60000.0</v>
      </c>
      <c r="J2453" s="5" t="str">
        <f t="shared" ref="J2453:K2453" si="2453">SUBSTITUTE(H2453, ",", "")</f>
        <v>1</v>
      </c>
      <c r="K2453" s="5" t="str">
        <f t="shared" si="2453"/>
        <v>Rp60000</v>
      </c>
      <c r="L2453" s="5" t="str">
        <f t="shared" si="3"/>
        <v>60000</v>
      </c>
    </row>
    <row r="2454">
      <c r="A2454" s="6" t="s">
        <v>3686</v>
      </c>
      <c r="B2454" s="7" t="str">
        <f>HYPERLINK("https://shopee.co.id/BENTON-BENTON-Snail-Bee-High-Content-Essence-60ml--i.68111.605854003", "https://shopee.co.id/BENTON-BENTON-Snail-Bee-High-Content-Essence-60ml--i.68111.605854003")</f>
        <v>https://shopee.co.id/BENTON-BENTON-Snail-Bee-High-Content-Essence-60ml--i.68111.605854003</v>
      </c>
      <c r="C2454" s="6" t="s">
        <v>456</v>
      </c>
      <c r="D2454" s="6" t="s">
        <v>441</v>
      </c>
      <c r="E2454" s="6" t="s">
        <v>12</v>
      </c>
      <c r="F2454" s="6" t="s">
        <v>13</v>
      </c>
      <c r="G2454" s="6" t="s">
        <v>130</v>
      </c>
      <c r="H2454" s="8" t="s">
        <v>3612</v>
      </c>
      <c r="I2454" s="9">
        <v>202000.0</v>
      </c>
      <c r="J2454" s="5" t="str">
        <f t="shared" ref="J2454:K2454" si="2454">SUBSTITUTE(H2454, ",", "")</f>
        <v>1</v>
      </c>
      <c r="K2454" s="5" t="str">
        <f t="shared" si="2454"/>
        <v>Rp202000</v>
      </c>
      <c r="L2454" s="5" t="str">
        <f t="shared" si="3"/>
        <v>202000</v>
      </c>
    </row>
    <row r="2455">
      <c r="A2455" s="6" t="s">
        <v>3687</v>
      </c>
      <c r="B2455" s="7" t="str">
        <f>HYPERLINK("https://shopee.co.id/Tuesbelle-COSRX-Advanced-Snail-96-Mucin-Power-Essence-100ml-i.36872574.4015395420", "https://shopee.co.id/Tuesbelle-COSRX-Advanced-Snail-96-Mucin-Power-Essence-100ml-i.36872574.4015395420")</f>
        <v>https://shopee.co.id/Tuesbelle-COSRX-Advanced-Snail-96-Mucin-Power-Essence-100ml-i.36872574.4015395420</v>
      </c>
      <c r="C2455" s="6" t="s">
        <v>305</v>
      </c>
      <c r="D2455" s="6" t="s">
        <v>969</v>
      </c>
      <c r="E2455" s="6" t="s">
        <v>12</v>
      </c>
      <c r="F2455" s="6" t="s">
        <v>13</v>
      </c>
      <c r="G2455" s="6" t="s">
        <v>115</v>
      </c>
      <c r="H2455" s="8" t="s">
        <v>3612</v>
      </c>
      <c r="I2455" s="9">
        <v>150000.0</v>
      </c>
      <c r="J2455" s="5" t="str">
        <f t="shared" ref="J2455:K2455" si="2455">SUBSTITUTE(H2455, ",", "")</f>
        <v>1</v>
      </c>
      <c r="K2455" s="5" t="str">
        <f t="shared" si="2455"/>
        <v>Rp150000</v>
      </c>
      <c r="L2455" s="5" t="str">
        <f t="shared" si="3"/>
        <v>150000</v>
      </c>
    </row>
    <row r="2456">
      <c r="A2456" s="6" t="s">
        <v>3688</v>
      </c>
      <c r="B2456" s="7" t="str">
        <f>HYPERLINK("https://shopee.co.id/Hanasui-Serum-25-ml-417908--i.16735262.3765354714", "https://shopee.co.id/Hanasui-Serum-25-ml-417908--i.16735262.3765354714")</f>
        <v>https://shopee.co.id/Hanasui-Serum-25-ml-417908--i.16735262.3765354714</v>
      </c>
      <c r="C2456" s="6" t="s">
        <v>784</v>
      </c>
      <c r="D2456" s="6" t="s">
        <v>3598</v>
      </c>
      <c r="E2456" s="6" t="s">
        <v>12</v>
      </c>
      <c r="F2456" s="6" t="s">
        <v>13</v>
      </c>
      <c r="G2456" s="6" t="s">
        <v>36</v>
      </c>
      <c r="H2456" s="8" t="s">
        <v>3612</v>
      </c>
      <c r="I2456" s="9">
        <v>346500.0</v>
      </c>
      <c r="J2456" s="5" t="str">
        <f t="shared" ref="J2456:K2456" si="2456">SUBSTITUTE(H2456, ",", "")</f>
        <v>1</v>
      </c>
      <c r="K2456" s="5" t="str">
        <f t="shared" si="2456"/>
        <v>Rp346500</v>
      </c>
      <c r="L2456" s="5" t="str">
        <f t="shared" si="3"/>
        <v>346500</v>
      </c>
    </row>
    <row r="2457">
      <c r="A2457" s="6" t="s">
        <v>3689</v>
      </c>
      <c r="B2457" s="7" t="str">
        <f>HYPERLINK("https://shopee.co.id/BeautieSS-Skin-Solution-Vitamin-C-Collagen-Serum-dengan-Hyaluronic-Acid-i.48098269.759461980", "https://shopee.co.id/BeautieSS-Skin-Solution-Vitamin-C-Collagen-Serum-dengan-Hyaluronic-Acid-i.48098269.759461980")</f>
        <v>https://shopee.co.id/BeautieSS-Skin-Solution-Vitamin-C-Collagen-Serum-dengan-Hyaluronic-Acid-i.48098269.759461980</v>
      </c>
      <c r="C2457" s="6" t="s">
        <v>3377</v>
      </c>
      <c r="D2457" s="6" t="s">
        <v>3166</v>
      </c>
      <c r="E2457" s="6" t="s">
        <v>12</v>
      </c>
      <c r="F2457" s="6" t="s">
        <v>13</v>
      </c>
      <c r="G2457" s="6" t="s">
        <v>241</v>
      </c>
      <c r="H2457" s="8" t="s">
        <v>3612</v>
      </c>
      <c r="I2457" s="9">
        <v>518000.0</v>
      </c>
      <c r="J2457" s="5" t="str">
        <f t="shared" ref="J2457:K2457" si="2457">SUBSTITUTE(H2457, ",", "")</f>
        <v>1</v>
      </c>
      <c r="K2457" s="5" t="str">
        <f t="shared" si="2457"/>
        <v>Rp518000</v>
      </c>
      <c r="L2457" s="5" t="str">
        <f t="shared" si="3"/>
        <v>518000</v>
      </c>
    </row>
    <row r="2458">
      <c r="A2458" s="6" t="s">
        <v>3690</v>
      </c>
      <c r="B2458" s="7" t="str">
        <f>HYPERLINK("https://shopee.co.id/Originally-Serum-Anti-Acne-i.33521171.505223488", "https://shopee.co.id/Originally-Serum-Anti-Acne-i.33521171.505223488")</f>
        <v>https://shopee.co.id/Originally-Serum-Anti-Acne-i.33521171.505223488</v>
      </c>
      <c r="C2458" s="6" t="s">
        <v>3347</v>
      </c>
      <c r="D2458" s="6" t="s">
        <v>3348</v>
      </c>
      <c r="E2458" s="6" t="s">
        <v>12</v>
      </c>
      <c r="F2458" s="6" t="s">
        <v>13</v>
      </c>
      <c r="G2458" s="6" t="s">
        <v>1048</v>
      </c>
      <c r="H2458" s="8" t="s">
        <v>3612</v>
      </c>
      <c r="I2458" s="9">
        <v>800000.0</v>
      </c>
      <c r="J2458" s="5" t="str">
        <f t="shared" ref="J2458:K2458" si="2458">SUBSTITUTE(H2458, ",", "")</f>
        <v>1</v>
      </c>
      <c r="K2458" s="5" t="str">
        <f t="shared" si="2458"/>
        <v>Rp800000</v>
      </c>
      <c r="L2458" s="5" t="str">
        <f t="shared" si="3"/>
        <v>800000</v>
      </c>
    </row>
    <row r="2459">
      <c r="A2459" s="6" t="s">
        <v>3691</v>
      </c>
      <c r="B2459" s="7" t="str">
        <f>HYPERLINK("https://shopee.co.id/HERSALL-2pcs-Moon-Fairy-Serum-i.329847628.10627213252", "https://shopee.co.id/HERSALL-2pcs-Moon-Fairy-Serum-i.329847628.10627213252")</f>
        <v>https://shopee.co.id/HERSALL-2pcs-Moon-Fairy-Serum-i.329847628.10627213252</v>
      </c>
      <c r="C2459" s="6" t="s">
        <v>2000</v>
      </c>
      <c r="D2459" s="6" t="s">
        <v>2001</v>
      </c>
      <c r="E2459" s="6" t="s">
        <v>12</v>
      </c>
      <c r="F2459" s="6" t="s">
        <v>13</v>
      </c>
      <c r="G2459" s="6" t="s">
        <v>61</v>
      </c>
      <c r="H2459" s="8" t="s">
        <v>3612</v>
      </c>
      <c r="I2459" s="9">
        <v>155000.0</v>
      </c>
      <c r="J2459" s="5" t="str">
        <f t="shared" ref="J2459:K2459" si="2459">SUBSTITUTE(H2459, ",", "")</f>
        <v>1</v>
      </c>
      <c r="K2459" s="5" t="str">
        <f t="shared" si="2459"/>
        <v>Rp155000</v>
      </c>
      <c r="L2459" s="5" t="str">
        <f t="shared" si="3"/>
        <v>155000</v>
      </c>
    </row>
    <row r="2460">
      <c r="A2460" s="6" t="s">
        <v>3692</v>
      </c>
      <c r="B2460" s="7" t="str">
        <f>HYPERLINK("https://shopee.co.id/Tuesbelle-BELLFLOWER-Idebenone-Brightening-Serum-50ml-i.36872574.5878173582", "https://shopee.co.id/Tuesbelle-BELLFLOWER-Idebenone-Brightening-Serum-50ml-i.36872574.5878173582")</f>
        <v>https://shopee.co.id/Tuesbelle-BELLFLOWER-Idebenone-Brightening-Serum-50ml-i.36872574.5878173582</v>
      </c>
      <c r="C2460" s="6" t="s">
        <v>3693</v>
      </c>
      <c r="D2460" s="6" t="s">
        <v>969</v>
      </c>
      <c r="E2460" s="6" t="s">
        <v>12</v>
      </c>
      <c r="F2460" s="6" t="s">
        <v>13</v>
      </c>
      <c r="G2460" s="6" t="s">
        <v>115</v>
      </c>
      <c r="H2460" s="8" t="s">
        <v>3612</v>
      </c>
      <c r="I2460" s="9">
        <v>514710.0</v>
      </c>
      <c r="J2460" s="5" t="str">
        <f t="shared" ref="J2460:K2460" si="2460">SUBSTITUTE(H2460, ",", "")</f>
        <v>1</v>
      </c>
      <c r="K2460" s="5" t="str">
        <f t="shared" si="2460"/>
        <v>Rp514710</v>
      </c>
      <c r="L2460" s="5" t="str">
        <f t="shared" si="3"/>
        <v>514710</v>
      </c>
    </row>
    <row r="2461">
      <c r="A2461" s="6" t="s">
        <v>3694</v>
      </c>
      <c r="B2461" s="7" t="str">
        <f>HYPERLINK("https://shopee.co.id/Ponds-Age-Miracle-Serum-30ml-Miracle-Serum-Ponds-miracle-i.114789399.2646940577", "https://shopee.co.id/Ponds-Age-Miracle-Serum-30ml-Miracle-Serum-Ponds-miracle-i.114789399.2646940577")</f>
        <v>https://shopee.co.id/Ponds-Age-Miracle-Serum-30ml-Miracle-Serum-Ponds-miracle-i.114789399.2646940577</v>
      </c>
      <c r="C2461" s="6" t="s">
        <v>325</v>
      </c>
      <c r="D2461" s="6" t="s">
        <v>2531</v>
      </c>
      <c r="E2461" s="6" t="s">
        <v>12</v>
      </c>
      <c r="F2461" s="6" t="s">
        <v>13</v>
      </c>
      <c r="G2461" s="6" t="s">
        <v>36</v>
      </c>
      <c r="H2461" s="8" t="s">
        <v>3612</v>
      </c>
      <c r="I2461" s="9">
        <v>381600.0</v>
      </c>
      <c r="J2461" s="5" t="str">
        <f t="shared" ref="J2461:K2461" si="2461">SUBSTITUTE(H2461, ",", "")</f>
        <v>1</v>
      </c>
      <c r="K2461" s="5" t="str">
        <f t="shared" si="2461"/>
        <v>Rp381600</v>
      </c>
      <c r="L2461" s="5" t="str">
        <f t="shared" si="3"/>
        <v>381600</v>
      </c>
    </row>
    <row r="2462">
      <c r="A2462" s="6" t="s">
        <v>3695</v>
      </c>
      <c r="B2462" s="7" t="str">
        <f>HYPERLINK("https://shopee.co.id/Nu-Aroma-Virgin-Coconut-Oil-Natural-Serum-Wajah-Serum-Kulit-Rambut--i.262175945.3958983615", "https://shopee.co.id/Nu-Aroma-Virgin-Coconut-Oil-Natural-Serum-Wajah-Serum-Kulit-Rambut--i.262175945.3958983615")</f>
        <v>https://shopee.co.id/Nu-Aroma-Virgin-Coconut-Oil-Natural-Serum-Wajah-Serum-Kulit-Rambut--i.262175945.3958983615</v>
      </c>
      <c r="C2462" s="6" t="s">
        <v>2863</v>
      </c>
      <c r="D2462" s="6" t="s">
        <v>2864</v>
      </c>
      <c r="E2462" s="6" t="s">
        <v>12</v>
      </c>
      <c r="F2462" s="6" t="s">
        <v>13</v>
      </c>
      <c r="G2462" s="6" t="s">
        <v>945</v>
      </c>
      <c r="H2462" s="8" t="s">
        <v>3612</v>
      </c>
      <c r="I2462" s="9">
        <v>46550.0</v>
      </c>
      <c r="J2462" s="5" t="str">
        <f t="shared" ref="J2462:K2462" si="2462">SUBSTITUTE(H2462, ",", "")</f>
        <v>1</v>
      </c>
      <c r="K2462" s="5" t="str">
        <f t="shared" si="2462"/>
        <v>Rp46550</v>
      </c>
      <c r="L2462" s="5" t="str">
        <f t="shared" si="3"/>
        <v>46550</v>
      </c>
    </row>
    <row r="2463">
      <c r="A2463" s="6" t="s">
        <v>3696</v>
      </c>
      <c r="B2463" s="7" t="str">
        <f>HYPERLINK("https://shopee.co.id/J-GLOW-Spot-Serum-15-ml-i.165212611.5197851354", "https://shopee.co.id/J-GLOW-Spot-Serum-15-ml-i.165212611.5197851354")</f>
        <v>https://shopee.co.id/J-GLOW-Spot-Serum-15-ml-i.165212611.5197851354</v>
      </c>
      <c r="C2463" s="6" t="s">
        <v>1553</v>
      </c>
      <c r="D2463" s="6" t="s">
        <v>1554</v>
      </c>
      <c r="E2463" s="6" t="s">
        <v>12</v>
      </c>
      <c r="F2463" s="6" t="s">
        <v>13</v>
      </c>
      <c r="G2463" s="6" t="s">
        <v>241</v>
      </c>
      <c r="H2463" s="8" t="s">
        <v>3612</v>
      </c>
      <c r="I2463" s="9">
        <v>46550.0</v>
      </c>
      <c r="J2463" s="5" t="str">
        <f t="shared" ref="J2463:K2463" si="2463">SUBSTITUTE(H2463, ",", "")</f>
        <v>1</v>
      </c>
      <c r="K2463" s="5" t="str">
        <f t="shared" si="2463"/>
        <v>Rp46550</v>
      </c>
      <c r="L2463" s="5" t="str">
        <f t="shared" si="3"/>
        <v>46550</v>
      </c>
    </row>
    <row r="2464">
      <c r="A2464" s="6" t="s">
        <v>3697</v>
      </c>
      <c r="B2464" s="7" t="str">
        <f>HYPERLINK("https://shopee.co.id/NPURE-Face-Serum-Marigold-Series-Anti-Aging-Series--i.270965687.6470596972", "https://shopee.co.id/NPURE-Face-Serum-Marigold-Series-Anti-Aging-Series--i.270965687.6470596972")</f>
        <v>https://shopee.co.id/NPURE-Face-Serum-Marigold-Series-Anti-Aging-Series--i.270965687.6470596972</v>
      </c>
      <c r="C2464" s="6" t="s">
        <v>266</v>
      </c>
      <c r="D2464" s="6" t="s">
        <v>379</v>
      </c>
      <c r="E2464" s="6" t="s">
        <v>12</v>
      </c>
      <c r="F2464" s="6" t="s">
        <v>13</v>
      </c>
      <c r="G2464" s="6" t="s">
        <v>380</v>
      </c>
      <c r="H2464" s="8" t="s">
        <v>3612</v>
      </c>
      <c r="I2464" s="9">
        <v>39900.0</v>
      </c>
      <c r="J2464" s="5" t="str">
        <f t="shared" ref="J2464:K2464" si="2464">SUBSTITUTE(H2464, ",", "")</f>
        <v>1</v>
      </c>
      <c r="K2464" s="5" t="str">
        <f t="shared" si="2464"/>
        <v>Rp39900</v>
      </c>
      <c r="L2464" s="5" t="str">
        <f t="shared" si="3"/>
        <v>39900</v>
      </c>
    </row>
    <row r="2465">
      <c r="A2465" s="6" t="s">
        <v>3698</v>
      </c>
      <c r="B2465" s="7" t="str">
        <f>HYPERLINK("https://shopee.co.id/Beautybarme-Cosrx-Hyaluronic-Acid-Hydra-Power-Essence-100-Ml-i.28781862.3974754126", "https://shopee.co.id/Beautybarme-Cosrx-Hyaluronic-Acid-Hydra-Power-Essence-100-Ml-i.28781862.3974754126")</f>
        <v>https://shopee.co.id/Beautybarme-Cosrx-Hyaluronic-Acid-Hydra-Power-Essence-100-Ml-i.28781862.3974754126</v>
      </c>
      <c r="C2465" s="6" t="s">
        <v>305</v>
      </c>
      <c r="D2465" s="6" t="s">
        <v>1189</v>
      </c>
      <c r="E2465" s="6" t="s">
        <v>12</v>
      </c>
      <c r="F2465" s="6" t="s">
        <v>13</v>
      </c>
      <c r="G2465" s="6" t="s">
        <v>1190</v>
      </c>
      <c r="H2465" s="8" t="s">
        <v>3612</v>
      </c>
      <c r="I2465" s="9">
        <v>103200.0</v>
      </c>
      <c r="J2465" s="5" t="str">
        <f t="shared" ref="J2465:K2465" si="2465">SUBSTITUTE(H2465, ",", "")</f>
        <v>1</v>
      </c>
      <c r="K2465" s="5" t="str">
        <f t="shared" si="2465"/>
        <v>Rp103200</v>
      </c>
      <c r="L2465" s="5" t="str">
        <f t="shared" si="3"/>
        <v>103200</v>
      </c>
    </row>
    <row r="2466">
      <c r="A2466" s="6" t="s">
        <v>3699</v>
      </c>
      <c r="B2466" s="7" t="str">
        <f>HYPERLINK("https://shopee.co.id/Bundle-Neogen-Dermalogy-Gauze-Peeling-Pad-GreenTea-Sachet-3pcs-x-Skinmee-Dualmee-Series-Universal-i.61523009.10931967962", "https://shopee.co.id/Bundle-Neogen-Dermalogy-Gauze-Peeling-Pad-GreenTea-Sachet-3pcs-x-Skinmee-Dualmee-Series-Universal-i.61523009.10931967962")</f>
        <v>https://shopee.co.id/Bundle-Neogen-Dermalogy-Gauze-Peeling-Pad-GreenTea-Sachet-3pcs-x-Skinmee-Dualmee-Series-Universal-i.61523009.10931967962</v>
      </c>
      <c r="C2466" s="6" t="s">
        <v>1141</v>
      </c>
      <c r="D2466" s="6" t="s">
        <v>2094</v>
      </c>
      <c r="E2466" s="6" t="s">
        <v>12</v>
      </c>
      <c r="F2466" s="6" t="s">
        <v>13</v>
      </c>
      <c r="G2466" s="6" t="s">
        <v>98</v>
      </c>
      <c r="H2466" s="8" t="s">
        <v>3612</v>
      </c>
      <c r="I2466" s="9">
        <v>101250.0</v>
      </c>
      <c r="J2466" s="5" t="str">
        <f t="shared" ref="J2466:K2466" si="2466">SUBSTITUTE(H2466, ",", "")</f>
        <v>1</v>
      </c>
      <c r="K2466" s="5" t="str">
        <f t="shared" si="2466"/>
        <v>Rp101250</v>
      </c>
      <c r="L2466" s="5" t="str">
        <f t="shared" si="3"/>
        <v>101250</v>
      </c>
    </row>
    <row r="2467">
      <c r="A2467" s="6" t="s">
        <v>3700</v>
      </c>
      <c r="B2467" s="7" t="str">
        <f>HYPERLINK("https://shopee.co.id/SYB-Forte-Serum-Soothing-Aloe-Vera-i.150222332.2721513695", "https://shopee.co.id/SYB-Forte-Serum-Soothing-Aloe-Vera-i.150222332.2721513695")</f>
        <v>https://shopee.co.id/SYB-Forte-Serum-Soothing-Aloe-Vera-i.150222332.2721513695</v>
      </c>
      <c r="C2467" s="6" t="s">
        <v>3701</v>
      </c>
      <c r="D2467" s="6" t="s">
        <v>1737</v>
      </c>
      <c r="E2467" s="6" t="s">
        <v>12</v>
      </c>
      <c r="F2467" s="6" t="s">
        <v>13</v>
      </c>
      <c r="G2467" s="6" t="s">
        <v>350</v>
      </c>
      <c r="H2467" s="8" t="s">
        <v>3612</v>
      </c>
      <c r="I2467" s="9">
        <v>179000.0</v>
      </c>
      <c r="J2467" s="5" t="str">
        <f t="shared" ref="J2467:K2467" si="2467">SUBSTITUTE(H2467, ",", "")</f>
        <v>1</v>
      </c>
      <c r="K2467" s="5" t="str">
        <f t="shared" si="2467"/>
        <v>Rp179000</v>
      </c>
      <c r="L2467" s="5" t="str">
        <f t="shared" si="3"/>
        <v>179000</v>
      </c>
    </row>
    <row r="2468">
      <c r="A2468" s="6" t="s">
        <v>3702</v>
      </c>
      <c r="B2468" s="7" t="str">
        <f>HYPERLINK("https://shopee.co.id/Noola-Breezy-Willow-Moist-Serum-30ml-i.136011044.9186228006", "https://shopee.co.id/Noola-Breezy-Willow-Moist-Serum-30ml-i.136011044.9186228006")</f>
        <v>https://shopee.co.id/Noola-Breezy-Willow-Moist-Serum-30ml-i.136011044.9186228006</v>
      </c>
      <c r="C2468" s="6" t="s">
        <v>2794</v>
      </c>
      <c r="D2468" s="6" t="s">
        <v>632</v>
      </c>
      <c r="E2468" s="6" t="s">
        <v>12</v>
      </c>
      <c r="F2468" s="6" t="s">
        <v>13</v>
      </c>
      <c r="G2468" s="6" t="s">
        <v>21</v>
      </c>
      <c r="H2468" s="8" t="s">
        <v>3612</v>
      </c>
      <c r="I2468" s="9">
        <v>189400.0</v>
      </c>
      <c r="J2468" s="5" t="str">
        <f t="shared" ref="J2468:K2468" si="2468">SUBSTITUTE(H2468, ",", "")</f>
        <v>1</v>
      </c>
      <c r="K2468" s="5" t="str">
        <f t="shared" si="2468"/>
        <v>Rp189400</v>
      </c>
      <c r="L2468" s="5" t="str">
        <f t="shared" si="3"/>
        <v>189400</v>
      </c>
    </row>
    <row r="2469">
      <c r="A2469" s="6" t="s">
        <v>3703</v>
      </c>
      <c r="B2469" s="7" t="str">
        <f>HYPERLINK("https://shopee.co.id/Haple-Centella-Cloud-Glow-Booster-30ml-i.825870.2797887293", "https://shopee.co.id/Haple-Centella-Cloud-Glow-Booster-30ml-i.825870.2797887293")</f>
        <v>https://shopee.co.id/Haple-Centella-Cloud-Glow-Booster-30ml-i.825870.2797887293</v>
      </c>
      <c r="C2469" s="6" t="s">
        <v>1415</v>
      </c>
      <c r="D2469" s="6" t="s">
        <v>1184</v>
      </c>
      <c r="E2469" s="6" t="s">
        <v>12</v>
      </c>
      <c r="F2469" s="6" t="s">
        <v>13</v>
      </c>
      <c r="G2469" s="6" t="s">
        <v>21</v>
      </c>
      <c r="H2469" s="8" t="s">
        <v>3612</v>
      </c>
      <c r="I2469" s="9">
        <v>47500.0</v>
      </c>
      <c r="J2469" s="5" t="str">
        <f t="shared" ref="J2469:K2469" si="2469">SUBSTITUTE(H2469, ",", "")</f>
        <v>1</v>
      </c>
      <c r="K2469" s="5" t="str">
        <f t="shared" si="2469"/>
        <v>Rp47500</v>
      </c>
      <c r="L2469" s="5" t="str">
        <f t="shared" si="3"/>
        <v>47500</v>
      </c>
    </row>
    <row r="2470">
      <c r="A2470" s="6" t="s">
        <v>3704</v>
      </c>
      <c r="B2470" s="7" t="str">
        <f>HYPERLINK("https://shopee.co.id/Claresta-Lightening-Anti-Aging-Serum-Skin-Lightener-20ml-i.369944111.4175416440", "https://shopee.co.id/Claresta-Lightening-Anti-Aging-Serum-Skin-Lightener-20ml-i.369944111.4175416440")</f>
        <v>https://shopee.co.id/Claresta-Lightening-Anti-Aging-Serum-Skin-Lightener-20ml-i.369944111.4175416440</v>
      </c>
      <c r="C2470" s="6" t="s">
        <v>3705</v>
      </c>
      <c r="D2470" s="6" t="s">
        <v>3706</v>
      </c>
      <c r="E2470" s="6" t="s">
        <v>12</v>
      </c>
      <c r="F2470" s="6" t="s">
        <v>13</v>
      </c>
      <c r="G2470" s="6" t="s">
        <v>296</v>
      </c>
      <c r="H2470" s="8" t="s">
        <v>3612</v>
      </c>
      <c r="I2470" s="9">
        <v>70500.0</v>
      </c>
      <c r="J2470" s="5" t="str">
        <f t="shared" ref="J2470:K2470" si="2470">SUBSTITUTE(H2470, ",", "")</f>
        <v>1</v>
      </c>
      <c r="K2470" s="5" t="str">
        <f t="shared" si="2470"/>
        <v>Rp70500</v>
      </c>
      <c r="L2470" s="5" t="str">
        <f t="shared" si="3"/>
        <v>70500</v>
      </c>
    </row>
    <row r="2471">
      <c r="A2471" s="6" t="s">
        <v>2435</v>
      </c>
      <c r="B2471" s="7" t="str">
        <f>HYPERLINK("https://shopee.co.id/Azarine-Aqua-Essence-Sun-Shield-Serum-SPF-50-PA-100ml-i.65323877.13402816277", "https://shopee.co.id/Azarine-Aqua-Essence-Sun-Shield-Serum-SPF-50-PA-100ml-i.65323877.13402816277")</f>
        <v>https://shopee.co.id/Azarine-Aqua-Essence-Sun-Shield-Serum-SPF-50-PA-100ml-i.65323877.13402816277</v>
      </c>
      <c r="C2471" s="6" t="s">
        <v>233</v>
      </c>
      <c r="D2471" s="6" t="s">
        <v>1600</v>
      </c>
      <c r="E2471" s="6" t="s">
        <v>12</v>
      </c>
      <c r="F2471" s="6" t="s">
        <v>13</v>
      </c>
      <c r="G2471" s="6" t="s">
        <v>296</v>
      </c>
      <c r="H2471" s="8" t="s">
        <v>3612</v>
      </c>
      <c r="I2471" s="9">
        <v>312000.0</v>
      </c>
      <c r="J2471" s="5" t="str">
        <f t="shared" ref="J2471:K2471" si="2471">SUBSTITUTE(H2471, ",", "")</f>
        <v>1</v>
      </c>
      <c r="K2471" s="5" t="str">
        <f t="shared" si="2471"/>
        <v>Rp312000</v>
      </c>
      <c r="L2471" s="5" t="str">
        <f t="shared" si="3"/>
        <v>312000</v>
      </c>
    </row>
    <row r="2472">
      <c r="A2472" s="6" t="s">
        <v>3707</v>
      </c>
      <c r="B2472" s="7" t="str">
        <f>HYPERLINK("https://shopee.co.id/Nu-Aroma-Olive-Oil-Natural-Serum-Wajah-Serum-Kulit-Serum-Rambut--i.262175945.6957194233", "https://shopee.co.id/Nu-Aroma-Olive-Oil-Natural-Serum-Wajah-Serum-Kulit-Serum-Rambut--i.262175945.6957194233")</f>
        <v>https://shopee.co.id/Nu-Aroma-Olive-Oil-Natural-Serum-Wajah-Serum-Kulit-Serum-Rambut--i.262175945.6957194233</v>
      </c>
      <c r="C2472" s="6" t="s">
        <v>2863</v>
      </c>
      <c r="D2472" s="6" t="s">
        <v>2864</v>
      </c>
      <c r="E2472" s="6" t="s">
        <v>12</v>
      </c>
      <c r="F2472" s="6" t="s">
        <v>13</v>
      </c>
      <c r="G2472" s="6" t="s">
        <v>945</v>
      </c>
      <c r="H2472" s="8" t="s">
        <v>3612</v>
      </c>
      <c r="I2472" s="9">
        <v>369000.0</v>
      </c>
      <c r="J2472" s="5" t="str">
        <f t="shared" ref="J2472:K2472" si="2472">SUBSTITUTE(H2472, ",", "")</f>
        <v>1</v>
      </c>
      <c r="K2472" s="5" t="str">
        <f t="shared" si="2472"/>
        <v>Rp369000</v>
      </c>
      <c r="L2472" s="5" t="str">
        <f t="shared" si="3"/>
        <v>369000</v>
      </c>
    </row>
    <row r="2473">
      <c r="A2473" s="6" t="s">
        <v>3708</v>
      </c>
      <c r="B2473" s="7" t="str">
        <f>HYPERLINK("https://shopee.co.id/Daffania-Skincare-Serum-Brightening-20-Ml-i.378849141.4878313838", "https://shopee.co.id/Daffania-Skincare-Serum-Brightening-20-Ml-i.378849141.4878313838")</f>
        <v>https://shopee.co.id/Daffania-Skincare-Serum-Brightening-20-Ml-i.378849141.4878313838</v>
      </c>
      <c r="C2473" s="6" t="s">
        <v>2745</v>
      </c>
      <c r="D2473" s="6" t="s">
        <v>2746</v>
      </c>
      <c r="E2473" s="6" t="s">
        <v>12</v>
      </c>
      <c r="F2473" s="6" t="s">
        <v>13</v>
      </c>
      <c r="G2473" s="6" t="s">
        <v>80</v>
      </c>
      <c r="H2473" s="8" t="s">
        <v>3612</v>
      </c>
      <c r="I2473" s="9">
        <v>846600.0</v>
      </c>
      <c r="J2473" s="5" t="str">
        <f t="shared" ref="J2473:K2473" si="2473">SUBSTITUTE(H2473, ",", "")</f>
        <v>1</v>
      </c>
      <c r="K2473" s="5" t="str">
        <f t="shared" si="2473"/>
        <v>Rp846600</v>
      </c>
      <c r="L2473" s="5" t="str">
        <f t="shared" si="3"/>
        <v>846600</v>
      </c>
    </row>
    <row r="2474">
      <c r="A2474" s="6" t="s">
        <v>3709</v>
      </c>
      <c r="B2474" s="7" t="str">
        <f>HYPERLINK("https://shopee.co.id/Beautybarme-Ms-Glow-whitening-Gold-Serum-bright-and-healthy-skin-i.28781862.10851762681", "https://shopee.co.id/Beautybarme-Ms-Glow-whitening-Gold-Serum-bright-and-healthy-skin-i.28781862.10851762681")</f>
        <v>https://shopee.co.id/Beautybarme-Ms-Glow-whitening-Gold-Serum-bright-and-healthy-skin-i.28781862.10851762681</v>
      </c>
      <c r="C2474" s="6" t="s">
        <v>96</v>
      </c>
      <c r="D2474" s="6" t="s">
        <v>1189</v>
      </c>
      <c r="E2474" s="6" t="s">
        <v>12</v>
      </c>
      <c r="F2474" s="6" t="s">
        <v>13</v>
      </c>
      <c r="G2474" s="6" t="s">
        <v>1190</v>
      </c>
      <c r="H2474" s="8" t="s">
        <v>3612</v>
      </c>
      <c r="I2474" s="9">
        <v>576300.0</v>
      </c>
      <c r="J2474" s="5" t="str">
        <f t="shared" ref="J2474:K2474" si="2474">SUBSTITUTE(H2474, ",", "")</f>
        <v>1</v>
      </c>
      <c r="K2474" s="5" t="str">
        <f t="shared" si="2474"/>
        <v>Rp576300</v>
      </c>
      <c r="L2474" s="5" t="str">
        <f t="shared" si="3"/>
        <v>576300</v>
      </c>
    </row>
    <row r="2475">
      <c r="A2475" s="6" t="s">
        <v>3710</v>
      </c>
      <c r="B2475" s="7" t="str">
        <f>HYPERLINK("https://shopee.co.id/VIENNA-BEAUTY-FACE-SERUM-ACNE-ELIXIR-15ML-BOTTLE-i.8463767.6733496183", "https://shopee.co.id/VIENNA-BEAUTY-FACE-SERUM-ACNE-ELIXIR-15ML-BOTTLE-i.8463767.6733496183")</f>
        <v>https://shopee.co.id/VIENNA-BEAUTY-FACE-SERUM-ACNE-ELIXIR-15ML-BOTTLE-i.8463767.6733496183</v>
      </c>
      <c r="C2475" s="6" t="s">
        <v>3453</v>
      </c>
      <c r="D2475" s="6" t="s">
        <v>3454</v>
      </c>
      <c r="E2475" s="6" t="s">
        <v>12</v>
      </c>
      <c r="F2475" s="6" t="s">
        <v>13</v>
      </c>
      <c r="G2475" s="6" t="s">
        <v>36</v>
      </c>
      <c r="H2475" s="8" t="s">
        <v>3612</v>
      </c>
      <c r="I2475" s="9">
        <v>200000.0</v>
      </c>
      <c r="J2475" s="5" t="str">
        <f t="shared" ref="J2475:K2475" si="2475">SUBSTITUTE(H2475, ",", "")</f>
        <v>1</v>
      </c>
      <c r="K2475" s="5" t="str">
        <f t="shared" si="2475"/>
        <v>Rp200000</v>
      </c>
      <c r="L2475" s="5" t="str">
        <f t="shared" si="3"/>
        <v>200000</v>
      </c>
    </row>
    <row r="2476">
      <c r="A2476" s="6" t="s">
        <v>3711</v>
      </c>
      <c r="B2476" s="7" t="str">
        <f>HYPERLINK("https://shopee.co.id/Olay-Regen-Micro-Sculpting-Serum-50Ml-i.186214521.6925662286", "https://shopee.co.id/Olay-Regen-Micro-Sculpting-Serum-50Ml-i.186214521.6925662286")</f>
        <v>https://shopee.co.id/Olay-Regen-Micro-Sculpting-Serum-50Ml-i.186214521.6925662286</v>
      </c>
      <c r="C2476" s="6" t="s">
        <v>317</v>
      </c>
      <c r="D2476" s="6" t="s">
        <v>2293</v>
      </c>
      <c r="E2476" s="6" t="s">
        <v>12</v>
      </c>
      <c r="F2476" s="6" t="s">
        <v>13</v>
      </c>
      <c r="G2476" s="6" t="s">
        <v>61</v>
      </c>
      <c r="H2476" s="8" t="s">
        <v>3612</v>
      </c>
      <c r="I2476" s="9">
        <v>218700.0</v>
      </c>
      <c r="J2476" s="5" t="str">
        <f t="shared" ref="J2476:K2476" si="2476">SUBSTITUTE(H2476, ",", "")</f>
        <v>1</v>
      </c>
      <c r="K2476" s="5" t="str">
        <f t="shared" si="2476"/>
        <v>Rp218700</v>
      </c>
      <c r="L2476" s="5" t="str">
        <f t="shared" si="3"/>
        <v>218700</v>
      </c>
    </row>
    <row r="2477">
      <c r="A2477" s="6" t="s">
        <v>3712</v>
      </c>
      <c r="B2477" s="7" t="str">
        <f>HYPERLINK("https://shopee.co.id/Daneen-Twin-Pack-3G-Ultra-Vitamin-C-Serum-10ml-i.328329669.4591378473", "https://shopee.co.id/Daneen-Twin-Pack-3G-Ultra-Vitamin-C-Serum-10ml-i.328329669.4591378473")</f>
        <v>https://shopee.co.id/Daneen-Twin-Pack-3G-Ultra-Vitamin-C-Serum-10ml-i.328329669.4591378473</v>
      </c>
      <c r="C2477" s="6" t="s">
        <v>2675</v>
      </c>
      <c r="D2477" s="6" t="s">
        <v>2676</v>
      </c>
      <c r="E2477" s="6" t="s">
        <v>12</v>
      </c>
      <c r="F2477" s="6" t="s">
        <v>13</v>
      </c>
      <c r="G2477" s="6" t="s">
        <v>36</v>
      </c>
      <c r="H2477" s="8" t="s">
        <v>3612</v>
      </c>
      <c r="I2477" s="9">
        <v>303000.0</v>
      </c>
      <c r="J2477" s="5" t="str">
        <f t="shared" ref="J2477:K2477" si="2477">SUBSTITUTE(H2477, ",", "")</f>
        <v>1</v>
      </c>
      <c r="K2477" s="5" t="str">
        <f t="shared" si="2477"/>
        <v>Rp303000</v>
      </c>
      <c r="L2477" s="5" t="str">
        <f t="shared" si="3"/>
        <v>303000</v>
      </c>
    </row>
    <row r="2478">
      <c r="A2478" s="6" t="s">
        <v>3713</v>
      </c>
      <c r="B2478" s="7" t="str">
        <f>HYPERLINK("https://shopee.co.id/Bio-Essence-Bio-White-Advance-Whitening-Cleanser-i.30736001.11200508632", "https://shopee.co.id/Bio-Essence-Bio-White-Advance-Whitening-Cleanser-i.30736001.11200508632")</f>
        <v>https://shopee.co.id/Bio-Essence-Bio-White-Advance-Whitening-Cleanser-i.30736001.11200508632</v>
      </c>
      <c r="C2478" s="6" t="s">
        <v>1254</v>
      </c>
      <c r="D2478" s="6" t="s">
        <v>335</v>
      </c>
      <c r="E2478" s="6" t="s">
        <v>12</v>
      </c>
      <c r="F2478" s="6" t="s">
        <v>13</v>
      </c>
      <c r="G2478" s="6" t="s">
        <v>36</v>
      </c>
      <c r="H2478" s="8" t="s">
        <v>3612</v>
      </c>
      <c r="I2478" s="9">
        <v>496000.0</v>
      </c>
      <c r="J2478" s="5" t="str">
        <f t="shared" ref="J2478:K2478" si="2478">SUBSTITUTE(H2478, ",", "")</f>
        <v>1</v>
      </c>
      <c r="K2478" s="5" t="str">
        <f t="shared" si="2478"/>
        <v>Rp496000</v>
      </c>
      <c r="L2478" s="5" t="str">
        <f t="shared" si="3"/>
        <v>496000</v>
      </c>
    </row>
    <row r="2479">
      <c r="A2479" s="6" t="s">
        <v>3714</v>
      </c>
      <c r="B2479" s="7" t="str">
        <f>HYPERLINK("https://shopee.co.id/Serum-Wajah-Wardah-Lightening-Serum-Ampoule-30-mL-i.18163317.5397852346", "https://shopee.co.id/Serum-Wajah-Wardah-Lightening-Serum-Ampoule-30-mL-i.18163317.5397852346")</f>
        <v>https://shopee.co.id/Serum-Wajah-Wardah-Lightening-Serum-Ampoule-30-mL-i.18163317.5397852346</v>
      </c>
      <c r="C2479" s="6" t="s">
        <v>169</v>
      </c>
      <c r="D2479" s="6" t="s">
        <v>3715</v>
      </c>
      <c r="E2479" s="6" t="s">
        <v>12</v>
      </c>
      <c r="F2479" s="6" t="s">
        <v>13</v>
      </c>
      <c r="G2479" s="6" t="s">
        <v>98</v>
      </c>
      <c r="H2479" s="8" t="s">
        <v>3612</v>
      </c>
      <c r="I2479" s="9">
        <v>173600.0</v>
      </c>
      <c r="J2479" s="5" t="str">
        <f t="shared" ref="J2479:K2479" si="2479">SUBSTITUTE(H2479, ",", "")</f>
        <v>1</v>
      </c>
      <c r="K2479" s="5" t="str">
        <f t="shared" si="2479"/>
        <v>Rp173600</v>
      </c>
      <c r="L2479" s="5" t="str">
        <f t="shared" si="3"/>
        <v>173600</v>
      </c>
    </row>
    <row r="2480">
      <c r="A2480" s="6" t="s">
        <v>3716</v>
      </c>
      <c r="B2480" s="7" t="str">
        <f>HYPERLINK("https://shopee.co.id/MSBB-Elsheskin-Smoothing-Serum-For-Acne-Skin-i.288588702.6767974189", "https://shopee.co.id/MSBB-Elsheskin-Smoothing-Serum-For-Acne-Skin-i.288588702.6767974189")</f>
        <v>https://shopee.co.id/MSBB-Elsheskin-Smoothing-Serum-For-Acne-Skin-i.288588702.6767974189</v>
      </c>
      <c r="C2480" s="6" t="s">
        <v>135</v>
      </c>
      <c r="D2480" s="6" t="s">
        <v>79</v>
      </c>
      <c r="E2480" s="6" t="s">
        <v>12</v>
      </c>
      <c r="F2480" s="6" t="s">
        <v>13</v>
      </c>
      <c r="G2480" s="6" t="s">
        <v>80</v>
      </c>
      <c r="H2480" s="8" t="s">
        <v>3612</v>
      </c>
      <c r="I2480" s="9">
        <v>99000.0</v>
      </c>
      <c r="J2480" s="5" t="str">
        <f t="shared" ref="J2480:K2480" si="2480">SUBSTITUTE(H2480, ",", "")</f>
        <v>1</v>
      </c>
      <c r="K2480" s="5" t="str">
        <f t="shared" si="2480"/>
        <v>Rp99000</v>
      </c>
      <c r="L2480" s="5" t="str">
        <f t="shared" si="3"/>
        <v>99000</v>
      </c>
    </row>
    <row r="2481">
      <c r="A2481" s="6" t="s">
        <v>3717</v>
      </c>
      <c r="B2481" s="7" t="str">
        <f>HYPERLINK("https://shopee.co.id/Natur-E-Advance-Serum-15-ml-i.186214521.5863034812", "https://shopee.co.id/Natur-E-Advance-Serum-15-ml-i.186214521.5863034812")</f>
        <v>https://shopee.co.id/Natur-E-Advance-Serum-15-ml-i.186214521.5863034812</v>
      </c>
      <c r="C2481" s="6" t="s">
        <v>849</v>
      </c>
      <c r="D2481" s="6" t="s">
        <v>2293</v>
      </c>
      <c r="E2481" s="6" t="s">
        <v>12</v>
      </c>
      <c r="F2481" s="6" t="s">
        <v>13</v>
      </c>
      <c r="G2481" s="6" t="s">
        <v>61</v>
      </c>
      <c r="H2481" s="8" t="s">
        <v>3612</v>
      </c>
      <c r="I2481" s="9">
        <v>79000.0</v>
      </c>
      <c r="J2481" s="5" t="str">
        <f t="shared" ref="J2481:K2481" si="2481">SUBSTITUTE(H2481, ",", "")</f>
        <v>1</v>
      </c>
      <c r="K2481" s="5" t="str">
        <f t="shared" si="2481"/>
        <v>Rp79000</v>
      </c>
      <c r="L2481" s="5" t="str">
        <f t="shared" si="3"/>
        <v>79000</v>
      </c>
    </row>
    <row r="2482">
      <c r="A2482" s="6" t="s">
        <v>3718</v>
      </c>
      <c r="B2482" s="7" t="str">
        <f>HYPERLINK("https://shopee.co.id/Raiku-Hydrating-Glow-Serum-30ml-i.825870.6277618872", "https://shopee.co.id/Raiku-Hydrating-Glow-Serum-30ml-i.825870.6277618872")</f>
        <v>https://shopee.co.id/Raiku-Hydrating-Glow-Serum-30ml-i.825870.6277618872</v>
      </c>
      <c r="C2482" s="6" t="s">
        <v>2281</v>
      </c>
      <c r="D2482" s="6" t="s">
        <v>1184</v>
      </c>
      <c r="E2482" s="6" t="s">
        <v>12</v>
      </c>
      <c r="F2482" s="6" t="s">
        <v>13</v>
      </c>
      <c r="G2482" s="6" t="s">
        <v>21</v>
      </c>
      <c r="H2482" s="8" t="s">
        <v>3612</v>
      </c>
      <c r="I2482" s="9">
        <v>244800.0</v>
      </c>
      <c r="J2482" s="5" t="str">
        <f t="shared" ref="J2482:K2482" si="2482">SUBSTITUTE(H2482, ",", "")</f>
        <v>1</v>
      </c>
      <c r="K2482" s="5" t="str">
        <f t="shared" si="2482"/>
        <v>Rp244800</v>
      </c>
      <c r="L2482" s="5" t="str">
        <f t="shared" si="3"/>
        <v>244800</v>
      </c>
    </row>
    <row r="2483">
      <c r="A2483" s="6" t="s">
        <v>3719</v>
      </c>
      <c r="B2483" s="7" t="str">
        <f>HYPERLINK("https://shopee.co.id/AZARINE-Refreshing-Essence-Mist-x-Rachel-Goddard-i.68111.4369899246", "https://shopee.co.id/AZARINE-Refreshing-Essence-Mist-x-Rachel-Goddard-i.68111.4369899246")</f>
        <v>https://shopee.co.id/AZARINE-Refreshing-Essence-Mist-x-Rachel-Goddard-i.68111.4369899246</v>
      </c>
      <c r="C2483" s="6" t="s">
        <v>233</v>
      </c>
      <c r="D2483" s="6" t="s">
        <v>441</v>
      </c>
      <c r="E2483" s="6" t="s">
        <v>12</v>
      </c>
      <c r="F2483" s="6" t="s">
        <v>13</v>
      </c>
      <c r="G2483" s="6" t="s">
        <v>130</v>
      </c>
      <c r="H2483" s="8" t="s">
        <v>3612</v>
      </c>
      <c r="I2483" s="9">
        <v>109000.0</v>
      </c>
      <c r="J2483" s="5" t="str">
        <f t="shared" ref="J2483:K2483" si="2483">SUBSTITUTE(H2483, ",", "")</f>
        <v>1</v>
      </c>
      <c r="K2483" s="5" t="str">
        <f t="shared" si="2483"/>
        <v>Rp109000</v>
      </c>
      <c r="L2483" s="5" t="str">
        <f t="shared" si="3"/>
        <v>109000</v>
      </c>
    </row>
    <row r="2484">
      <c r="A2484" s="6" t="s">
        <v>3720</v>
      </c>
      <c r="B2484" s="7" t="str">
        <f>HYPERLINK("https://shopee.co.id/Hanasui-Serum-Whitening-Gold-20ml-417911--i.16735262.6865257482", "https://shopee.co.id/Hanasui-Serum-Whitening-Gold-20ml-417911--i.16735262.6865257482")</f>
        <v>https://shopee.co.id/Hanasui-Serum-Whitening-Gold-20ml-417911--i.16735262.6865257482</v>
      </c>
      <c r="C2484" s="6" t="s">
        <v>784</v>
      </c>
      <c r="D2484" s="6" t="s">
        <v>3598</v>
      </c>
      <c r="E2484" s="6" t="s">
        <v>12</v>
      </c>
      <c r="F2484" s="6" t="s">
        <v>13</v>
      </c>
      <c r="G2484" s="6" t="s">
        <v>36</v>
      </c>
      <c r="H2484" s="8" t="s">
        <v>3612</v>
      </c>
      <c r="I2484" s="9">
        <v>126650.0</v>
      </c>
      <c r="J2484" s="5" t="str">
        <f t="shared" ref="J2484:K2484" si="2484">SUBSTITUTE(H2484, ",", "")</f>
        <v>1</v>
      </c>
      <c r="K2484" s="5" t="str">
        <f t="shared" si="2484"/>
        <v>Rp126650</v>
      </c>
      <c r="L2484" s="5" t="str">
        <f t="shared" si="3"/>
        <v>126650</v>
      </c>
    </row>
    <row r="2485">
      <c r="A2485" s="6" t="s">
        <v>3721</v>
      </c>
      <c r="B2485" s="7" t="str">
        <f>HYPERLINK("https://shopee.co.id/LT-Pro-Intensive-Care-Serum-18gr-i.187117294.8449824344", "https://shopee.co.id/LT-Pro-Intensive-Care-Serum-18gr-i.187117294.8449824344")</f>
        <v>https://shopee.co.id/LT-Pro-Intensive-Care-Serum-18gr-i.187117294.8449824344</v>
      </c>
      <c r="C2485" s="6" t="s">
        <v>2413</v>
      </c>
      <c r="D2485" s="6" t="s">
        <v>2366</v>
      </c>
      <c r="E2485" s="6" t="s">
        <v>12</v>
      </c>
      <c r="F2485" s="6" t="s">
        <v>13</v>
      </c>
      <c r="G2485" s="6" t="s">
        <v>469</v>
      </c>
      <c r="H2485" s="8" t="s">
        <v>3612</v>
      </c>
      <c r="I2485" s="9">
        <v>140000.0</v>
      </c>
      <c r="J2485" s="5" t="str">
        <f t="shared" ref="J2485:K2485" si="2485">SUBSTITUTE(H2485, ",", "")</f>
        <v>1</v>
      </c>
      <c r="K2485" s="5" t="str">
        <f t="shared" si="2485"/>
        <v>Rp140000</v>
      </c>
      <c r="L2485" s="5" t="str">
        <f t="shared" si="3"/>
        <v>140000</v>
      </c>
    </row>
    <row r="2486">
      <c r="A2486" s="6" t="s">
        <v>3722</v>
      </c>
      <c r="B2486" s="7" t="str">
        <f>HYPERLINK("https://shopee.co.id/Nadfaskin-Vitamin-C-Serum-20ml-i.10689.2954374046", "https://shopee.co.id/Nadfaskin-Vitamin-C-Serum-20ml-i.10689.2954374046")</f>
        <v>https://shopee.co.id/Nadfaskin-Vitamin-C-Serum-20ml-i.10689.2954374046</v>
      </c>
      <c r="C2486" s="6" t="s">
        <v>1157</v>
      </c>
      <c r="D2486" s="6" t="s">
        <v>745</v>
      </c>
      <c r="E2486" s="6" t="s">
        <v>12</v>
      </c>
      <c r="F2486" s="6" t="s">
        <v>13</v>
      </c>
      <c r="G2486" s="6" t="s">
        <v>61</v>
      </c>
      <c r="H2486" s="8" t="s">
        <v>3612</v>
      </c>
      <c r="I2486" s="9">
        <v>99000.0</v>
      </c>
      <c r="J2486" s="5" t="str">
        <f t="shared" ref="J2486:K2486" si="2486">SUBSTITUTE(H2486, ",", "")</f>
        <v>1</v>
      </c>
      <c r="K2486" s="5" t="str">
        <f t="shared" si="2486"/>
        <v>Rp99000</v>
      </c>
      <c r="L2486" s="5" t="str">
        <f t="shared" si="3"/>
        <v>99000</v>
      </c>
    </row>
    <row r="2487">
      <c r="A2487" s="6" t="s">
        <v>3723</v>
      </c>
      <c r="B2487" s="7" t="str">
        <f>HYPERLINK("https://shopee.co.id/Sarae-Hydra-Glow-Micellar-Water-Glowing-Essence-with-CICA-i.20723335.8683479691", "https://shopee.co.id/Sarae-Hydra-Glow-Micellar-Water-Glowing-Essence-with-CICA-i.20723335.8683479691")</f>
        <v>https://shopee.co.id/Sarae-Hydra-Glow-Micellar-Water-Glowing-Essence-with-CICA-i.20723335.8683479691</v>
      </c>
      <c r="C2487" s="6" t="s">
        <v>1814</v>
      </c>
      <c r="D2487" s="6" t="s">
        <v>2043</v>
      </c>
      <c r="E2487" s="6" t="s">
        <v>12</v>
      </c>
      <c r="F2487" s="6" t="s">
        <v>13</v>
      </c>
      <c r="G2487" s="6" t="s">
        <v>241</v>
      </c>
      <c r="H2487" s="8" t="s">
        <v>3612</v>
      </c>
      <c r="I2487" s="9">
        <v>72800.0</v>
      </c>
      <c r="J2487" s="5" t="str">
        <f t="shared" ref="J2487:K2487" si="2487">SUBSTITUTE(H2487, ",", "")</f>
        <v>1</v>
      </c>
      <c r="K2487" s="5" t="str">
        <f t="shared" si="2487"/>
        <v>Rp72800</v>
      </c>
      <c r="L2487" s="5" t="str">
        <f t="shared" si="3"/>
        <v>72800</v>
      </c>
    </row>
    <row r="2488">
      <c r="A2488" s="6" t="s">
        <v>3724</v>
      </c>
      <c r="B2488" s="7" t="str">
        <f>HYPERLINK("https://shopee.co.id/Breylee-Pore-Refining-Serum-Step-2-17ml-i.50948181.3039315404", "https://shopee.co.id/Breylee-Pore-Refining-Serum-Step-2-17ml-i.50948181.3039315404")</f>
        <v>https://shopee.co.id/Breylee-Pore-Refining-Serum-Step-2-17ml-i.50948181.3039315404</v>
      </c>
      <c r="C2488" s="6" t="s">
        <v>852</v>
      </c>
      <c r="D2488" s="6" t="s">
        <v>1129</v>
      </c>
      <c r="E2488" s="6" t="s">
        <v>12</v>
      </c>
      <c r="F2488" s="6" t="s">
        <v>13</v>
      </c>
      <c r="G2488" s="6" t="s">
        <v>1130</v>
      </c>
      <c r="H2488" s="8" t="s">
        <v>3612</v>
      </c>
      <c r="I2488" s="9">
        <v>75000.0</v>
      </c>
      <c r="J2488" s="5" t="str">
        <f t="shared" ref="J2488:K2488" si="2488">SUBSTITUTE(H2488, ",", "")</f>
        <v>1</v>
      </c>
      <c r="K2488" s="5" t="str">
        <f t="shared" si="2488"/>
        <v>Rp75000</v>
      </c>
      <c r="L2488" s="5" t="str">
        <f t="shared" si="3"/>
        <v>75000</v>
      </c>
    </row>
    <row r="2489">
      <c r="A2489" s="6" t="s">
        <v>3725</v>
      </c>
      <c r="B2489" s="7" t="str">
        <f>HYPERLINK("https://shopee.co.id/Natur-Miracle-Brightening-Face-Serum-Vitamin-C-and-Sour-Lime-i.68111.4858380555", "https://shopee.co.id/Natur-Miracle-Brightening-Face-Serum-Vitamin-C-and-Sour-Lime-i.68111.4858380555")</f>
        <v>https://shopee.co.id/Natur-Miracle-Brightening-Face-Serum-Vitamin-C-and-Sour-Lime-i.68111.4858380555</v>
      </c>
      <c r="C2489" s="6" t="s">
        <v>1234</v>
      </c>
      <c r="D2489" s="6" t="s">
        <v>441</v>
      </c>
      <c r="E2489" s="6" t="s">
        <v>12</v>
      </c>
      <c r="F2489" s="6" t="s">
        <v>13</v>
      </c>
      <c r="G2489" s="6" t="s">
        <v>130</v>
      </c>
      <c r="H2489" s="8" t="s">
        <v>3612</v>
      </c>
      <c r="I2489" s="9">
        <v>889000.0</v>
      </c>
      <c r="J2489" s="5" t="str">
        <f t="shared" ref="J2489:K2489" si="2489">SUBSTITUTE(H2489, ",", "")</f>
        <v>1</v>
      </c>
      <c r="K2489" s="5" t="str">
        <f t="shared" si="2489"/>
        <v>Rp889000</v>
      </c>
      <c r="L2489" s="5" t="str">
        <f t="shared" si="3"/>
        <v>889000</v>
      </c>
    </row>
    <row r="2490">
      <c r="A2490" s="6" t="s">
        <v>3726</v>
      </c>
      <c r="B2490" s="7" t="str">
        <f>HYPERLINK("https://shopee.co.id/Acwell-Licorice-pH-Balancing-Essence-Mist-size-100-ml-i.224957239.7695938999", "https://shopee.co.id/Acwell-Licorice-pH-Balancing-Essence-Mist-size-100-ml-i.224957239.7695938999")</f>
        <v>https://shopee.co.id/Acwell-Licorice-pH-Balancing-Essence-Mist-size-100-ml-i.224957239.7695938999</v>
      </c>
      <c r="C2490" s="6" t="s">
        <v>3727</v>
      </c>
      <c r="D2490" s="6" t="s">
        <v>492</v>
      </c>
      <c r="E2490" s="6" t="s">
        <v>12</v>
      </c>
      <c r="F2490" s="6" t="s">
        <v>13</v>
      </c>
      <c r="G2490" s="6" t="s">
        <v>21</v>
      </c>
      <c r="H2490" s="8" t="s">
        <v>3612</v>
      </c>
      <c r="I2490" s="9">
        <v>103500.0</v>
      </c>
      <c r="J2490" s="5" t="str">
        <f t="shared" ref="J2490:K2490" si="2490">SUBSTITUTE(H2490, ",", "")</f>
        <v>1</v>
      </c>
      <c r="K2490" s="5" t="str">
        <f t="shared" si="2490"/>
        <v>Rp103500</v>
      </c>
      <c r="L2490" s="5" t="str">
        <f t="shared" si="3"/>
        <v>103500</v>
      </c>
    </row>
    <row r="2491">
      <c r="A2491" s="6" t="s">
        <v>3728</v>
      </c>
      <c r="B2491" s="7" t="str">
        <f>HYPERLINK("https://shopee.co.id/RK-Cosmetics-RK-Glow-Serum-Premium-i.369839488.11727115532", "https://shopee.co.id/RK-Cosmetics-RK-Glow-Serum-Premium-i.369839488.11727115532")</f>
        <v>https://shopee.co.id/RK-Cosmetics-RK-Glow-Serum-Premium-i.369839488.11727115532</v>
      </c>
      <c r="C2491" s="6" t="s">
        <v>3729</v>
      </c>
      <c r="D2491" s="6" t="s">
        <v>3730</v>
      </c>
      <c r="E2491" s="6" t="s">
        <v>12</v>
      </c>
      <c r="F2491" s="6" t="s">
        <v>13</v>
      </c>
      <c r="G2491" s="6" t="s">
        <v>3731</v>
      </c>
      <c r="H2491" s="8" t="s">
        <v>3612</v>
      </c>
      <c r="I2491" s="9">
        <v>372900.0</v>
      </c>
      <c r="J2491" s="5" t="str">
        <f t="shared" ref="J2491:K2491" si="2491">SUBSTITUTE(H2491, ",", "")</f>
        <v>1</v>
      </c>
      <c r="K2491" s="5" t="str">
        <f t="shared" si="2491"/>
        <v>Rp372900</v>
      </c>
      <c r="L2491" s="5" t="str">
        <f t="shared" si="3"/>
        <v>372900</v>
      </c>
    </row>
    <row r="2492">
      <c r="A2492" s="6" t="s">
        <v>3732</v>
      </c>
      <c r="B2492" s="7" t="str">
        <f>HYPERLINK("https://shopee.co.id/Safi-White-Expert-Ultimate-Essence-20-ml-i.186214521.7904532694", "https://shopee.co.id/Safi-White-Expert-Ultimate-Essence-20-ml-i.186214521.7904532694")</f>
        <v>https://shopee.co.id/Safi-White-Expert-Ultimate-Essence-20-ml-i.186214521.7904532694</v>
      </c>
      <c r="C2492" s="6" t="s">
        <v>278</v>
      </c>
      <c r="D2492" s="6" t="s">
        <v>2293</v>
      </c>
      <c r="E2492" s="6" t="s">
        <v>12</v>
      </c>
      <c r="F2492" s="6" t="s">
        <v>13</v>
      </c>
      <c r="G2492" s="6" t="s">
        <v>61</v>
      </c>
      <c r="H2492" s="8" t="s">
        <v>3612</v>
      </c>
      <c r="I2492" s="9">
        <v>225000.0</v>
      </c>
      <c r="J2492" s="5" t="str">
        <f t="shared" ref="J2492:K2492" si="2492">SUBSTITUTE(H2492, ",", "")</f>
        <v>1</v>
      </c>
      <c r="K2492" s="5" t="str">
        <f t="shared" si="2492"/>
        <v>Rp225000</v>
      </c>
      <c r="L2492" s="5" t="str">
        <f t="shared" si="3"/>
        <v>225000</v>
      </c>
    </row>
    <row r="2493">
      <c r="A2493" s="6" t="s">
        <v>3733</v>
      </c>
      <c r="B2493" s="7" t="str">
        <f>HYPERLINK("https://shopee.co.id/Kezia-Darkspot-Serum-i.232415847.5918735104", "https://shopee.co.id/Kezia-Darkspot-Serum-i.232415847.5918735104")</f>
        <v>https://shopee.co.id/Kezia-Darkspot-Serum-i.232415847.5918735104</v>
      </c>
      <c r="C2493" s="6" t="s">
        <v>3734</v>
      </c>
      <c r="D2493" s="6" t="s">
        <v>3735</v>
      </c>
      <c r="E2493" s="6" t="s">
        <v>12</v>
      </c>
      <c r="F2493" s="6" t="s">
        <v>13</v>
      </c>
      <c r="G2493" s="6" t="s">
        <v>532</v>
      </c>
      <c r="H2493" s="8" t="s">
        <v>3612</v>
      </c>
      <c r="I2493" s="9">
        <v>105800.0</v>
      </c>
      <c r="J2493" s="5" t="str">
        <f t="shared" ref="J2493:K2493" si="2493">SUBSTITUTE(H2493, ",", "")</f>
        <v>1</v>
      </c>
      <c r="K2493" s="5" t="str">
        <f t="shared" si="2493"/>
        <v>Rp105800</v>
      </c>
      <c r="L2493" s="5" t="str">
        <f t="shared" si="3"/>
        <v>105800</v>
      </c>
    </row>
    <row r="2494">
      <c r="A2494" s="6" t="s">
        <v>1086</v>
      </c>
      <c r="B2494" s="7" t="str">
        <f>HYPERLINK("https://shopee.co.id/Hanasui-Serum-Vitamin-C-i.187117294.7243449370", "https://shopee.co.id/Hanasui-Serum-Vitamin-C-i.187117294.7243449370")</f>
        <v>https://shopee.co.id/Hanasui-Serum-Vitamin-C-i.187117294.7243449370</v>
      </c>
      <c r="C2494" s="6" t="s">
        <v>784</v>
      </c>
      <c r="D2494" s="6" t="s">
        <v>2366</v>
      </c>
      <c r="E2494" s="6" t="s">
        <v>12</v>
      </c>
      <c r="F2494" s="6" t="s">
        <v>13</v>
      </c>
      <c r="G2494" s="6" t="s">
        <v>469</v>
      </c>
      <c r="H2494" s="8" t="s">
        <v>3612</v>
      </c>
      <c r="I2494" s="9">
        <v>187500.0</v>
      </c>
      <c r="J2494" s="5" t="str">
        <f t="shared" ref="J2494:K2494" si="2494">SUBSTITUTE(H2494, ",", "")</f>
        <v>1</v>
      </c>
      <c r="K2494" s="5" t="str">
        <f t="shared" si="2494"/>
        <v>Rp187500</v>
      </c>
      <c r="L2494" s="5" t="str">
        <f t="shared" si="3"/>
        <v>187500</v>
      </c>
    </row>
    <row r="2495">
      <c r="A2495" s="6" t="s">
        <v>3736</v>
      </c>
      <c r="B2495" s="7" t="str">
        <f>HYPERLINK("https://shopee.co.id/SALSA-Acne-Purifying-Serum-i.17318245.7219135777", "https://shopee.co.id/SALSA-Acne-Purifying-Serum-i.17318245.7219135777")</f>
        <v>https://shopee.co.id/SALSA-Acne-Purifying-Serum-i.17318245.7219135777</v>
      </c>
      <c r="C2495" s="6" t="s">
        <v>2788</v>
      </c>
      <c r="D2495" s="6" t="s">
        <v>2789</v>
      </c>
      <c r="E2495" s="6" t="s">
        <v>12</v>
      </c>
      <c r="F2495" s="6" t="s">
        <v>13</v>
      </c>
      <c r="G2495" s="6" t="s">
        <v>350</v>
      </c>
      <c r="H2495" s="8" t="s">
        <v>3612</v>
      </c>
      <c r="I2495" s="9">
        <v>219725.0</v>
      </c>
      <c r="J2495" s="5" t="str">
        <f t="shared" ref="J2495:K2495" si="2495">SUBSTITUTE(H2495, ",", "")</f>
        <v>1</v>
      </c>
      <c r="K2495" s="5" t="str">
        <f t="shared" si="2495"/>
        <v>Rp219725</v>
      </c>
      <c r="L2495" s="5" t="str">
        <f t="shared" si="3"/>
        <v>219725</v>
      </c>
    </row>
    <row r="2496">
      <c r="A2496" s="6" t="s">
        <v>3737</v>
      </c>
      <c r="B2496" s="7" t="str">
        <f>HYPERLINK("https://shopee.co.id/Control-Zero-C-The-Sun-Serum-i.10689.12006010412", "https://shopee.co.id/Control-Zero-C-The-Sun-Serum-i.10689.12006010412")</f>
        <v>https://shopee.co.id/Control-Zero-C-The-Sun-Serum-i.10689.12006010412</v>
      </c>
      <c r="C2496" s="6" t="s">
        <v>3738</v>
      </c>
      <c r="D2496" s="6" t="s">
        <v>745</v>
      </c>
      <c r="E2496" s="6" t="s">
        <v>12</v>
      </c>
      <c r="F2496" s="6" t="s">
        <v>13</v>
      </c>
      <c r="G2496" s="6" t="s">
        <v>61</v>
      </c>
      <c r="H2496" s="8" t="s">
        <v>3612</v>
      </c>
      <c r="I2496" s="9">
        <v>290000.0</v>
      </c>
      <c r="J2496" s="5" t="str">
        <f t="shared" ref="J2496:K2496" si="2496">SUBSTITUTE(H2496, ",", "")</f>
        <v>1</v>
      </c>
      <c r="K2496" s="5" t="str">
        <f t="shared" si="2496"/>
        <v>Rp290000</v>
      </c>
      <c r="L2496" s="5" t="str">
        <f t="shared" si="3"/>
        <v>290000</v>
      </c>
    </row>
    <row r="2497">
      <c r="A2497" s="6" t="s">
        <v>3739</v>
      </c>
      <c r="B2497" s="7" t="str">
        <f>HYPERLINK("https://shopee.co.id/Acnes-Derma-Anti-Blemish-Essence-20-mL-i.65323877.10319057773", "https://shopee.co.id/Acnes-Derma-Anti-Blemish-Essence-20-mL-i.65323877.10319057773")</f>
        <v>https://shopee.co.id/Acnes-Derma-Anti-Blemish-Essence-20-mL-i.65323877.10319057773</v>
      </c>
      <c r="C2497" s="6" t="s">
        <v>1162</v>
      </c>
      <c r="D2497" s="6" t="s">
        <v>1600</v>
      </c>
      <c r="E2497" s="6" t="s">
        <v>12</v>
      </c>
      <c r="F2497" s="6" t="s">
        <v>13</v>
      </c>
      <c r="G2497" s="6" t="s">
        <v>296</v>
      </c>
      <c r="H2497" s="8" t="s">
        <v>3612</v>
      </c>
      <c r="I2497" s="9">
        <v>216000.0</v>
      </c>
      <c r="J2497" s="5" t="str">
        <f t="shared" ref="J2497:K2497" si="2497">SUBSTITUTE(H2497, ",", "")</f>
        <v>1</v>
      </c>
      <c r="K2497" s="5" t="str">
        <f t="shared" si="2497"/>
        <v>Rp216000</v>
      </c>
      <c r="L2497" s="5" t="str">
        <f t="shared" si="3"/>
        <v>216000</v>
      </c>
    </row>
    <row r="2498">
      <c r="A2498" s="6" t="s">
        <v>3740</v>
      </c>
      <c r="B2498" s="7" t="str">
        <f>HYPERLINK("https://shopee.co.id/BLOOMKA-Kombucha-Brown-Algae-Facial-Antioxidant-Serum-20ml-i.68111.3880073472", "https://shopee.co.id/BLOOMKA-Kombucha-Brown-Algae-Facial-Antioxidant-Serum-20ml-i.68111.3880073472")</f>
        <v>https://shopee.co.id/BLOOMKA-Kombucha-Brown-Algae-Facial-Antioxidant-Serum-20ml-i.68111.3880073472</v>
      </c>
      <c r="C2498" s="6" t="s">
        <v>375</v>
      </c>
      <c r="D2498" s="6" t="s">
        <v>441</v>
      </c>
      <c r="E2498" s="6" t="s">
        <v>12</v>
      </c>
      <c r="F2498" s="6" t="s">
        <v>13</v>
      </c>
      <c r="G2498" s="6" t="s">
        <v>130</v>
      </c>
      <c r="H2498" s="8" t="s">
        <v>3612</v>
      </c>
      <c r="I2498" s="9">
        <v>57500.0</v>
      </c>
      <c r="J2498" s="5" t="str">
        <f t="shared" ref="J2498:K2498" si="2498">SUBSTITUTE(H2498, ",", "")</f>
        <v>1</v>
      </c>
      <c r="K2498" s="5" t="str">
        <f t="shared" si="2498"/>
        <v>Rp57500</v>
      </c>
      <c r="L2498" s="5" t="str">
        <f t="shared" si="3"/>
        <v>57500</v>
      </c>
    </row>
    <row r="2499">
      <c r="A2499" s="6" t="s">
        <v>3741</v>
      </c>
      <c r="B2499" s="7" t="str">
        <f>HYPERLINK("https://shopee.co.id/Bloomka-Edelweiss-Hyaluronate-Hydrating-Facial-Essence-100ml-i.825870.8118207945", "https://shopee.co.id/Bloomka-Edelweiss-Hyaluronate-Hydrating-Facial-Essence-100ml-i.825870.8118207945")</f>
        <v>https://shopee.co.id/Bloomka-Edelweiss-Hyaluronate-Hydrating-Facial-Essence-100ml-i.825870.8118207945</v>
      </c>
      <c r="C2499" s="6" t="s">
        <v>375</v>
      </c>
      <c r="D2499" s="6" t="s">
        <v>1184</v>
      </c>
      <c r="E2499" s="6" t="s">
        <v>12</v>
      </c>
      <c r="F2499" s="6" t="s">
        <v>13</v>
      </c>
      <c r="G2499" s="6" t="s">
        <v>21</v>
      </c>
      <c r="H2499" s="8" t="s">
        <v>3612</v>
      </c>
      <c r="I2499" s="9">
        <v>240000.0</v>
      </c>
      <c r="J2499" s="5" t="str">
        <f t="shared" ref="J2499:K2499" si="2499">SUBSTITUTE(H2499, ",", "")</f>
        <v>1</v>
      </c>
      <c r="K2499" s="5" t="str">
        <f t="shared" si="2499"/>
        <v>Rp240000</v>
      </c>
      <c r="L2499" s="5" t="str">
        <f t="shared" si="3"/>
        <v>240000</v>
      </c>
    </row>
    <row r="2500">
      <c r="A2500" s="6" t="s">
        <v>3742</v>
      </c>
      <c r="B2500" s="7" t="str">
        <f>HYPERLINK("https://shopee.co.id/Lokos-me-Tone-Up-Serum-With-Beads-i.5109240.6257916020", "https://shopee.co.id/Lokos-me-Tone-Up-Serum-With-Beads-i.5109240.6257916020")</f>
        <v>https://shopee.co.id/Lokos-me-Tone-Up-Serum-With-Beads-i.5109240.6257916020</v>
      </c>
      <c r="C2500" s="6" t="s">
        <v>3296</v>
      </c>
      <c r="D2500" s="6" t="s">
        <v>3297</v>
      </c>
      <c r="E2500" s="6" t="s">
        <v>12</v>
      </c>
      <c r="F2500" s="6" t="s">
        <v>13</v>
      </c>
      <c r="G2500" s="6" t="s">
        <v>1130</v>
      </c>
      <c r="H2500" s="8" t="s">
        <v>3612</v>
      </c>
      <c r="I2500" s="9">
        <v>190000.0</v>
      </c>
      <c r="J2500" s="5" t="str">
        <f t="shared" ref="J2500:K2500" si="2500">SUBSTITUTE(H2500, ",", "")</f>
        <v>1</v>
      </c>
      <c r="K2500" s="5" t="str">
        <f t="shared" si="2500"/>
        <v>Rp190000</v>
      </c>
      <c r="L2500" s="5" t="str">
        <f t="shared" si="3"/>
        <v>190000</v>
      </c>
    </row>
    <row r="2501">
      <c r="A2501" s="6" t="s">
        <v>3743</v>
      </c>
      <c r="B2501" s="7" t="str">
        <f>HYPERLINK("https://shopee.co.id/Some-By-Mi-Yuja-Niacin-30-Days-Blemish-Care-Serum-Mask-i.455311481.11810282454", "https://shopee.co.id/Some-By-Mi-Yuja-Niacin-30-Days-Blemish-Care-Serum-Mask-i.455311481.11810282454")</f>
        <v>https://shopee.co.id/Some-By-Mi-Yuja-Niacin-30-Days-Blemish-Care-Serum-Mask-i.455311481.11810282454</v>
      </c>
      <c r="C2501" s="6" t="s">
        <v>213</v>
      </c>
      <c r="D2501" s="6" t="s">
        <v>214</v>
      </c>
      <c r="E2501" s="6" t="s">
        <v>12</v>
      </c>
      <c r="F2501" s="6" t="s">
        <v>13</v>
      </c>
      <c r="G2501" s="6" t="s">
        <v>130</v>
      </c>
      <c r="H2501" s="8" t="s">
        <v>3612</v>
      </c>
      <c r="I2501" s="9">
        <v>242000.0</v>
      </c>
      <c r="J2501" s="5" t="str">
        <f t="shared" ref="J2501:K2501" si="2501">SUBSTITUTE(H2501, ",", "")</f>
        <v>1</v>
      </c>
      <c r="K2501" s="5" t="str">
        <f t="shared" si="2501"/>
        <v>Rp242000</v>
      </c>
      <c r="L2501" s="5" t="str">
        <f t="shared" si="3"/>
        <v>242000</v>
      </c>
    </row>
    <row r="2502">
      <c r="A2502" s="6" t="s">
        <v>3744</v>
      </c>
      <c r="B2502" s="7" t="str">
        <f>HYPERLINK("https://shopee.co.id/Acnes-Derma-Care-Anti-Blemish-Essence-20ml-Noda-Jerawat-i.114789399.9428947643", "https://shopee.co.id/Acnes-Derma-Care-Anti-Blemish-Essence-20ml-Noda-Jerawat-i.114789399.9428947643")</f>
        <v>https://shopee.co.id/Acnes-Derma-Care-Anti-Blemish-Essence-20ml-Noda-Jerawat-i.114789399.9428947643</v>
      </c>
      <c r="C2502" s="6" t="s">
        <v>3634</v>
      </c>
      <c r="D2502" s="6" t="s">
        <v>2531</v>
      </c>
      <c r="E2502" s="6" t="s">
        <v>12</v>
      </c>
      <c r="F2502" s="6" t="s">
        <v>13</v>
      </c>
      <c r="G2502" s="6" t="s">
        <v>36</v>
      </c>
      <c r="H2502" s="8" t="s">
        <v>3612</v>
      </c>
      <c r="I2502" s="9">
        <v>240000.0</v>
      </c>
      <c r="J2502" s="5" t="str">
        <f t="shared" ref="J2502:K2502" si="2502">SUBSTITUTE(H2502, ",", "")</f>
        <v>1</v>
      </c>
      <c r="K2502" s="5" t="str">
        <f t="shared" si="2502"/>
        <v>Rp240000</v>
      </c>
      <c r="L2502" s="5" t="str">
        <f t="shared" si="3"/>
        <v>240000</v>
      </c>
    </row>
    <row r="2503">
      <c r="A2503" s="6" t="s">
        <v>3745</v>
      </c>
      <c r="B2503" s="7" t="str">
        <f>HYPERLINK("https://shopee.co.id/RORO-MENDUT-Papaya-Glutathione-Serum-i.87869551.9925253360", "https://shopee.co.id/RORO-MENDUT-Papaya-Glutathione-Serum-i.87869551.9925253360")</f>
        <v>https://shopee.co.id/RORO-MENDUT-Papaya-Glutathione-Serum-i.87869551.9925253360</v>
      </c>
      <c r="C2503" s="6" t="s">
        <v>1526</v>
      </c>
      <c r="D2503" s="6" t="s">
        <v>1527</v>
      </c>
      <c r="E2503" s="6" t="s">
        <v>12</v>
      </c>
      <c r="F2503" s="6" t="s">
        <v>13</v>
      </c>
      <c r="G2503" s="6" t="s">
        <v>380</v>
      </c>
      <c r="H2503" s="8" t="s">
        <v>3612</v>
      </c>
      <c r="I2503" s="9">
        <v>189000.0</v>
      </c>
      <c r="J2503" s="5" t="str">
        <f t="shared" ref="J2503:K2503" si="2503">SUBSTITUTE(H2503, ",", "")</f>
        <v>1</v>
      </c>
      <c r="K2503" s="5" t="str">
        <f t="shared" si="2503"/>
        <v>Rp189000</v>
      </c>
      <c r="L2503" s="5" t="str">
        <f t="shared" si="3"/>
        <v>189000</v>
      </c>
    </row>
    <row r="2504">
      <c r="A2504" s="6" t="s">
        <v>3746</v>
      </c>
      <c r="B2504" s="7" t="str">
        <f>HYPERLINK("https://shopee.co.id/NACIFIC-Real-Floral-Essence-Calendula-i.125116082.8664344253", "https://shopee.co.id/NACIFIC-Real-Floral-Essence-Calendula-i.125116082.8664344253")</f>
        <v>https://shopee.co.id/NACIFIC-Real-Floral-Essence-Calendula-i.125116082.8664344253</v>
      </c>
      <c r="C2504" s="6" t="s">
        <v>344</v>
      </c>
      <c r="D2504" s="6" t="s">
        <v>713</v>
      </c>
      <c r="E2504" s="6" t="s">
        <v>12</v>
      </c>
      <c r="F2504" s="6" t="s">
        <v>13</v>
      </c>
      <c r="G2504" s="6" t="s">
        <v>61</v>
      </c>
      <c r="H2504" s="8" t="s">
        <v>3612</v>
      </c>
      <c r="I2504" s="9">
        <v>46500.0</v>
      </c>
      <c r="J2504" s="5" t="str">
        <f t="shared" ref="J2504:K2504" si="2504">SUBSTITUTE(H2504, ",", "")</f>
        <v>1</v>
      </c>
      <c r="K2504" s="5" t="str">
        <f t="shared" si="2504"/>
        <v>Rp46500</v>
      </c>
      <c r="L2504" s="5" t="str">
        <f t="shared" si="3"/>
        <v>46500</v>
      </c>
    </row>
    <row r="2505">
      <c r="A2505" s="6" t="s">
        <v>3747</v>
      </c>
      <c r="B2505" s="7" t="str">
        <f>HYPERLINK("https://shopee.co.id/Wardah-Renew-You-T-Essence-100-ml-i.186214521.4418324062", "https://shopee.co.id/Wardah-Renew-You-T-Essence-100-ml-i.186214521.4418324062")</f>
        <v>https://shopee.co.id/Wardah-Renew-You-T-Essence-100-ml-i.186214521.4418324062</v>
      </c>
      <c r="C2505" s="6" t="s">
        <v>169</v>
      </c>
      <c r="D2505" s="6" t="s">
        <v>2293</v>
      </c>
      <c r="E2505" s="6" t="s">
        <v>12</v>
      </c>
      <c r="F2505" s="6" t="s">
        <v>13</v>
      </c>
      <c r="G2505" s="6" t="s">
        <v>61</v>
      </c>
      <c r="H2505" s="8" t="s">
        <v>3612</v>
      </c>
      <c r="I2505" s="9">
        <v>105000.0</v>
      </c>
      <c r="J2505" s="5" t="str">
        <f t="shared" ref="J2505:K2505" si="2505">SUBSTITUTE(H2505, ",", "")</f>
        <v>1</v>
      </c>
      <c r="K2505" s="5" t="str">
        <f t="shared" si="2505"/>
        <v>Rp105000</v>
      </c>
      <c r="L2505" s="5" t="str">
        <f t="shared" si="3"/>
        <v>105000</v>
      </c>
    </row>
    <row r="2506">
      <c r="A2506" s="6" t="s">
        <v>3748</v>
      </c>
      <c r="B2506" s="7" t="str">
        <f>HYPERLINK("https://shopee.co.id/Arginine-Serum-Marwah-Skin-Care-i.357101711.8215956640", "https://shopee.co.id/Arginine-Serum-Marwah-Skin-Care-i.357101711.8215956640")</f>
        <v>https://shopee.co.id/Arginine-Serum-Marwah-Skin-Care-i.357101711.8215956640</v>
      </c>
      <c r="C2506" s="6" t="s">
        <v>2249</v>
      </c>
      <c r="D2506" s="6" t="s">
        <v>2250</v>
      </c>
      <c r="E2506" s="6" t="s">
        <v>12</v>
      </c>
      <c r="F2506" s="6" t="s">
        <v>13</v>
      </c>
      <c r="G2506" s="6" t="s">
        <v>370</v>
      </c>
      <c r="H2506" s="8" t="s">
        <v>3612</v>
      </c>
      <c r="I2506" s="9">
        <v>483574.0</v>
      </c>
      <c r="J2506" s="5" t="str">
        <f t="shared" ref="J2506:K2506" si="2506">SUBSTITUTE(H2506, ",", "")</f>
        <v>1</v>
      </c>
      <c r="K2506" s="5" t="str">
        <f t="shared" si="2506"/>
        <v>Rp483574</v>
      </c>
      <c r="L2506" s="5" t="str">
        <f t="shared" si="3"/>
        <v>483574</v>
      </c>
    </row>
    <row r="2507">
      <c r="A2507" s="6" t="s">
        <v>3749</v>
      </c>
      <c r="B2507" s="7" t="str">
        <f>HYPERLINK("https://shopee.co.id/Kezia-Acne-Serum-i.232415847.4318676077", "https://shopee.co.id/Kezia-Acne-Serum-i.232415847.4318676077")</f>
        <v>https://shopee.co.id/Kezia-Acne-Serum-i.232415847.4318676077</v>
      </c>
      <c r="C2507" s="6" t="s">
        <v>3734</v>
      </c>
      <c r="D2507" s="6" t="s">
        <v>3735</v>
      </c>
      <c r="E2507" s="6" t="s">
        <v>12</v>
      </c>
      <c r="F2507" s="6" t="s">
        <v>13</v>
      </c>
      <c r="G2507" s="6" t="s">
        <v>532</v>
      </c>
      <c r="H2507" s="8" t="s">
        <v>3612</v>
      </c>
      <c r="I2507" s="9">
        <v>203500.0</v>
      </c>
      <c r="J2507" s="5" t="str">
        <f t="shared" ref="J2507:K2507" si="2507">SUBSTITUTE(H2507, ",", "")</f>
        <v>1</v>
      </c>
      <c r="K2507" s="5" t="str">
        <f t="shared" si="2507"/>
        <v>Rp203500</v>
      </c>
      <c r="L2507" s="5" t="str">
        <f t="shared" si="3"/>
        <v>203500</v>
      </c>
    </row>
    <row r="2508">
      <c r="A2508" s="6" t="s">
        <v>3750</v>
      </c>
      <c r="B2508" s="7" t="str">
        <f>HYPERLINK("https://shopee.co.id/Kezia-Whitening-Serum-i.232415847.5718673624", "https://shopee.co.id/Kezia-Whitening-Serum-i.232415847.5718673624")</f>
        <v>https://shopee.co.id/Kezia-Whitening-Serum-i.232415847.5718673624</v>
      </c>
      <c r="C2508" s="6" t="s">
        <v>3734</v>
      </c>
      <c r="D2508" s="6" t="s">
        <v>3735</v>
      </c>
      <c r="E2508" s="6" t="s">
        <v>12</v>
      </c>
      <c r="F2508" s="6" t="s">
        <v>13</v>
      </c>
      <c r="G2508" s="6" t="s">
        <v>532</v>
      </c>
      <c r="H2508" s="8" t="s">
        <v>3612</v>
      </c>
      <c r="I2508" s="9">
        <v>73000.0</v>
      </c>
      <c r="J2508" s="5" t="str">
        <f t="shared" ref="J2508:K2508" si="2508">SUBSTITUTE(H2508, ",", "")</f>
        <v>1</v>
      </c>
      <c r="K2508" s="5" t="str">
        <f t="shared" si="2508"/>
        <v>Rp73000</v>
      </c>
      <c r="L2508" s="5" t="str">
        <f t="shared" si="3"/>
        <v>73000</v>
      </c>
    </row>
    <row r="2509">
      <c r="A2509" s="6" t="s">
        <v>3751</v>
      </c>
      <c r="B2509" s="7" t="str">
        <f>HYPERLINK("https://shopee.co.id/Bio-Essence-Renew-Exfoliating-Gel-60-g-i.186214521.3516895120", "https://shopee.co.id/Bio-Essence-Renew-Exfoliating-Gel-60-g-i.186214521.3516895120")</f>
        <v>https://shopee.co.id/Bio-Essence-Renew-Exfoliating-Gel-60-g-i.186214521.3516895120</v>
      </c>
      <c r="C2509" s="6" t="s">
        <v>1254</v>
      </c>
      <c r="D2509" s="6" t="s">
        <v>2293</v>
      </c>
      <c r="E2509" s="6" t="s">
        <v>12</v>
      </c>
      <c r="F2509" s="6" t="s">
        <v>13</v>
      </c>
      <c r="G2509" s="6" t="s">
        <v>61</v>
      </c>
      <c r="H2509" s="8" t="s">
        <v>3612</v>
      </c>
      <c r="I2509" s="9">
        <v>240000.0</v>
      </c>
      <c r="J2509" s="5" t="str">
        <f t="shared" ref="J2509:K2509" si="2509">SUBSTITUTE(H2509, ",", "")</f>
        <v>1</v>
      </c>
      <c r="K2509" s="5" t="str">
        <f t="shared" si="2509"/>
        <v>Rp240000</v>
      </c>
      <c r="L2509" s="5" t="str">
        <f t="shared" si="3"/>
        <v>240000</v>
      </c>
    </row>
    <row r="2510">
      <c r="A2510" s="6" t="s">
        <v>3752</v>
      </c>
      <c r="B2510" s="7" t="str">
        <f>HYPERLINK("https://shopee.co.id/Beli-1-Dapat-2-Hanasui-Anti-Acne-Serum-20Ml-Serum-Wajah-Vitamin-Wajah-Obat-Jerawat-i.185943783.6714889372", "https://shopee.co.id/Beli-1-Dapat-2-Hanasui-Anti-Acne-Serum-20Ml-Serum-Wajah-Vitamin-Wajah-Obat-Jerawat-i.185943783.6714889372")</f>
        <v>https://shopee.co.id/Beli-1-Dapat-2-Hanasui-Anti-Acne-Serum-20Ml-Serum-Wajah-Vitamin-Wajah-Obat-Jerawat-i.185943783.6714889372</v>
      </c>
      <c r="C2510" s="6" t="s">
        <v>784</v>
      </c>
      <c r="D2510" s="6" t="s">
        <v>3429</v>
      </c>
      <c r="E2510" s="6" t="s">
        <v>12</v>
      </c>
      <c r="F2510" s="6" t="s">
        <v>13</v>
      </c>
      <c r="G2510" s="6" t="s">
        <v>36</v>
      </c>
      <c r="H2510" s="8" t="s">
        <v>3612</v>
      </c>
      <c r="I2510" s="9">
        <v>200000.0</v>
      </c>
      <c r="J2510" s="5" t="str">
        <f t="shared" ref="J2510:K2510" si="2510">SUBSTITUTE(H2510, ",", "")</f>
        <v>1</v>
      </c>
      <c r="K2510" s="5" t="str">
        <f t="shared" si="2510"/>
        <v>Rp200000</v>
      </c>
      <c r="L2510" s="5" t="str">
        <f t="shared" si="3"/>
        <v>200000</v>
      </c>
    </row>
    <row r="2511">
      <c r="A2511" s="6" t="s">
        <v>3753</v>
      </c>
      <c r="B2511" s="7" t="str">
        <f>HYPERLINK("https://shopee.co.id/GARNIER-Skin-Naturals-Light-Comp-Bright-up-15ml-i.30736001.1043871979", "https://shopee.co.id/GARNIER-Skin-Naturals-Light-Comp-Bright-up-15ml-i.30736001.1043871979")</f>
        <v>https://shopee.co.id/GARNIER-Skin-Naturals-Light-Comp-Bright-up-15ml-i.30736001.1043871979</v>
      </c>
      <c r="C2511" s="6" t="s">
        <v>74</v>
      </c>
      <c r="D2511" s="6" t="s">
        <v>335</v>
      </c>
      <c r="E2511" s="6" t="s">
        <v>12</v>
      </c>
      <c r="F2511" s="6" t="s">
        <v>13</v>
      </c>
      <c r="G2511" s="6" t="s">
        <v>36</v>
      </c>
      <c r="H2511" s="8" t="s">
        <v>3612</v>
      </c>
      <c r="I2511" s="9">
        <v>71280.0</v>
      </c>
      <c r="J2511" s="5" t="str">
        <f t="shared" ref="J2511:K2511" si="2511">SUBSTITUTE(H2511, ",", "")</f>
        <v>1</v>
      </c>
      <c r="K2511" s="5" t="str">
        <f t="shared" si="2511"/>
        <v>Rp71280</v>
      </c>
      <c r="L2511" s="5" t="str">
        <f t="shared" si="3"/>
        <v>71280</v>
      </c>
    </row>
    <row r="2512">
      <c r="A2512" s="6" t="s">
        <v>3754</v>
      </c>
      <c r="B2512" s="7" t="str">
        <f>HYPERLINK("https://shopee.co.id/Hada-Labo-Whitening-Essence-30gr-Serum-Wajah-Perawatan-Wajah-i.121791179.6079973007", "https://shopee.co.id/Hada-Labo-Whitening-Essence-30gr-Serum-Wajah-Perawatan-Wajah-i.121791179.6079973007")</f>
        <v>https://shopee.co.id/Hada-Labo-Whitening-Essence-30gr-Serum-Wajah-Perawatan-Wajah-i.121791179.6079973007</v>
      </c>
      <c r="C2512" s="6" t="s">
        <v>2090</v>
      </c>
      <c r="D2512" s="6" t="s">
        <v>1733</v>
      </c>
      <c r="E2512" s="6" t="s">
        <v>12</v>
      </c>
      <c r="F2512" s="6" t="s">
        <v>13</v>
      </c>
      <c r="G2512" s="6" t="s">
        <v>36</v>
      </c>
      <c r="H2512" s="8" t="s">
        <v>3612</v>
      </c>
      <c r="I2512" s="9">
        <v>127000.0</v>
      </c>
      <c r="J2512" s="5" t="str">
        <f t="shared" ref="J2512:K2512" si="2512">SUBSTITUTE(H2512, ",", "")</f>
        <v>1</v>
      </c>
      <c r="K2512" s="5" t="str">
        <f t="shared" si="2512"/>
        <v>Rp127000</v>
      </c>
      <c r="L2512" s="5" t="str">
        <f t="shared" si="3"/>
        <v>127000</v>
      </c>
    </row>
    <row r="2513">
      <c r="A2513" s="6" t="s">
        <v>3755</v>
      </c>
      <c r="B2513" s="7" t="str">
        <f>HYPERLINK("https://shopee.co.id/Avoskin-Your-Skin-Bae-Serum-Azeclair-10-Kombucha-3-Niacinamide-2-5-Vaccine-30ml-i.50948181.8376568738", "https://shopee.co.id/Avoskin-Your-Skin-Bae-Serum-Azeclair-10-Kombucha-3-Niacinamide-2-5-Vaccine-30ml-i.50948181.8376568738")</f>
        <v>https://shopee.co.id/Avoskin-Your-Skin-Bae-Serum-Azeclair-10-Kombucha-3-Niacinamide-2-5-Vaccine-30ml-i.50948181.8376568738</v>
      </c>
      <c r="C2513" s="6" t="s">
        <v>83</v>
      </c>
      <c r="D2513" s="6" t="s">
        <v>1129</v>
      </c>
      <c r="E2513" s="6" t="s">
        <v>12</v>
      </c>
      <c r="F2513" s="6" t="s">
        <v>13</v>
      </c>
      <c r="G2513" s="6" t="s">
        <v>1130</v>
      </c>
      <c r="H2513" s="8" t="s">
        <v>3612</v>
      </c>
      <c r="I2513" s="9">
        <v>140000.0</v>
      </c>
      <c r="J2513" s="5" t="str">
        <f t="shared" ref="J2513:K2513" si="2513">SUBSTITUTE(H2513, ",", "")</f>
        <v>1</v>
      </c>
      <c r="K2513" s="5" t="str">
        <f t="shared" si="2513"/>
        <v>Rp140000</v>
      </c>
      <c r="L2513" s="5" t="str">
        <f t="shared" si="3"/>
        <v>140000</v>
      </c>
    </row>
    <row r="2514">
      <c r="A2514" s="6" t="s">
        <v>3756</v>
      </c>
      <c r="B2514" s="7" t="str">
        <f>HYPERLINK("https://shopee.co.id/Skin-Game-Spot-Guard-Serum-30ml-i.136011044.7285962094", "https://shopee.co.id/Skin-Game-Spot-Guard-Serum-30ml-i.136011044.7285962094")</f>
        <v>https://shopee.co.id/Skin-Game-Spot-Guard-Serum-30ml-i.136011044.7285962094</v>
      </c>
      <c r="C2514" s="6" t="s">
        <v>523</v>
      </c>
      <c r="D2514" s="6" t="s">
        <v>632</v>
      </c>
      <c r="E2514" s="6" t="s">
        <v>12</v>
      </c>
      <c r="F2514" s="6" t="s">
        <v>13</v>
      </c>
      <c r="G2514" s="6" t="s">
        <v>21</v>
      </c>
      <c r="H2514" s="8" t="s">
        <v>3612</v>
      </c>
      <c r="I2514" s="9">
        <v>70000.0</v>
      </c>
      <c r="J2514" s="5" t="str">
        <f t="shared" ref="J2514:K2514" si="2514">SUBSTITUTE(H2514, ",", "")</f>
        <v>1</v>
      </c>
      <c r="K2514" s="5" t="str">
        <f t="shared" si="2514"/>
        <v>Rp70000</v>
      </c>
      <c r="L2514" s="5" t="str">
        <f t="shared" si="3"/>
        <v>70000</v>
      </c>
    </row>
    <row r="2515">
      <c r="A2515" s="6" t="s">
        <v>3757</v>
      </c>
      <c r="B2515" s="7" t="str">
        <f>HYPERLINK("https://shopee.co.id/Somethinc-5-Niacinamide-Barrier-Serum-40ml-i.825870.4796172890", "https://shopee.co.id/Somethinc-5-Niacinamide-Barrier-Serum-40ml-i.825870.4796172890")</f>
        <v>https://shopee.co.id/Somethinc-5-Niacinamide-Barrier-Serum-40ml-i.825870.4796172890</v>
      </c>
      <c r="C2515" s="6" t="s">
        <v>45</v>
      </c>
      <c r="D2515" s="6" t="s">
        <v>1184</v>
      </c>
      <c r="E2515" s="6" t="s">
        <v>12</v>
      </c>
      <c r="F2515" s="6" t="s">
        <v>13</v>
      </c>
      <c r="G2515" s="6" t="s">
        <v>21</v>
      </c>
      <c r="H2515" s="8" t="s">
        <v>3612</v>
      </c>
      <c r="I2515" s="9">
        <v>235000.0</v>
      </c>
      <c r="J2515" s="5" t="str">
        <f t="shared" ref="J2515:K2515" si="2515">SUBSTITUTE(H2515, ",", "")</f>
        <v>1</v>
      </c>
      <c r="K2515" s="5" t="str">
        <f t="shared" si="2515"/>
        <v>Rp235000</v>
      </c>
      <c r="L2515" s="5" t="str">
        <f t="shared" si="3"/>
        <v>235000</v>
      </c>
    </row>
    <row r="2516">
      <c r="A2516" s="6" t="s">
        <v>3758</v>
      </c>
      <c r="B2516" s="7" t="str">
        <f>HYPERLINK("https://shopee.co.id/Axis-Y-Artichoke-Intensive-Skin-Barrier-Ampoule-30ml-i.50948181.10049591692", "https://shopee.co.id/Axis-Y-Artichoke-Intensive-Skin-Barrier-Ampoule-30ml-i.50948181.10049591692")</f>
        <v>https://shopee.co.id/Axis-Y-Artichoke-Intensive-Skin-Barrier-Ampoule-30ml-i.50948181.10049591692</v>
      </c>
      <c r="C2516" s="6" t="s">
        <v>710</v>
      </c>
      <c r="D2516" s="6" t="s">
        <v>3759</v>
      </c>
      <c r="E2516" s="6" t="s">
        <v>12</v>
      </c>
      <c r="F2516" s="6" t="s">
        <v>13</v>
      </c>
      <c r="G2516" s="6" t="s">
        <v>1130</v>
      </c>
      <c r="H2516" s="8" t="s">
        <v>3612</v>
      </c>
      <c r="I2516" s="9">
        <v>322000.0</v>
      </c>
      <c r="J2516" s="5" t="str">
        <f t="shared" ref="J2516:K2516" si="2516">SUBSTITUTE(H2516, ",", "")</f>
        <v>1</v>
      </c>
      <c r="K2516" s="5" t="str">
        <f t="shared" si="2516"/>
        <v>Rp322000</v>
      </c>
      <c r="L2516" s="5" t="str">
        <f t="shared" si="3"/>
        <v>322000</v>
      </c>
    </row>
    <row r="2517">
      <c r="A2517" s="6" t="s">
        <v>3760</v>
      </c>
      <c r="B2517" s="7" t="str">
        <f>HYPERLINK("https://shopee.co.id/MSBB-Haum-LCID-Salicylic-Acid-2-28-Ml-i.288588702.11532616029", "https://shopee.co.id/MSBB-Haum-LCID-Salicylic-Acid-2-28-Ml-i.288588702.11532616029")</f>
        <v>https://shopee.co.id/MSBB-Haum-LCID-Salicylic-Acid-2-28-Ml-i.288588702.11532616029</v>
      </c>
      <c r="C2517" s="6" t="s">
        <v>78</v>
      </c>
      <c r="D2517" s="6" t="s">
        <v>79</v>
      </c>
      <c r="E2517" s="6" t="s">
        <v>12</v>
      </c>
      <c r="F2517" s="6" t="s">
        <v>13</v>
      </c>
      <c r="G2517" s="6" t="s">
        <v>80</v>
      </c>
      <c r="H2517" s="8" t="s">
        <v>3612</v>
      </c>
      <c r="I2517" s="9">
        <v>207240.0</v>
      </c>
      <c r="J2517" s="5" t="str">
        <f t="shared" ref="J2517:K2517" si="2517">SUBSTITUTE(H2517, ",", "")</f>
        <v>1</v>
      </c>
      <c r="K2517" s="5" t="str">
        <f t="shared" si="2517"/>
        <v>Rp207240</v>
      </c>
      <c r="L2517" s="5" t="str">
        <f t="shared" si="3"/>
        <v>207240</v>
      </c>
    </row>
    <row r="2518">
      <c r="A2518" s="6" t="s">
        <v>3761</v>
      </c>
      <c r="B2518" s="7" t="str">
        <f>HYPERLINK("https://shopee.co.id/MELANOX-PREMIUM-W-SERUM-15ML-i.121791179.1863492760", "https://shopee.co.id/MELANOX-PREMIUM-W-SERUM-15ML-i.121791179.1863492760")</f>
        <v>https://shopee.co.id/MELANOX-PREMIUM-W-SERUM-15ML-i.121791179.1863492760</v>
      </c>
      <c r="C2518" s="6" t="s">
        <v>1606</v>
      </c>
      <c r="D2518" s="6" t="s">
        <v>1733</v>
      </c>
      <c r="E2518" s="6" t="s">
        <v>12</v>
      </c>
      <c r="F2518" s="6" t="s">
        <v>13</v>
      </c>
      <c r="G2518" s="6" t="s">
        <v>36</v>
      </c>
      <c r="H2518" s="8" t="s">
        <v>3612</v>
      </c>
      <c r="I2518" s="9">
        <v>206360.0</v>
      </c>
      <c r="J2518" s="5" t="str">
        <f t="shared" ref="J2518:K2518" si="2518">SUBSTITUTE(H2518, ",", "")</f>
        <v>1</v>
      </c>
      <c r="K2518" s="5" t="str">
        <f t="shared" si="2518"/>
        <v>Rp206360</v>
      </c>
      <c r="L2518" s="5" t="str">
        <f t="shared" si="3"/>
        <v>206360</v>
      </c>
    </row>
    <row r="2519">
      <c r="A2519" s="6" t="s">
        <v>3762</v>
      </c>
      <c r="B2519" s="7" t="str">
        <f>HYPERLINK("https://shopee.co.id/INDOGANIC-Beauty-Rose-Essence-C-60ml-i.68111.9370067072", "https://shopee.co.id/INDOGANIC-Beauty-Rose-Essence-C-60ml-i.68111.9370067072")</f>
        <v>https://shopee.co.id/INDOGANIC-Beauty-Rose-Essence-C-60ml-i.68111.9370067072</v>
      </c>
      <c r="C2519" s="6" t="s">
        <v>995</v>
      </c>
      <c r="D2519" s="6" t="s">
        <v>441</v>
      </c>
      <c r="E2519" s="6" t="s">
        <v>12</v>
      </c>
      <c r="F2519" s="6" t="s">
        <v>13</v>
      </c>
      <c r="G2519" s="6" t="s">
        <v>130</v>
      </c>
      <c r="H2519" s="8" t="s">
        <v>3612</v>
      </c>
      <c r="I2519" s="9">
        <v>370000.0</v>
      </c>
      <c r="J2519" s="5" t="str">
        <f t="shared" ref="J2519:K2519" si="2519">SUBSTITUTE(H2519, ",", "")</f>
        <v>1</v>
      </c>
      <c r="K2519" s="5" t="str">
        <f t="shared" si="2519"/>
        <v>Rp370000</v>
      </c>
      <c r="L2519" s="5" t="str">
        <f t="shared" si="3"/>
        <v>370000</v>
      </c>
    </row>
    <row r="2520">
      <c r="A2520" s="6" t="s">
        <v>3763</v>
      </c>
      <c r="B2520" s="7" t="str">
        <f>HYPERLINK("https://shopee.co.id/Kleveru-Vitamin-C-10-Ferulic-Serum-15ml-i.825870.9951394203", "https://shopee.co.id/Kleveru-Vitamin-C-10-Ferulic-Serum-15ml-i.825870.9951394203")</f>
        <v>https://shopee.co.id/Kleveru-Vitamin-C-10-Ferulic-Serum-15ml-i.825870.9951394203</v>
      </c>
      <c r="C2520" s="6" t="s">
        <v>2408</v>
      </c>
      <c r="D2520" s="6" t="s">
        <v>1184</v>
      </c>
      <c r="E2520" s="6" t="s">
        <v>12</v>
      </c>
      <c r="F2520" s="6" t="s">
        <v>13</v>
      </c>
      <c r="G2520" s="6" t="s">
        <v>21</v>
      </c>
      <c r="H2520" s="8" t="s">
        <v>3612</v>
      </c>
      <c r="I2520" s="9">
        <v>270000.0</v>
      </c>
      <c r="J2520" s="5" t="str">
        <f t="shared" ref="J2520:K2520" si="2520">SUBSTITUTE(H2520, ",", "")</f>
        <v>1</v>
      </c>
      <c r="K2520" s="5" t="str">
        <f t="shared" si="2520"/>
        <v>Rp270000</v>
      </c>
      <c r="L2520" s="5" t="str">
        <f t="shared" si="3"/>
        <v>270000</v>
      </c>
    </row>
    <row r="2521">
      <c r="A2521" s="6" t="s">
        <v>3764</v>
      </c>
      <c r="B2521" s="7" t="str">
        <f>HYPERLINK("https://shopee.co.id/Skin-Game-Spot-Guard-Serum-30gr-i.50948181.2985468086", "https://shopee.co.id/Skin-Game-Spot-Guard-Serum-30gr-i.50948181.2985468086")</f>
        <v>https://shopee.co.id/Skin-Game-Spot-Guard-Serum-30gr-i.50948181.2985468086</v>
      </c>
      <c r="C2521" s="6" t="s">
        <v>523</v>
      </c>
      <c r="D2521" s="6" t="s">
        <v>1129</v>
      </c>
      <c r="E2521" s="6" t="s">
        <v>12</v>
      </c>
      <c r="F2521" s="6" t="s">
        <v>13</v>
      </c>
      <c r="G2521" s="6" t="s">
        <v>1130</v>
      </c>
      <c r="H2521" s="8" t="s">
        <v>3612</v>
      </c>
      <c r="I2521" s="9">
        <v>91500.0</v>
      </c>
      <c r="J2521" s="5" t="str">
        <f t="shared" ref="J2521:K2521" si="2521">SUBSTITUTE(H2521, ",", "")</f>
        <v>1</v>
      </c>
      <c r="K2521" s="5" t="str">
        <f t="shared" si="2521"/>
        <v>Rp91500</v>
      </c>
      <c r="L2521" s="5" t="str">
        <f t="shared" si="3"/>
        <v>91500</v>
      </c>
    </row>
    <row r="2522">
      <c r="A2522" s="6" t="s">
        <v>3765</v>
      </c>
      <c r="B2522" s="7" t="str">
        <f>HYPERLINK("https://shopee.co.id/Oh-My-Skin-Essence-X-Henabrow-Pitera-Petal-Serum-i.226760579.3996671650", "https://shopee.co.id/Oh-My-Skin-Essence-X-Henabrow-Pitera-Petal-Serum-i.226760579.3996671650")</f>
        <v>https://shopee.co.id/Oh-My-Skin-Essence-X-Henabrow-Pitera-Petal-Serum-i.226760579.3996671650</v>
      </c>
      <c r="C2522" s="6" t="s">
        <v>3766</v>
      </c>
      <c r="D2522" s="6" t="s">
        <v>673</v>
      </c>
      <c r="E2522" s="6" t="s">
        <v>12</v>
      </c>
      <c r="F2522" s="6" t="s">
        <v>13</v>
      </c>
      <c r="G2522" s="6" t="s">
        <v>674</v>
      </c>
      <c r="H2522" s="8" t="s">
        <v>3612</v>
      </c>
      <c r="I2522" s="9">
        <v>29952.0</v>
      </c>
      <c r="J2522" s="5" t="str">
        <f t="shared" ref="J2522:K2522" si="2522">SUBSTITUTE(H2522, ",", "")</f>
        <v>1</v>
      </c>
      <c r="K2522" s="5" t="str">
        <f t="shared" si="2522"/>
        <v>Rp29952</v>
      </c>
      <c r="L2522" s="5" t="str">
        <f t="shared" si="3"/>
        <v>29952</v>
      </c>
    </row>
    <row r="2523">
      <c r="A2523" s="6" t="s">
        <v>3767</v>
      </c>
      <c r="B2523" s="7" t="str">
        <f>HYPERLINK("https://shopee.co.id/ASTALIFT-WHITE-ESSENCE-INFILT-5-ML-i.104888237.9633139241", "https://shopee.co.id/ASTALIFT-WHITE-ESSENCE-INFILT-5-ML-i.104888237.9633139241")</f>
        <v>https://shopee.co.id/ASTALIFT-WHITE-ESSENCE-INFILT-5-ML-i.104888237.9633139241</v>
      </c>
      <c r="C2523" s="6" t="s">
        <v>1529</v>
      </c>
      <c r="D2523" s="6" t="s">
        <v>1530</v>
      </c>
      <c r="E2523" s="6" t="s">
        <v>12</v>
      </c>
      <c r="F2523" s="6" t="s">
        <v>13</v>
      </c>
      <c r="G2523" s="6" t="s">
        <v>61</v>
      </c>
      <c r="H2523" s="8" t="s">
        <v>3612</v>
      </c>
      <c r="I2523" s="9">
        <v>58000.0</v>
      </c>
      <c r="J2523" s="5" t="str">
        <f t="shared" ref="J2523:K2523" si="2523">SUBSTITUTE(H2523, ",", "")</f>
        <v>1</v>
      </c>
      <c r="K2523" s="5" t="str">
        <f t="shared" si="2523"/>
        <v>Rp58000</v>
      </c>
      <c r="L2523" s="5" t="str">
        <f t="shared" si="3"/>
        <v>58000</v>
      </c>
    </row>
    <row r="2524">
      <c r="A2524" s="6" t="s">
        <v>3768</v>
      </c>
      <c r="B2524" s="7" t="str">
        <f>HYPERLINK("https://shopee.co.id/AFK-Beauty-Skincare-Luxury-Radiance-Gold-Serum-i.240725692.8014262183", "https://shopee.co.id/AFK-Beauty-Skincare-Luxury-Radiance-Gold-Serum-i.240725692.8014262183")</f>
        <v>https://shopee.co.id/AFK-Beauty-Skincare-Luxury-Radiance-Gold-Serum-i.240725692.8014262183</v>
      </c>
      <c r="C2524" s="6" t="s">
        <v>3769</v>
      </c>
      <c r="D2524" s="6" t="s">
        <v>3770</v>
      </c>
      <c r="E2524" s="6" t="s">
        <v>12</v>
      </c>
      <c r="F2524" s="6" t="s">
        <v>13</v>
      </c>
      <c r="G2524" s="6" t="s">
        <v>98</v>
      </c>
      <c r="H2524" s="8" t="s">
        <v>3612</v>
      </c>
      <c r="I2524" s="9">
        <v>133200.0</v>
      </c>
      <c r="J2524" s="5" t="str">
        <f t="shared" ref="J2524:K2524" si="2524">SUBSTITUTE(H2524, ",", "")</f>
        <v>1</v>
      </c>
      <c r="K2524" s="5" t="str">
        <f t="shared" si="2524"/>
        <v>Rp133200</v>
      </c>
      <c r="L2524" s="5" t="str">
        <f t="shared" si="3"/>
        <v>133200</v>
      </c>
    </row>
    <row r="2525">
      <c r="A2525" s="6" t="s">
        <v>3771</v>
      </c>
      <c r="B2525" s="7" t="str">
        <f>HYPERLINK("https://shopee.co.id/DeBiuryn-Ageless-Glow-SUPER-SERUM-20ml-Anti-Aging-Glowing-i.231437504.4966529621", "https://shopee.co.id/DeBiuryn-Ageless-Glow-SUPER-SERUM-20ml-Anti-Aging-Glowing-i.231437504.4966529621")</f>
        <v>https://shopee.co.id/DeBiuryn-Ageless-Glow-SUPER-SERUM-20ml-Anti-Aging-Glowing-i.231437504.4966529621</v>
      </c>
      <c r="C2525" s="6" t="s">
        <v>3484</v>
      </c>
      <c r="D2525" s="6" t="s">
        <v>3485</v>
      </c>
      <c r="E2525" s="6" t="s">
        <v>12</v>
      </c>
      <c r="F2525" s="6" t="s">
        <v>13</v>
      </c>
      <c r="G2525" s="6" t="s">
        <v>1480</v>
      </c>
      <c r="H2525" s="8" t="s">
        <v>3612</v>
      </c>
      <c r="I2525" s="9">
        <v>91500.0</v>
      </c>
      <c r="J2525" s="5" t="str">
        <f t="shared" ref="J2525:K2525" si="2525">SUBSTITUTE(H2525, ",", "")</f>
        <v>1</v>
      </c>
      <c r="K2525" s="5" t="str">
        <f t="shared" si="2525"/>
        <v>Rp91500</v>
      </c>
      <c r="L2525" s="5" t="str">
        <f t="shared" si="3"/>
        <v>91500</v>
      </c>
    </row>
    <row r="2526">
      <c r="A2526" s="6" t="s">
        <v>3772</v>
      </c>
      <c r="B2526" s="7" t="str">
        <f>HYPERLINK("https://shopee.co.id/Exclusive-Bundle-Mineral-Botanica-Aloe-Gal-X-Glo-It-Up-Peptide-Serum-i.124549994.5959982360", "https://shopee.co.id/Exclusive-Bundle-Mineral-Botanica-Aloe-Gal-X-Glo-It-Up-Peptide-Serum-i.124549994.5959982360")</f>
        <v>https://shopee.co.id/Exclusive-Bundle-Mineral-Botanica-Aloe-Gal-X-Glo-It-Up-Peptide-Serum-i.124549994.5959982360</v>
      </c>
      <c r="C2526" s="6" t="s">
        <v>807</v>
      </c>
      <c r="D2526" s="6" t="s">
        <v>808</v>
      </c>
      <c r="E2526" s="6" t="s">
        <v>12</v>
      </c>
      <c r="F2526" s="6" t="s">
        <v>13</v>
      </c>
      <c r="G2526" s="6" t="s">
        <v>61</v>
      </c>
      <c r="H2526" s="8" t="s">
        <v>3612</v>
      </c>
      <c r="I2526" s="9">
        <v>78100.0</v>
      </c>
      <c r="J2526" s="5" t="str">
        <f t="shared" ref="J2526:K2526" si="2526">SUBSTITUTE(H2526, ",", "")</f>
        <v>1</v>
      </c>
      <c r="K2526" s="5" t="str">
        <f t="shared" si="2526"/>
        <v>Rp78100</v>
      </c>
      <c r="L2526" s="5" t="str">
        <f t="shared" si="3"/>
        <v>78100</v>
      </c>
    </row>
    <row r="2527">
      <c r="A2527" s="6" t="s">
        <v>3773</v>
      </c>
      <c r="B2527" s="7" t="str">
        <f>HYPERLINK("https://shopee.co.id/BREYLEE-Step-2-Pore-Minimizer-Serum-Pengecil-Pori-Wajah-17ml-i.68111.8553330361", "https://shopee.co.id/BREYLEE-Step-2-Pore-Minimizer-Serum-Pengecil-Pori-Wajah-17ml-i.68111.8553330361")</f>
        <v>https://shopee.co.id/BREYLEE-Step-2-Pore-Minimizer-Serum-Pengecil-Pori-Wajah-17ml-i.68111.8553330361</v>
      </c>
      <c r="C2527" s="6" t="s">
        <v>852</v>
      </c>
      <c r="D2527" s="6" t="s">
        <v>441</v>
      </c>
      <c r="E2527" s="6" t="s">
        <v>12</v>
      </c>
      <c r="F2527" s="6" t="s">
        <v>13</v>
      </c>
      <c r="G2527" s="6" t="s">
        <v>130</v>
      </c>
      <c r="H2527" s="8" t="s">
        <v>3612</v>
      </c>
      <c r="I2527" s="9">
        <v>48800.0</v>
      </c>
      <c r="J2527" s="5" t="str">
        <f t="shared" ref="J2527:K2527" si="2527">SUBSTITUTE(H2527, ",", "")</f>
        <v>1</v>
      </c>
      <c r="K2527" s="5" t="str">
        <f t="shared" si="2527"/>
        <v>Rp48800</v>
      </c>
      <c r="L2527" s="5" t="str">
        <f t="shared" si="3"/>
        <v>48800</v>
      </c>
    </row>
    <row r="2528">
      <c r="A2528" s="6" t="s">
        <v>3774</v>
      </c>
      <c r="B2528" s="7" t="str">
        <f>HYPERLINK("https://shopee.co.id/THE-POTIONS-Mugwort-Water-Essence-20ml-i.379239733.7678481132", "https://shopee.co.id/THE-POTIONS-Mugwort-Water-Essence-20ml-i.379239733.7678481132")</f>
        <v>https://shopee.co.id/THE-POTIONS-Mugwort-Water-Essence-20ml-i.379239733.7678481132</v>
      </c>
      <c r="C2528" s="6" t="s">
        <v>2245</v>
      </c>
      <c r="D2528" s="6" t="s">
        <v>2246</v>
      </c>
      <c r="E2528" s="6" t="s">
        <v>12</v>
      </c>
      <c r="F2528" s="6" t="s">
        <v>13</v>
      </c>
      <c r="G2528" s="6" t="s">
        <v>130</v>
      </c>
      <c r="H2528" s="8" t="s">
        <v>3612</v>
      </c>
      <c r="I2528" s="9">
        <v>66700.0</v>
      </c>
      <c r="J2528" s="5" t="str">
        <f t="shared" ref="J2528:K2528" si="2528">SUBSTITUTE(H2528, ",", "")</f>
        <v>1</v>
      </c>
      <c r="K2528" s="5" t="str">
        <f t="shared" si="2528"/>
        <v>Rp66700</v>
      </c>
      <c r="L2528" s="5" t="str">
        <f t="shared" si="3"/>
        <v>66700</v>
      </c>
    </row>
    <row r="2529">
      <c r="A2529" s="6" t="s">
        <v>3775</v>
      </c>
      <c r="B2529" s="7" t="str">
        <f>HYPERLINK("https://shopee.co.id/Radi-Skin-Hyaluronic-Acid-Moist-Serum-20ml-i.825870.2712994125", "https://shopee.co.id/Radi-Skin-Hyaluronic-Acid-Moist-Serum-20ml-i.825870.2712994125")</f>
        <v>https://shopee.co.id/Radi-Skin-Hyaluronic-Acid-Moist-Serum-20ml-i.825870.2712994125</v>
      </c>
      <c r="C2529" s="6" t="s">
        <v>1879</v>
      </c>
      <c r="D2529" s="6" t="s">
        <v>1184</v>
      </c>
      <c r="E2529" s="6" t="s">
        <v>12</v>
      </c>
      <c r="F2529" s="6" t="s">
        <v>13</v>
      </c>
      <c r="G2529" s="6" t="s">
        <v>21</v>
      </c>
      <c r="H2529" s="8" t="s">
        <v>3612</v>
      </c>
      <c r="I2529" s="9">
        <v>84900.0</v>
      </c>
      <c r="J2529" s="5" t="str">
        <f t="shared" ref="J2529:K2529" si="2529">SUBSTITUTE(H2529, ",", "")</f>
        <v>1</v>
      </c>
      <c r="K2529" s="5" t="str">
        <f t="shared" si="2529"/>
        <v>Rp84900</v>
      </c>
      <c r="L2529" s="5" t="str">
        <f t="shared" si="3"/>
        <v>84900</v>
      </c>
    </row>
    <row r="2530">
      <c r="A2530" s="6" t="s">
        <v>3776</v>
      </c>
      <c r="B2530" s="7" t="str">
        <f>HYPERLINK("https://shopee.co.id/Somethinc-Holyshield-Sunscreen-Comfort-Corrector-Serum-SPF50-15ml-i.825870.13409469639", "https://shopee.co.id/Somethinc-Holyshield-Sunscreen-Comfort-Corrector-Serum-SPF50-15ml-i.825870.13409469639")</f>
        <v>https://shopee.co.id/Somethinc-Holyshield-Sunscreen-Comfort-Corrector-Serum-SPF50-15ml-i.825870.13409469639</v>
      </c>
      <c r="C2530" s="6" t="s">
        <v>45</v>
      </c>
      <c r="D2530" s="6" t="s">
        <v>1184</v>
      </c>
      <c r="E2530" s="6" t="s">
        <v>12</v>
      </c>
      <c r="F2530" s="6" t="s">
        <v>13</v>
      </c>
      <c r="G2530" s="6" t="s">
        <v>21</v>
      </c>
      <c r="H2530" s="8" t="s">
        <v>3612</v>
      </c>
      <c r="I2530" s="9">
        <v>1350000.0</v>
      </c>
      <c r="J2530" s="5" t="str">
        <f t="shared" ref="J2530:K2530" si="2530">SUBSTITUTE(H2530, ",", "")</f>
        <v>1</v>
      </c>
      <c r="K2530" s="5" t="str">
        <f t="shared" si="2530"/>
        <v>Rp1350000</v>
      </c>
      <c r="L2530" s="5" t="str">
        <f t="shared" si="3"/>
        <v>1350000</v>
      </c>
    </row>
    <row r="2531">
      <c r="A2531" s="6" t="s">
        <v>3777</v>
      </c>
      <c r="B2531" s="7" t="str">
        <f>HYPERLINK("https://shopee.co.id/Kleveru-Glass-Skin-Overnight-Serum-20ml-i.50948181.3561434017", "https://shopee.co.id/Kleveru-Glass-Skin-Overnight-Serum-20ml-i.50948181.3561434017")</f>
        <v>https://shopee.co.id/Kleveru-Glass-Skin-Overnight-Serum-20ml-i.50948181.3561434017</v>
      </c>
      <c r="C2531" s="6" t="s">
        <v>2408</v>
      </c>
      <c r="D2531" s="6" t="s">
        <v>1129</v>
      </c>
      <c r="E2531" s="6" t="s">
        <v>12</v>
      </c>
      <c r="F2531" s="6" t="s">
        <v>13</v>
      </c>
      <c r="G2531" s="6" t="s">
        <v>1130</v>
      </c>
      <c r="H2531" s="8" t="s">
        <v>3612</v>
      </c>
      <c r="I2531" s="9">
        <v>79000.0</v>
      </c>
      <c r="J2531" s="5" t="str">
        <f t="shared" ref="J2531:K2531" si="2531">SUBSTITUTE(H2531, ",", "")</f>
        <v>1</v>
      </c>
      <c r="K2531" s="5" t="str">
        <f t="shared" si="2531"/>
        <v>Rp79000</v>
      </c>
      <c r="L2531" s="5" t="str">
        <f t="shared" si="3"/>
        <v>79000</v>
      </c>
    </row>
    <row r="2532">
      <c r="A2532" s="6" t="s">
        <v>3304</v>
      </c>
      <c r="B2532" s="7" t="str">
        <f>HYPERLINK("https://shopee.co.id/Quesella-Galactomyces-Treatment-Essence-30ml-i.10689.5360302038", "https://shopee.co.id/Quesella-Galactomyces-Treatment-Essence-30ml-i.10689.5360302038")</f>
        <v>https://shopee.co.id/Quesella-Galactomyces-Treatment-Essence-30ml-i.10689.5360302038</v>
      </c>
      <c r="C2532" s="6" t="s">
        <v>3305</v>
      </c>
      <c r="D2532" s="6" t="s">
        <v>745</v>
      </c>
      <c r="E2532" s="6" t="s">
        <v>12</v>
      </c>
      <c r="F2532" s="6" t="s">
        <v>13</v>
      </c>
      <c r="G2532" s="6" t="s">
        <v>61</v>
      </c>
      <c r="H2532" s="8" t="s">
        <v>3612</v>
      </c>
      <c r="I2532" s="9">
        <v>256500.0</v>
      </c>
      <c r="J2532" s="5" t="str">
        <f t="shared" ref="J2532:K2532" si="2532">SUBSTITUTE(H2532, ",", "")</f>
        <v>1</v>
      </c>
      <c r="K2532" s="5" t="str">
        <f t="shared" si="2532"/>
        <v>Rp256500</v>
      </c>
      <c r="L2532" s="5" t="str">
        <f t="shared" si="3"/>
        <v>256500</v>
      </c>
    </row>
    <row r="2533">
      <c r="A2533" s="6" t="s">
        <v>3778</v>
      </c>
      <c r="B2533" s="7" t="str">
        <f>HYPERLINK("https://shopee.co.id/Somethinc-Niacinamide-Moisture-Beet-Serum-i.187117294.7151498167", "https://shopee.co.id/Somethinc-Niacinamide-Moisture-Beet-Serum-i.187117294.7151498167")</f>
        <v>https://shopee.co.id/Somethinc-Niacinamide-Moisture-Beet-Serum-i.187117294.7151498167</v>
      </c>
      <c r="C2533" s="6" t="s">
        <v>45</v>
      </c>
      <c r="D2533" s="6" t="s">
        <v>2366</v>
      </c>
      <c r="E2533" s="6" t="s">
        <v>12</v>
      </c>
      <c r="F2533" s="6" t="s">
        <v>13</v>
      </c>
      <c r="G2533" s="6" t="s">
        <v>469</v>
      </c>
      <c r="H2533" s="8" t="s">
        <v>3612</v>
      </c>
      <c r="I2533" s="9">
        <v>405000.0</v>
      </c>
      <c r="J2533" s="5" t="str">
        <f t="shared" ref="J2533:K2533" si="2533">SUBSTITUTE(H2533, ",", "")</f>
        <v>1</v>
      </c>
      <c r="K2533" s="5" t="str">
        <f t="shared" si="2533"/>
        <v>Rp405000</v>
      </c>
      <c r="L2533" s="5" t="str">
        <f t="shared" si="3"/>
        <v>405000</v>
      </c>
    </row>
    <row r="2534">
      <c r="A2534" s="6" t="s">
        <v>3779</v>
      </c>
      <c r="B2534" s="7" t="str">
        <f>HYPERLINK("https://shopee.co.id/SOMETHINC-Serum-Wajah-Ampoule-Peeling-Moisturise-20-ml-i.332732864.8712326426", "https://shopee.co.id/SOMETHINC-Serum-Wajah-Ampoule-Peeling-Moisturise-20-ml-i.332732864.8712326426")</f>
        <v>https://shopee.co.id/SOMETHINC-Serum-Wajah-Ampoule-Peeling-Moisturise-20-ml-i.332732864.8712326426</v>
      </c>
      <c r="C2534" s="6" t="s">
        <v>45</v>
      </c>
      <c r="D2534" s="6" t="s">
        <v>3780</v>
      </c>
      <c r="E2534" s="6" t="s">
        <v>12</v>
      </c>
      <c r="F2534" s="6" t="s">
        <v>13</v>
      </c>
      <c r="G2534" s="6" t="s">
        <v>21</v>
      </c>
      <c r="H2534" s="8" t="s">
        <v>3612</v>
      </c>
      <c r="I2534" s="9">
        <v>374000.0</v>
      </c>
      <c r="J2534" s="5" t="str">
        <f t="shared" ref="J2534:K2534" si="2534">SUBSTITUTE(H2534, ",", "")</f>
        <v>1</v>
      </c>
      <c r="K2534" s="5" t="str">
        <f t="shared" si="2534"/>
        <v>Rp374000</v>
      </c>
      <c r="L2534" s="5" t="str">
        <f t="shared" si="3"/>
        <v>374000</v>
      </c>
    </row>
    <row r="2535">
      <c r="A2535" s="6" t="s">
        <v>3781</v>
      </c>
      <c r="B2535" s="7" t="str">
        <f>HYPERLINK("https://shopee.co.id/KKV-SOMETHINC-5-Niacinamide-Moisture-Sabi-Beet-Serum-Skincare-20ml-Beauty-i.313431312.9074521901", "https://shopee.co.id/KKV-SOMETHINC-5-Niacinamide-Moisture-Sabi-Beet-Serum-Skincare-20ml-Beauty-i.313431312.9074521901")</f>
        <v>https://shopee.co.id/KKV-SOMETHINC-5-Niacinamide-Moisture-Sabi-Beet-Serum-Skincare-20ml-Beauty-i.313431312.9074521901</v>
      </c>
      <c r="C2535" s="6" t="s">
        <v>45</v>
      </c>
      <c r="D2535" s="6" t="s">
        <v>1524</v>
      </c>
      <c r="E2535" s="6" t="s">
        <v>12</v>
      </c>
      <c r="F2535" s="6" t="s">
        <v>13</v>
      </c>
      <c r="G2535" s="6" t="s">
        <v>61</v>
      </c>
      <c r="H2535" s="8" t="s">
        <v>3612</v>
      </c>
      <c r="I2535" s="9">
        <v>149150.0</v>
      </c>
      <c r="J2535" s="5" t="str">
        <f t="shared" ref="J2535:K2535" si="2535">SUBSTITUTE(H2535, ",", "")</f>
        <v>1</v>
      </c>
      <c r="K2535" s="5" t="str">
        <f t="shared" si="2535"/>
        <v>Rp149150</v>
      </c>
      <c r="L2535" s="5" t="str">
        <f t="shared" si="3"/>
        <v>149150</v>
      </c>
    </row>
    <row r="2536">
      <c r="A2536" s="6" t="s">
        <v>3782</v>
      </c>
      <c r="B2536" s="7" t="str">
        <f>HYPERLINK("https://shopee.co.id/THE-ORDINARY-Alpha-Arbutin-2-HA-30ml-i.47255270.12908578444", "https://shopee.co.id/THE-ORDINARY-Alpha-Arbutin-2-HA-30ml-i.47255270.12908578444")</f>
        <v>https://shopee.co.id/THE-ORDINARY-Alpha-Arbutin-2-HA-30ml-i.47255270.12908578444</v>
      </c>
      <c r="C2536" s="6" t="s">
        <v>1245</v>
      </c>
      <c r="D2536" s="6" t="s">
        <v>1978</v>
      </c>
      <c r="E2536" s="6" t="s">
        <v>12</v>
      </c>
      <c r="F2536" s="6" t="s">
        <v>13</v>
      </c>
      <c r="G2536" s="6" t="s">
        <v>241</v>
      </c>
      <c r="H2536" s="8" t="s">
        <v>3612</v>
      </c>
      <c r="I2536" s="9">
        <v>109000.0</v>
      </c>
      <c r="J2536" s="5" t="str">
        <f t="shared" ref="J2536:K2536" si="2536">SUBSTITUTE(H2536, ",", "")</f>
        <v>1</v>
      </c>
      <c r="K2536" s="5" t="str">
        <f t="shared" si="2536"/>
        <v>Rp109000</v>
      </c>
      <c r="L2536" s="5" t="str">
        <f t="shared" si="3"/>
        <v>109000</v>
      </c>
    </row>
    <row r="2537">
      <c r="A2537" s="6" t="s">
        <v>1198</v>
      </c>
      <c r="B2537" s="7" t="str">
        <f>HYPERLINK("https://shopee.co.id/WARDAH-White-Secret-Pure-Treatment-Essence-100ml-i.68111.8616959826", "https://shopee.co.id/WARDAH-White-Secret-Pure-Treatment-Essence-100ml-i.68111.8616959826")</f>
        <v>https://shopee.co.id/WARDAH-White-Secret-Pure-Treatment-Essence-100ml-i.68111.8616959826</v>
      </c>
      <c r="C2537" s="6" t="s">
        <v>169</v>
      </c>
      <c r="D2537" s="6" t="s">
        <v>441</v>
      </c>
      <c r="E2537" s="6" t="s">
        <v>12</v>
      </c>
      <c r="F2537" s="6" t="s">
        <v>13</v>
      </c>
      <c r="G2537" s="6" t="s">
        <v>130</v>
      </c>
      <c r="H2537" s="8" t="s">
        <v>3612</v>
      </c>
      <c r="I2537" s="9">
        <v>63680.0</v>
      </c>
      <c r="J2537" s="5" t="str">
        <f t="shared" ref="J2537:K2537" si="2537">SUBSTITUTE(H2537, ",", "")</f>
        <v>1</v>
      </c>
      <c r="K2537" s="5" t="str">
        <f t="shared" si="2537"/>
        <v>Rp63680</v>
      </c>
      <c r="L2537" s="5" t="str">
        <f t="shared" si="3"/>
        <v>63680</v>
      </c>
    </row>
    <row r="2538">
      <c r="A2538" s="6" t="s">
        <v>3783</v>
      </c>
      <c r="B2538" s="7" t="str">
        <f>HYPERLINK("https://shopee.co.id/Bloomka-Calendula-Poria-Cocos-Facial-Calming-Serum-20ml-i.10689.6571567094", "https://shopee.co.id/Bloomka-Calendula-Poria-Cocos-Facial-Calming-Serum-20ml-i.10689.6571567094")</f>
        <v>https://shopee.co.id/Bloomka-Calendula-Poria-Cocos-Facial-Calming-Serum-20ml-i.10689.6571567094</v>
      </c>
      <c r="C2538" s="6" t="s">
        <v>375</v>
      </c>
      <c r="D2538" s="6" t="s">
        <v>745</v>
      </c>
      <c r="E2538" s="6" t="s">
        <v>12</v>
      </c>
      <c r="F2538" s="6" t="s">
        <v>13</v>
      </c>
      <c r="G2538" s="6" t="s">
        <v>61</v>
      </c>
      <c r="H2538" s="8" t="s">
        <v>3612</v>
      </c>
      <c r="I2538" s="9">
        <v>65313.0</v>
      </c>
      <c r="J2538" s="5" t="str">
        <f t="shared" ref="J2538:K2538" si="2538">SUBSTITUTE(H2538, ",", "")</f>
        <v>1</v>
      </c>
      <c r="K2538" s="5" t="str">
        <f t="shared" si="2538"/>
        <v>Rp65313</v>
      </c>
      <c r="L2538" s="5" t="str">
        <f t="shared" si="3"/>
        <v>65313</v>
      </c>
    </row>
    <row r="2539">
      <c r="A2539" s="6" t="s">
        <v>3784</v>
      </c>
      <c r="B2539" s="7" t="str">
        <f>HYPERLINK("https://shopee.co.id/Azarine-Serum-Anti-Acne-Brightening-Serum-20-mL-i.65323877.9979230876", "https://shopee.co.id/Azarine-Serum-Anti-Acne-Brightening-Serum-20-mL-i.65323877.9979230876")</f>
        <v>https://shopee.co.id/Azarine-Serum-Anti-Acne-Brightening-Serum-20-mL-i.65323877.9979230876</v>
      </c>
      <c r="C2539" s="6" t="s">
        <v>233</v>
      </c>
      <c r="D2539" s="6" t="s">
        <v>1600</v>
      </c>
      <c r="E2539" s="6" t="s">
        <v>12</v>
      </c>
      <c r="F2539" s="6" t="s">
        <v>13</v>
      </c>
      <c r="G2539" s="6" t="s">
        <v>296</v>
      </c>
      <c r="H2539" s="8" t="s">
        <v>3612</v>
      </c>
      <c r="I2539" s="9">
        <v>184000.0</v>
      </c>
      <c r="J2539" s="5" t="str">
        <f t="shared" ref="J2539:K2539" si="2539">SUBSTITUTE(H2539, ",", "")</f>
        <v>1</v>
      </c>
      <c r="K2539" s="5" t="str">
        <f t="shared" si="2539"/>
        <v>Rp184000</v>
      </c>
      <c r="L2539" s="5" t="str">
        <f t="shared" si="3"/>
        <v>184000</v>
      </c>
    </row>
    <row r="2540">
      <c r="A2540" s="6" t="s">
        <v>3785</v>
      </c>
      <c r="B2540" s="7" t="str">
        <f>HYPERLINK("https://shopee.co.id/Garnier-Light-Complete-Yuzu-Vitamin-C-30ml-421894--i.16735262.3765495900", "https://shopee.co.id/Garnier-Light-Complete-Yuzu-Vitamin-C-30ml-421894--i.16735262.3765495900")</f>
        <v>https://shopee.co.id/Garnier-Light-Complete-Yuzu-Vitamin-C-30ml-421894--i.16735262.3765495900</v>
      </c>
      <c r="C2540" s="6" t="s">
        <v>74</v>
      </c>
      <c r="D2540" s="6" t="s">
        <v>3598</v>
      </c>
      <c r="E2540" s="6" t="s">
        <v>12</v>
      </c>
      <c r="F2540" s="6" t="s">
        <v>13</v>
      </c>
      <c r="G2540" s="6" t="s">
        <v>36</v>
      </c>
      <c r="H2540" s="8" t="s">
        <v>3612</v>
      </c>
      <c r="I2540" s="9">
        <v>190000.0</v>
      </c>
      <c r="J2540" s="5" t="str">
        <f t="shared" ref="J2540:K2540" si="2540">SUBSTITUTE(H2540, ",", "")</f>
        <v>1</v>
      </c>
      <c r="K2540" s="5" t="str">
        <f t="shared" si="2540"/>
        <v>Rp190000</v>
      </c>
      <c r="L2540" s="5" t="str">
        <f t="shared" si="3"/>
        <v>190000</v>
      </c>
    </row>
    <row r="2541">
      <c r="A2541" s="6" t="s">
        <v>1624</v>
      </c>
      <c r="B2541" s="7" t="str">
        <f>HYPERLINK("https://shopee.co.id/Avoskin-Perfect-Hydrating-Treatment-Essence-30ml-i.53887195.8909446258", "https://shopee.co.id/Avoskin-Perfect-Hydrating-Treatment-Essence-30ml-i.53887195.8909446258")</f>
        <v>https://shopee.co.id/Avoskin-Perfect-Hydrating-Treatment-Essence-30ml-i.53887195.8909446258</v>
      </c>
      <c r="C2541" s="6" t="s">
        <v>83</v>
      </c>
      <c r="D2541" s="6" t="s">
        <v>1026</v>
      </c>
      <c r="E2541" s="6" t="s">
        <v>12</v>
      </c>
      <c r="F2541" s="6" t="s">
        <v>13</v>
      </c>
      <c r="G2541" s="6" t="s">
        <v>80</v>
      </c>
      <c r="H2541" s="8" t="s">
        <v>3612</v>
      </c>
      <c r="I2541" s="9">
        <v>388000.0</v>
      </c>
      <c r="J2541" s="5" t="str">
        <f t="shared" ref="J2541:K2541" si="2541">SUBSTITUTE(H2541, ",", "")</f>
        <v>1</v>
      </c>
      <c r="K2541" s="5" t="str">
        <f t="shared" si="2541"/>
        <v>Rp388000</v>
      </c>
      <c r="L2541" s="5" t="str">
        <f t="shared" si="3"/>
        <v>388000</v>
      </c>
    </row>
    <row r="2542">
      <c r="A2542" s="6" t="s">
        <v>3786</v>
      </c>
      <c r="B2542" s="7" t="str">
        <f>HYPERLINK("https://shopee.co.id/AIZEN-Polyglutamic-Acid-5-Ultra-Ampoule-i.68111.2939302940", "https://shopee.co.id/AIZEN-Polyglutamic-Acid-5-Ultra-Ampoule-i.68111.2939302940")</f>
        <v>https://shopee.co.id/AIZEN-Polyglutamic-Acid-5-Ultra-Ampoule-i.68111.2939302940</v>
      </c>
      <c r="C2542" s="6" t="s">
        <v>1325</v>
      </c>
      <c r="D2542" s="6" t="s">
        <v>441</v>
      </c>
      <c r="E2542" s="6" t="s">
        <v>12</v>
      </c>
      <c r="F2542" s="6" t="s">
        <v>13</v>
      </c>
      <c r="G2542" s="6" t="s">
        <v>130</v>
      </c>
      <c r="H2542" s="8" t="s">
        <v>3612</v>
      </c>
      <c r="I2542" s="9">
        <v>458000.0</v>
      </c>
      <c r="J2542" s="5" t="str">
        <f t="shared" ref="J2542:K2542" si="2542">SUBSTITUTE(H2542, ",", "")</f>
        <v>1</v>
      </c>
      <c r="K2542" s="5" t="str">
        <f t="shared" si="2542"/>
        <v>Rp458000</v>
      </c>
      <c r="L2542" s="5" t="str">
        <f t="shared" si="3"/>
        <v>458000</v>
      </c>
    </row>
    <row r="2543">
      <c r="A2543" s="6" t="s">
        <v>3787</v>
      </c>
      <c r="B2543" s="7" t="str">
        <f>HYPERLINK("https://shopee.co.id/BUNDLING-Pure-Essence-Purifying-Series-i.18856010.5114630230", "https://shopee.co.id/BUNDLING-Pure-Essence-Purifying-Series-i.18856010.5114630230")</f>
        <v>https://shopee.co.id/BUNDLING-Pure-Essence-Purifying-Series-i.18856010.5114630230</v>
      </c>
      <c r="C2543" s="6" t="s">
        <v>2265</v>
      </c>
      <c r="D2543" s="6" t="s">
        <v>2266</v>
      </c>
      <c r="E2543" s="6" t="s">
        <v>12</v>
      </c>
      <c r="F2543" s="6" t="s">
        <v>13</v>
      </c>
      <c r="G2543" s="6" t="s">
        <v>21</v>
      </c>
      <c r="H2543" s="8" t="s">
        <v>3612</v>
      </c>
      <c r="I2543" s="9">
        <v>632000.0</v>
      </c>
      <c r="J2543" s="5" t="str">
        <f t="shared" ref="J2543:K2543" si="2543">SUBSTITUTE(H2543, ",", "")</f>
        <v>1</v>
      </c>
      <c r="K2543" s="5" t="str">
        <f t="shared" si="2543"/>
        <v>Rp632000</v>
      </c>
      <c r="L2543" s="5" t="str">
        <f t="shared" si="3"/>
        <v>632000</v>
      </c>
    </row>
    <row r="2544">
      <c r="A2544" s="6" t="s">
        <v>3788</v>
      </c>
      <c r="B2544" s="7" t="str">
        <f>HYPERLINK("https://shopee.co.id/MSBB-Purivera-White-Willow-Toner-Essence-Centella-BHA-Willow-Bark-2-As-Salicylic-Acid-i.288588702.9073158338", "https://shopee.co.id/MSBB-Purivera-White-Willow-Toner-Essence-Centella-BHA-Willow-Bark-2-As-Salicylic-Acid-i.288588702.9073158338")</f>
        <v>https://shopee.co.id/MSBB-Purivera-White-Willow-Toner-Essence-Centella-BHA-Willow-Bark-2-As-Salicylic-Acid-i.288588702.9073158338</v>
      </c>
      <c r="C2544" s="6" t="s">
        <v>428</v>
      </c>
      <c r="D2544" s="6" t="s">
        <v>79</v>
      </c>
      <c r="E2544" s="6" t="s">
        <v>12</v>
      </c>
      <c r="F2544" s="6" t="s">
        <v>13</v>
      </c>
      <c r="G2544" s="6" t="s">
        <v>80</v>
      </c>
      <c r="H2544" s="8" t="s">
        <v>3612</v>
      </c>
      <c r="I2544" s="9">
        <v>323000.0</v>
      </c>
      <c r="J2544" s="5" t="str">
        <f t="shared" ref="J2544:K2544" si="2544">SUBSTITUTE(H2544, ",", "")</f>
        <v>1</v>
      </c>
      <c r="K2544" s="5" t="str">
        <f t="shared" si="2544"/>
        <v>Rp323000</v>
      </c>
      <c r="L2544" s="5" t="str">
        <f t="shared" si="3"/>
        <v>323000</v>
      </c>
    </row>
    <row r="2545">
      <c r="A2545" s="6" t="s">
        <v>3789</v>
      </c>
      <c r="B2545" s="7" t="str">
        <f>HYPERLINK("https://shopee.co.id/Keaj-Beaute-Acne-Care-Serum-Wajah-Berjerawat-Mugwort-Niacinamide-BHA-Salycilic-Organik-BISA-COD--i.324866227.10902607283", "https://shopee.co.id/Keaj-Beaute-Acne-Care-Serum-Wajah-Berjerawat-Mugwort-Niacinamide-BHA-Salycilic-Organik-BISA-COD--i.324866227.10902607283")</f>
        <v>https://shopee.co.id/Keaj-Beaute-Acne-Care-Serum-Wajah-Berjerawat-Mugwort-Niacinamide-BHA-Salycilic-Organik-BISA-COD--i.324866227.10902607283</v>
      </c>
      <c r="C2545" s="6" t="s">
        <v>3359</v>
      </c>
      <c r="D2545" s="6" t="s">
        <v>3360</v>
      </c>
      <c r="E2545" s="6" t="s">
        <v>12</v>
      </c>
      <c r="F2545" s="6" t="s">
        <v>13</v>
      </c>
      <c r="G2545" s="6" t="s">
        <v>2690</v>
      </c>
      <c r="H2545" s="8" t="s">
        <v>3612</v>
      </c>
      <c r="I2545" s="9">
        <v>966000.0</v>
      </c>
      <c r="J2545" s="5" t="str">
        <f t="shared" ref="J2545:K2545" si="2545">SUBSTITUTE(H2545, ",", "")</f>
        <v>1</v>
      </c>
      <c r="K2545" s="5" t="str">
        <f t="shared" si="2545"/>
        <v>Rp966000</v>
      </c>
      <c r="L2545" s="5" t="str">
        <f t="shared" si="3"/>
        <v>966000</v>
      </c>
    </row>
    <row r="2546">
      <c r="A2546" s="6" t="s">
        <v>3790</v>
      </c>
      <c r="B2546" s="7" t="str">
        <f>HYPERLINK("https://shopee.co.id/Garnier-Bright-Complete-White-Speed-Serum-Day-Cream-Extra-SPF-36-50-mL-i.65323877.10819057178", "https://shopee.co.id/Garnier-Bright-Complete-White-Speed-Serum-Day-Cream-Extra-SPF-36-50-mL-i.65323877.10819057178")</f>
        <v>https://shopee.co.id/Garnier-Bright-Complete-White-Speed-Serum-Day-Cream-Extra-SPF-36-50-mL-i.65323877.10819057178</v>
      </c>
      <c r="C2546" s="6" t="s">
        <v>74</v>
      </c>
      <c r="D2546" s="6" t="s">
        <v>1600</v>
      </c>
      <c r="E2546" s="6" t="s">
        <v>12</v>
      </c>
      <c r="F2546" s="6" t="s">
        <v>13</v>
      </c>
      <c r="G2546" s="6" t="s">
        <v>296</v>
      </c>
      <c r="H2546" s="8" t="s">
        <v>3612</v>
      </c>
      <c r="I2546" s="9">
        <v>19000.0</v>
      </c>
      <c r="J2546" s="5" t="str">
        <f t="shared" ref="J2546:K2546" si="2546">SUBSTITUTE(H2546, ",", "")</f>
        <v>1</v>
      </c>
      <c r="K2546" s="5" t="str">
        <f t="shared" si="2546"/>
        <v>Rp19000</v>
      </c>
      <c r="L2546" s="5" t="str">
        <f t="shared" si="3"/>
        <v>19000</v>
      </c>
    </row>
    <row r="2547">
      <c r="A2547" s="6" t="s">
        <v>3791</v>
      </c>
      <c r="B2547" s="7" t="str">
        <f>HYPERLINK("https://shopee.co.id/Hiqween-10-00-PM-Advanced-Serum-20ml-i.50948181.9225399463", "https://shopee.co.id/Hiqween-10-00-PM-Advanced-Serum-20ml-i.50948181.9225399463")</f>
        <v>https://shopee.co.id/Hiqween-10-00-PM-Advanced-Serum-20ml-i.50948181.9225399463</v>
      </c>
      <c r="C2547" s="6" t="s">
        <v>2270</v>
      </c>
      <c r="D2547" s="6" t="s">
        <v>1129</v>
      </c>
      <c r="E2547" s="6" t="s">
        <v>12</v>
      </c>
      <c r="F2547" s="6" t="s">
        <v>13</v>
      </c>
      <c r="G2547" s="6" t="s">
        <v>1130</v>
      </c>
      <c r="H2547" s="8" t="s">
        <v>3612</v>
      </c>
      <c r="I2547" s="9">
        <v>92800.0</v>
      </c>
      <c r="J2547" s="5" t="str">
        <f t="shared" ref="J2547:K2547" si="2547">SUBSTITUTE(H2547, ",", "")</f>
        <v>1</v>
      </c>
      <c r="K2547" s="5" t="str">
        <f t="shared" si="2547"/>
        <v>Rp92800</v>
      </c>
      <c r="L2547" s="5" t="str">
        <f t="shared" si="3"/>
        <v>92800</v>
      </c>
    </row>
    <row r="2548">
      <c r="A2548" s="6" t="s">
        <v>3792</v>
      </c>
      <c r="B2548" s="7" t="str">
        <f>HYPERLINK("https://shopee.co.id/SOMETHINC-HYALuronic-B5-by-Somethinc-i.217272417.6257558151", "https://shopee.co.id/SOMETHINC-HYALuronic-B5-by-Somethinc-i.217272417.6257558151")</f>
        <v>https://shopee.co.id/SOMETHINC-HYALuronic-B5-by-Somethinc-i.217272417.6257558151</v>
      </c>
      <c r="C2548" s="6" t="s">
        <v>45</v>
      </c>
      <c r="D2548" s="6" t="s">
        <v>3793</v>
      </c>
      <c r="E2548" s="6" t="s">
        <v>12</v>
      </c>
      <c r="F2548" s="6" t="s">
        <v>13</v>
      </c>
      <c r="G2548" s="6" t="s">
        <v>98</v>
      </c>
      <c r="H2548" s="8" t="s">
        <v>3612</v>
      </c>
      <c r="I2548" s="9">
        <v>89900.0</v>
      </c>
      <c r="J2548" s="5" t="str">
        <f t="shared" ref="J2548:K2548" si="2548">SUBSTITUTE(H2548, ",", "")</f>
        <v>1</v>
      </c>
      <c r="K2548" s="5" t="str">
        <f t="shared" si="2548"/>
        <v>Rp89900</v>
      </c>
      <c r="L2548" s="5" t="str">
        <f t="shared" si="3"/>
        <v>89900</v>
      </c>
    </row>
    <row r="2549">
      <c r="A2549" s="6" t="s">
        <v>3794</v>
      </c>
      <c r="B2549" s="7" t="str">
        <f>HYPERLINK("https://shopee.co.id/Aknema-BHA-HA-Serum-20ml-i.825870.6631158859", "https://shopee.co.id/Aknema-BHA-HA-Serum-20ml-i.825870.6631158859")</f>
        <v>https://shopee.co.id/Aknema-BHA-HA-Serum-20ml-i.825870.6631158859</v>
      </c>
      <c r="C2549" s="6" t="s">
        <v>1912</v>
      </c>
      <c r="D2549" s="6" t="s">
        <v>1184</v>
      </c>
      <c r="E2549" s="6" t="s">
        <v>12</v>
      </c>
      <c r="F2549" s="6" t="s">
        <v>13</v>
      </c>
      <c r="G2549" s="6" t="s">
        <v>21</v>
      </c>
      <c r="H2549" s="8" t="s">
        <v>3612</v>
      </c>
      <c r="I2549" s="9">
        <v>89925.0</v>
      </c>
      <c r="J2549" s="5" t="str">
        <f t="shared" ref="J2549:K2549" si="2549">SUBSTITUTE(H2549, ",", "")</f>
        <v>1</v>
      </c>
      <c r="K2549" s="5" t="str">
        <f t="shared" si="2549"/>
        <v>Rp89925</v>
      </c>
      <c r="L2549" s="5" t="str">
        <f t="shared" si="3"/>
        <v>89925</v>
      </c>
    </row>
    <row r="2550">
      <c r="A2550" s="6" t="s">
        <v>3795</v>
      </c>
      <c r="B2550" s="7" t="str">
        <f>HYPERLINK("https://shopee.co.id/Everwhite-Peptide-Anti-Aging-Serum-15ml-i.825870.3965778873", "https://shopee.co.id/Everwhite-Peptide-Anti-Aging-Serum-15ml-i.825870.3965778873")</f>
        <v>https://shopee.co.id/Everwhite-Peptide-Anti-Aging-Serum-15ml-i.825870.3965778873</v>
      </c>
      <c r="C2550" s="6" t="s">
        <v>157</v>
      </c>
      <c r="D2550" s="6" t="s">
        <v>1184</v>
      </c>
      <c r="E2550" s="6" t="s">
        <v>12</v>
      </c>
      <c r="F2550" s="6" t="s">
        <v>13</v>
      </c>
      <c r="G2550" s="6" t="s">
        <v>21</v>
      </c>
      <c r="H2550" s="8" t="s">
        <v>3612</v>
      </c>
      <c r="I2550" s="9">
        <v>56175.0</v>
      </c>
      <c r="J2550" s="5" t="str">
        <f t="shared" ref="J2550:K2550" si="2550">SUBSTITUTE(H2550, ",", "")</f>
        <v>1</v>
      </c>
      <c r="K2550" s="5" t="str">
        <f t="shared" si="2550"/>
        <v>Rp56175</v>
      </c>
      <c r="L2550" s="5" t="str">
        <f t="shared" si="3"/>
        <v>56175</v>
      </c>
    </row>
    <row r="2551">
      <c r="A2551" s="6" t="s">
        <v>3796</v>
      </c>
      <c r="B2551" s="7" t="str">
        <f>HYPERLINK("https://shopee.co.id/DEAR-ME-BEAUTY-Single-Active-Face-Serum-5-Inoceramide-Ceramide-Pomegranate-Extract-i.68111.10705222112", "https://shopee.co.id/DEAR-ME-BEAUTY-Single-Active-Face-Serum-5-Inoceramide-Ceramide-Pomegranate-Extract-i.68111.10705222112")</f>
        <v>https://shopee.co.id/DEAR-ME-BEAUTY-Single-Active-Face-Serum-5-Inoceramide-Ceramide-Pomegranate-Extract-i.68111.10705222112</v>
      </c>
      <c r="C2551" s="6" t="s">
        <v>70</v>
      </c>
      <c r="D2551" s="6" t="s">
        <v>441</v>
      </c>
      <c r="E2551" s="6" t="s">
        <v>12</v>
      </c>
      <c r="F2551" s="6" t="s">
        <v>13</v>
      </c>
      <c r="G2551" s="6" t="s">
        <v>130</v>
      </c>
      <c r="H2551" s="8" t="s">
        <v>3612</v>
      </c>
      <c r="I2551" s="9">
        <v>58400.0</v>
      </c>
      <c r="J2551" s="5" t="str">
        <f t="shared" ref="J2551:K2551" si="2551">SUBSTITUTE(H2551, ",", "")</f>
        <v>1</v>
      </c>
      <c r="K2551" s="5" t="str">
        <f t="shared" si="2551"/>
        <v>Rp58400</v>
      </c>
      <c r="L2551" s="5" t="str">
        <f t="shared" si="3"/>
        <v>58400</v>
      </c>
    </row>
    <row r="2552">
      <c r="A2552" s="6" t="s">
        <v>3797</v>
      </c>
      <c r="B2552" s="7" t="str">
        <f>HYPERLINK("https://shopee.co.id/Beautybarme-Jarkeen-All-Product-Bpom-i.28781862.1120344961", "https://shopee.co.id/Beautybarme-Jarkeen-All-Product-Bpom-i.28781862.1120344961")</f>
        <v>https://shopee.co.id/Beautybarme-Jarkeen-All-Product-Bpom-i.28781862.1120344961</v>
      </c>
      <c r="C2552" s="6" t="s">
        <v>3798</v>
      </c>
      <c r="D2552" s="6" t="s">
        <v>1189</v>
      </c>
      <c r="E2552" s="6" t="s">
        <v>12</v>
      </c>
      <c r="F2552" s="6" t="s">
        <v>13</v>
      </c>
      <c r="G2552" s="6" t="s">
        <v>1190</v>
      </c>
      <c r="H2552" s="8" t="s">
        <v>3612</v>
      </c>
      <c r="I2552" s="9">
        <v>71000.0</v>
      </c>
      <c r="J2552" s="5" t="str">
        <f t="shared" ref="J2552:K2552" si="2552">SUBSTITUTE(H2552, ",", "")</f>
        <v>1</v>
      </c>
      <c r="K2552" s="5" t="str">
        <f t="shared" si="2552"/>
        <v>Rp71000</v>
      </c>
      <c r="L2552" s="5" t="str">
        <f t="shared" si="3"/>
        <v>71000</v>
      </c>
    </row>
    <row r="2553">
      <c r="A2553" s="6" t="s">
        <v>3799</v>
      </c>
      <c r="B2553" s="7" t="str">
        <f>HYPERLINK("https://shopee.co.id/Avoskin-Hydrating-Treatment-Essence-100ml-i.50948181.4354648487", "https://shopee.co.id/Avoskin-Hydrating-Treatment-Essence-100ml-i.50948181.4354648487")</f>
        <v>https://shopee.co.id/Avoskin-Hydrating-Treatment-Essence-100ml-i.50948181.4354648487</v>
      </c>
      <c r="C2553" s="6" t="s">
        <v>83</v>
      </c>
      <c r="D2553" s="6" t="s">
        <v>1129</v>
      </c>
      <c r="E2553" s="6" t="s">
        <v>12</v>
      </c>
      <c r="F2553" s="6" t="s">
        <v>13</v>
      </c>
      <c r="G2553" s="6" t="s">
        <v>1130</v>
      </c>
      <c r="H2553" s="8" t="s">
        <v>3612</v>
      </c>
      <c r="I2553" s="9">
        <v>319000.0</v>
      </c>
      <c r="J2553" s="5" t="str">
        <f t="shared" ref="J2553:K2553" si="2553">SUBSTITUTE(H2553, ",", "")</f>
        <v>1</v>
      </c>
      <c r="K2553" s="5" t="str">
        <f t="shared" si="2553"/>
        <v>Rp319000</v>
      </c>
      <c r="L2553" s="5" t="str">
        <f t="shared" si="3"/>
        <v>319000</v>
      </c>
    </row>
    <row r="2554">
      <c r="A2554" s="6" t="s">
        <v>3800</v>
      </c>
      <c r="B2554" s="7" t="str">
        <f>HYPERLINK("https://shopee.co.id/MSBB-Beaunature-Matcha-Yuzu-Essence-Water-i.288588702.6696052242", "https://shopee.co.id/MSBB-Beaunature-Matcha-Yuzu-Essence-Water-i.288588702.6696052242")</f>
        <v>https://shopee.co.id/MSBB-Beaunature-Matcha-Yuzu-Essence-Water-i.288588702.6696052242</v>
      </c>
      <c r="C2554" s="6" t="s">
        <v>2510</v>
      </c>
      <c r="D2554" s="6" t="s">
        <v>79</v>
      </c>
      <c r="E2554" s="6" t="s">
        <v>12</v>
      </c>
      <c r="F2554" s="6" t="s">
        <v>13</v>
      </c>
      <c r="G2554" s="6" t="s">
        <v>80</v>
      </c>
      <c r="H2554" s="8" t="s">
        <v>3612</v>
      </c>
      <c r="I2554" s="9">
        <v>209000.0</v>
      </c>
      <c r="J2554" s="5" t="str">
        <f t="shared" ref="J2554:K2554" si="2554">SUBSTITUTE(H2554, ",", "")</f>
        <v>1</v>
      </c>
      <c r="K2554" s="5" t="str">
        <f t="shared" si="2554"/>
        <v>Rp209000</v>
      </c>
      <c r="L2554" s="5" t="str">
        <f t="shared" si="3"/>
        <v>209000</v>
      </c>
    </row>
    <row r="2555">
      <c r="A2555" s="6" t="s">
        <v>3801</v>
      </c>
      <c r="B2555" s="7" t="str">
        <f>HYPERLINK("https://shopee.co.id/Raiku-Age-Defense-Serum-30ml--i.82041605.9053360169", "https://shopee.co.id/Raiku-Age-Defense-Serum-30ml--i.82041605.9053360169")</f>
        <v>https://shopee.co.id/Raiku-Age-Defense-Serum-30ml--i.82041605.9053360169</v>
      </c>
      <c r="C2555" s="6" t="s">
        <v>2281</v>
      </c>
      <c r="D2555" s="6" t="s">
        <v>2282</v>
      </c>
      <c r="E2555" s="6" t="s">
        <v>12</v>
      </c>
      <c r="F2555" s="6" t="s">
        <v>13</v>
      </c>
      <c r="G2555" s="6" t="s">
        <v>21</v>
      </c>
      <c r="H2555" s="8" t="s">
        <v>3612</v>
      </c>
      <c r="I2555" s="9">
        <v>143100.0</v>
      </c>
      <c r="J2555" s="5" t="str">
        <f t="shared" ref="J2555:K2555" si="2555">SUBSTITUTE(H2555, ",", "")</f>
        <v>1</v>
      </c>
      <c r="K2555" s="5" t="str">
        <f t="shared" si="2555"/>
        <v>Rp143100</v>
      </c>
      <c r="L2555" s="5" t="str">
        <f t="shared" si="3"/>
        <v>143100</v>
      </c>
    </row>
    <row r="2556">
      <c r="A2556" s="6" t="s">
        <v>3802</v>
      </c>
      <c r="B2556" s="7" t="str">
        <f>HYPERLINK("https://shopee.co.id/AFK-Beauty-Skincare-Attractive-Glowing-Teens-Serum-i.240725692.5941593410", "https://shopee.co.id/AFK-Beauty-Skincare-Attractive-Glowing-Teens-Serum-i.240725692.5941593410")</f>
        <v>https://shopee.co.id/AFK-Beauty-Skincare-Attractive-Glowing-Teens-Serum-i.240725692.5941593410</v>
      </c>
      <c r="C2556" s="6" t="s">
        <v>3769</v>
      </c>
      <c r="D2556" s="6" t="s">
        <v>3770</v>
      </c>
      <c r="E2556" s="6" t="s">
        <v>12</v>
      </c>
      <c r="F2556" s="6" t="s">
        <v>13</v>
      </c>
      <c r="G2556" s="6" t="s">
        <v>98</v>
      </c>
      <c r="H2556" s="8" t="s">
        <v>3612</v>
      </c>
      <c r="I2556" s="9">
        <v>374400.0</v>
      </c>
      <c r="J2556" s="5" t="str">
        <f t="shared" ref="J2556:K2556" si="2556">SUBSTITUTE(H2556, ",", "")</f>
        <v>1</v>
      </c>
      <c r="K2556" s="5" t="str">
        <f t="shared" si="2556"/>
        <v>Rp374400</v>
      </c>
      <c r="L2556" s="5" t="str">
        <f t="shared" si="3"/>
        <v>374400</v>
      </c>
    </row>
    <row r="2557">
      <c r="A2557" s="6" t="s">
        <v>3803</v>
      </c>
      <c r="B2557" s="7" t="str">
        <f>HYPERLINK("https://shopee.co.id/BRASOV-Serum-Mencerahkan-Kulit-Wajah-30ML-Le-Docteur-Whitening-Vitamin-C-Face-Serum-BPOM-Halal-XX-CT-i.168925122.9927453020", "https://shopee.co.id/BRASOV-Serum-Mencerahkan-Kulit-Wajah-30ML-Le-Docteur-Whitening-Vitamin-C-Face-Serum-BPOM-Halal-XX-CT-i.168925122.9927453020")</f>
        <v>https://shopee.co.id/BRASOV-Serum-Mencerahkan-Kulit-Wajah-30ML-Le-Docteur-Whitening-Vitamin-C-Face-Serum-BPOM-Halal-XX-CT-i.168925122.9927453020</v>
      </c>
      <c r="C2557" s="6" t="s">
        <v>3278</v>
      </c>
      <c r="D2557" s="6" t="s">
        <v>3279</v>
      </c>
      <c r="E2557" s="6" t="s">
        <v>12</v>
      </c>
      <c r="F2557" s="6" t="s">
        <v>13</v>
      </c>
      <c r="G2557" s="6" t="s">
        <v>21</v>
      </c>
      <c r="H2557" s="8" t="s">
        <v>3612</v>
      </c>
      <c r="I2557" s="9">
        <v>79000.0</v>
      </c>
      <c r="J2557" s="5" t="str">
        <f t="shared" ref="J2557:K2557" si="2557">SUBSTITUTE(H2557, ",", "")</f>
        <v>1</v>
      </c>
      <c r="K2557" s="5" t="str">
        <f t="shared" si="2557"/>
        <v>Rp79000</v>
      </c>
      <c r="L2557" s="5" t="str">
        <f t="shared" si="3"/>
        <v>79000</v>
      </c>
    </row>
    <row r="2558">
      <c r="A2558" s="6" t="s">
        <v>3804</v>
      </c>
      <c r="B2558" s="7" t="str">
        <f>HYPERLINK("https://shopee.co.id/Serum-Kinsglow-Brighthening-Darkspot-i.358122895.3876638970", "https://shopee.co.id/Serum-Kinsglow-Brighthening-Darkspot-i.358122895.3876638970")</f>
        <v>https://shopee.co.id/Serum-Kinsglow-Brighthening-Darkspot-i.358122895.3876638970</v>
      </c>
      <c r="C2558" s="6" t="s">
        <v>3805</v>
      </c>
      <c r="D2558" s="6" t="s">
        <v>3806</v>
      </c>
      <c r="E2558" s="6" t="s">
        <v>12</v>
      </c>
      <c r="F2558" s="6" t="s">
        <v>13</v>
      </c>
      <c r="G2558" s="6" t="s">
        <v>85</v>
      </c>
      <c r="H2558" s="8" t="s">
        <v>3612</v>
      </c>
      <c r="I2558" s="9">
        <v>99400.0</v>
      </c>
      <c r="J2558" s="5" t="str">
        <f t="shared" ref="J2558:K2558" si="2558">SUBSTITUTE(H2558, ",", "")</f>
        <v>1</v>
      </c>
      <c r="K2558" s="5" t="str">
        <f t="shared" si="2558"/>
        <v>Rp99400</v>
      </c>
      <c r="L2558" s="5" t="str">
        <f t="shared" si="3"/>
        <v>99400</v>
      </c>
    </row>
    <row r="2559">
      <c r="A2559" s="6" t="s">
        <v>3807</v>
      </c>
      <c r="B2559" s="7" t="str">
        <f>HYPERLINK("https://shopee.co.id/Bio-Essence-Bio-Water-Energizing-Water-100ml-i.30736001.7687503092", "https://shopee.co.id/Bio-Essence-Bio-Water-Energizing-Water-100ml-i.30736001.7687503092")</f>
        <v>https://shopee.co.id/Bio-Essence-Bio-Water-Energizing-Water-100ml-i.30736001.7687503092</v>
      </c>
      <c r="C2559" s="6" t="s">
        <v>1254</v>
      </c>
      <c r="D2559" s="6" t="s">
        <v>335</v>
      </c>
      <c r="E2559" s="6" t="s">
        <v>12</v>
      </c>
      <c r="F2559" s="6" t="s">
        <v>13</v>
      </c>
      <c r="G2559" s="6" t="s">
        <v>36</v>
      </c>
      <c r="H2559" s="8" t="s">
        <v>3612</v>
      </c>
      <c r="I2559" s="9">
        <v>201480.0</v>
      </c>
      <c r="J2559" s="5" t="str">
        <f t="shared" ref="J2559:K2559" si="2559">SUBSTITUTE(H2559, ",", "")</f>
        <v>1</v>
      </c>
      <c r="K2559" s="5" t="str">
        <f t="shared" si="2559"/>
        <v>Rp201480</v>
      </c>
      <c r="L2559" s="5" t="str">
        <f t="shared" si="3"/>
        <v>201480</v>
      </c>
    </row>
    <row r="2560">
      <c r="A2560" s="6" t="s">
        <v>3808</v>
      </c>
      <c r="B2560" s="7" t="str">
        <f>HYPERLINK("https://shopee.co.id/Yoqueen-Beauty-Sunscreen-15gr-dan-Essence-Lotion-60ml-BUNDLE--i.48380572.11316494663", "https://shopee.co.id/Yoqueen-Beauty-Sunscreen-15gr-dan-Essence-Lotion-60ml-BUNDLE--i.48380572.11316494663")</f>
        <v>https://shopee.co.id/Yoqueen-Beauty-Sunscreen-15gr-dan-Essence-Lotion-60ml-BUNDLE--i.48380572.11316494663</v>
      </c>
      <c r="C2560" s="6" t="s">
        <v>3103</v>
      </c>
      <c r="D2560" s="6" t="s">
        <v>2119</v>
      </c>
      <c r="E2560" s="6" t="s">
        <v>12</v>
      </c>
      <c r="F2560" s="6" t="s">
        <v>13</v>
      </c>
      <c r="G2560" s="6" t="s">
        <v>2120</v>
      </c>
      <c r="H2560" s="8" t="s">
        <v>3612</v>
      </c>
      <c r="I2560" s="9">
        <v>98000.0</v>
      </c>
      <c r="J2560" s="5" t="str">
        <f t="shared" ref="J2560:K2560" si="2560">SUBSTITUTE(H2560, ",", "")</f>
        <v>1</v>
      </c>
      <c r="K2560" s="5" t="str">
        <f t="shared" si="2560"/>
        <v>Rp98000</v>
      </c>
      <c r="L2560" s="5" t="str">
        <f t="shared" si="3"/>
        <v>98000</v>
      </c>
    </row>
    <row r="2561">
      <c r="A2561" s="6" t="s">
        <v>3809</v>
      </c>
      <c r="B2561" s="7" t="str">
        <f>HYPERLINK("https://shopee.co.id/Nivea-MakeUp-Starter-Serum-Spf33-30ml-i.30736001.1043897220", "https://shopee.co.id/Nivea-MakeUp-Starter-Serum-Spf33-30ml-i.30736001.1043897220")</f>
        <v>https://shopee.co.id/Nivea-MakeUp-Starter-Serum-Spf33-30ml-i.30736001.1043897220</v>
      </c>
      <c r="C2561" s="6" t="s">
        <v>1571</v>
      </c>
      <c r="D2561" s="6" t="s">
        <v>335</v>
      </c>
      <c r="E2561" s="6" t="s">
        <v>12</v>
      </c>
      <c r="F2561" s="6" t="s">
        <v>13</v>
      </c>
      <c r="G2561" s="6" t="s">
        <v>36</v>
      </c>
      <c r="H2561" s="8" t="s">
        <v>3612</v>
      </c>
      <c r="I2561" s="9">
        <v>115500.0</v>
      </c>
      <c r="J2561" s="5" t="str">
        <f t="shared" ref="J2561:K2561" si="2561">SUBSTITUTE(H2561, ",", "")</f>
        <v>1</v>
      </c>
      <c r="K2561" s="5" t="str">
        <f t="shared" si="2561"/>
        <v>Rp115500</v>
      </c>
      <c r="L2561" s="5" t="str">
        <f t="shared" si="3"/>
        <v>115500</v>
      </c>
    </row>
    <row r="2562">
      <c r="A2562" s="6" t="s">
        <v>3810</v>
      </c>
      <c r="B2562" s="7" t="str">
        <f>HYPERLINK("https://shopee.co.id/Bio-Essence-24K-Bio-Gold-Day-Cream-40g-i.10689.6513678920", "https://shopee.co.id/Bio-Essence-24K-Bio-Gold-Day-Cream-40g-i.10689.6513678920")</f>
        <v>https://shopee.co.id/Bio-Essence-24K-Bio-Gold-Day-Cream-40g-i.10689.6513678920</v>
      </c>
      <c r="C2562" s="6" t="s">
        <v>834</v>
      </c>
      <c r="D2562" s="6" t="s">
        <v>745</v>
      </c>
      <c r="E2562" s="6" t="s">
        <v>12</v>
      </c>
      <c r="F2562" s="6" t="s">
        <v>13</v>
      </c>
      <c r="G2562" s="6" t="s">
        <v>61</v>
      </c>
      <c r="H2562" s="8" t="s">
        <v>3612</v>
      </c>
      <c r="I2562" s="9">
        <v>119000.0</v>
      </c>
      <c r="J2562" s="5" t="str">
        <f t="shared" ref="J2562:K2562" si="2562">SUBSTITUTE(H2562, ",", "")</f>
        <v>1</v>
      </c>
      <c r="K2562" s="5" t="str">
        <f t="shared" si="2562"/>
        <v>Rp119000</v>
      </c>
      <c r="L2562" s="5" t="str">
        <f t="shared" si="3"/>
        <v>119000</v>
      </c>
    </row>
    <row r="2563">
      <c r="A2563" s="6" t="s">
        <v>3811</v>
      </c>
      <c r="B2563" s="7" t="str">
        <f>HYPERLINK("https://shopee.co.id/DeBiuryn-Sense-Hydra-Oxy-Serum-10ml-i.231437504.9865840860", "https://shopee.co.id/DeBiuryn-Sense-Hydra-Oxy-Serum-10ml-i.231437504.9865840860")</f>
        <v>https://shopee.co.id/DeBiuryn-Sense-Hydra-Oxy-Serum-10ml-i.231437504.9865840860</v>
      </c>
      <c r="C2563" s="6" t="s">
        <v>3484</v>
      </c>
      <c r="D2563" s="6" t="s">
        <v>3485</v>
      </c>
      <c r="E2563" s="6" t="s">
        <v>12</v>
      </c>
      <c r="F2563" s="6" t="s">
        <v>13</v>
      </c>
      <c r="G2563" s="6" t="s">
        <v>1480</v>
      </c>
      <c r="H2563" s="8" t="s">
        <v>3612</v>
      </c>
      <c r="I2563" s="9">
        <v>107100.0</v>
      </c>
      <c r="J2563" s="5" t="str">
        <f t="shared" ref="J2563:K2563" si="2563">SUBSTITUTE(H2563, ",", "")</f>
        <v>1</v>
      </c>
      <c r="K2563" s="5" t="str">
        <f t="shared" si="2563"/>
        <v>Rp107100</v>
      </c>
      <c r="L2563" s="5" t="str">
        <f t="shared" si="3"/>
        <v>107100</v>
      </c>
    </row>
    <row r="2564">
      <c r="A2564" s="6" t="s">
        <v>3812</v>
      </c>
      <c r="B2564" s="7" t="str">
        <f>HYPERLINK("https://shopee.co.id/Aish-Acne-Serum-Perawatan-Wajah-Berjerawat-Mengatasi-Timbulnya-Jerawat-Beserta-Bekasnya-Original-Tanpa-Efek-Samping-Korean-Skincare-Viral-i.270327756.13008654960", "https://shopee.co.id/Aish-Acne-Serum-Perawatan-Wajah-Berjerawat-Mengatasi-Timbulnya-Jerawat-Beserta-Bekasnya-Original-Tanpa-Efek-Samping-Korean-Skincare-Viral-i.270327756.13008654960")</f>
        <v>https://shopee.co.id/Aish-Acne-Serum-Perawatan-Wajah-Berjerawat-Mengatasi-Timbulnya-Jerawat-Beserta-Bekasnya-Original-Tanpa-Efek-Samping-Korean-Skincare-Viral-i.270327756.13008654960</v>
      </c>
      <c r="C2564" s="6" t="s">
        <v>348</v>
      </c>
      <c r="D2564" s="6" t="s">
        <v>3813</v>
      </c>
      <c r="E2564" s="6" t="s">
        <v>12</v>
      </c>
      <c r="F2564" s="6" t="s">
        <v>13</v>
      </c>
      <c r="G2564" s="6" t="s">
        <v>350</v>
      </c>
      <c r="H2564" s="8" t="s">
        <v>3612</v>
      </c>
      <c r="I2564" s="9">
        <v>1750000.0</v>
      </c>
      <c r="J2564" s="5" t="str">
        <f t="shared" ref="J2564:K2564" si="2564">SUBSTITUTE(H2564, ",", "")</f>
        <v>1</v>
      </c>
      <c r="K2564" s="5" t="str">
        <f t="shared" si="2564"/>
        <v>Rp1750000</v>
      </c>
      <c r="L2564" s="5" t="str">
        <f t="shared" si="3"/>
        <v>1750000</v>
      </c>
    </row>
    <row r="2565">
      <c r="A2565" s="6" t="s">
        <v>3814</v>
      </c>
      <c r="B2565" s="7" t="str">
        <f>HYPERLINK("https://shopee.co.id/Aish-Serum-Brightening-15-ML-Serum-Mencerahkan-Wajah-Serum-Penghilang-Kulit-Kusam-Secara-Ampuh-100-Original-i.301699781.11950159672", "https://shopee.co.id/Aish-Serum-Brightening-15-ML-Serum-Mencerahkan-Wajah-Serum-Penghilang-Kulit-Kusam-Secara-Ampuh-100-Original-i.301699781.11950159672")</f>
        <v>https://shopee.co.id/Aish-Serum-Brightening-15-ML-Serum-Mencerahkan-Wajah-Serum-Penghilang-Kulit-Kusam-Secara-Ampuh-100-Original-i.301699781.11950159672</v>
      </c>
      <c r="C2565" s="6" t="s">
        <v>348</v>
      </c>
      <c r="D2565" s="6" t="s">
        <v>2954</v>
      </c>
      <c r="E2565" s="6" t="s">
        <v>12</v>
      </c>
      <c r="F2565" s="6" t="s">
        <v>13</v>
      </c>
      <c r="G2565" s="6" t="s">
        <v>115</v>
      </c>
      <c r="H2565" s="8" t="s">
        <v>3612</v>
      </c>
      <c r="I2565" s="9">
        <v>2650000.0</v>
      </c>
      <c r="J2565" s="5" t="str">
        <f t="shared" ref="J2565:K2565" si="2565">SUBSTITUTE(H2565, ",", "")</f>
        <v>1</v>
      </c>
      <c r="K2565" s="5" t="str">
        <f t="shared" si="2565"/>
        <v>Rp2650000</v>
      </c>
      <c r="L2565" s="5" t="str">
        <f t="shared" si="3"/>
        <v>2650000</v>
      </c>
    </row>
    <row r="2566">
      <c r="A2566" s="6" t="s">
        <v>3815</v>
      </c>
      <c r="B2566" s="7" t="str">
        <f>HYPERLINK("https://shopee.co.id/Jarte-Cica-Care-Ampoule-20ml-i.136011044.9213659715", "https://shopee.co.id/Jarte-Cica-Care-Ampoule-20ml-i.136011044.9213659715")</f>
        <v>https://shopee.co.id/Jarte-Cica-Care-Ampoule-20ml-i.136011044.9213659715</v>
      </c>
      <c r="C2566" s="6" t="s">
        <v>3816</v>
      </c>
      <c r="D2566" s="6" t="s">
        <v>632</v>
      </c>
      <c r="E2566" s="6" t="s">
        <v>12</v>
      </c>
      <c r="F2566" s="6" t="s">
        <v>13</v>
      </c>
      <c r="G2566" s="6" t="s">
        <v>21</v>
      </c>
      <c r="H2566" s="8" t="s">
        <v>3612</v>
      </c>
      <c r="I2566" s="9">
        <v>665000.0</v>
      </c>
      <c r="J2566" s="5" t="str">
        <f t="shared" ref="J2566:K2566" si="2566">SUBSTITUTE(H2566, ",", "")</f>
        <v>1</v>
      </c>
      <c r="K2566" s="5" t="str">
        <f t="shared" si="2566"/>
        <v>Rp665000</v>
      </c>
      <c r="L2566" s="5" t="str">
        <f t="shared" si="3"/>
        <v>665000</v>
      </c>
    </row>
    <row r="2567">
      <c r="A2567" s="6" t="s">
        <v>3817</v>
      </c>
      <c r="B2567" s="7" t="str">
        <f>HYPERLINK("https://shopee.co.id/KKV-Everwhite-Brightening-Essence-Serum-15g-Beauty-i.313431312.4693656655", "https://shopee.co.id/KKV-Everwhite-Brightening-Essence-Serum-15g-Beauty-i.313431312.4693656655")</f>
        <v>https://shopee.co.id/KKV-Everwhite-Brightening-Essence-Serum-15g-Beauty-i.313431312.4693656655</v>
      </c>
      <c r="C2567" s="6" t="s">
        <v>157</v>
      </c>
      <c r="D2567" s="6" t="s">
        <v>1524</v>
      </c>
      <c r="E2567" s="6" t="s">
        <v>12</v>
      </c>
      <c r="F2567" s="6" t="s">
        <v>13</v>
      </c>
      <c r="G2567" s="6" t="s">
        <v>21</v>
      </c>
      <c r="H2567" s="8" t="s">
        <v>3612</v>
      </c>
      <c r="I2567" s="9">
        <v>129000.0</v>
      </c>
      <c r="J2567" s="5" t="str">
        <f t="shared" ref="J2567:K2567" si="2567">SUBSTITUTE(H2567, ",", "")</f>
        <v>1</v>
      </c>
      <c r="K2567" s="5" t="str">
        <f t="shared" si="2567"/>
        <v>Rp129000</v>
      </c>
      <c r="L2567" s="5" t="str">
        <f t="shared" si="3"/>
        <v>129000</v>
      </c>
    </row>
    <row r="2568">
      <c r="A2568" s="6" t="s">
        <v>3818</v>
      </c>
      <c r="B2568" s="7" t="str">
        <f>HYPERLINK("https://shopee.co.id/MEDGLOW-CLINIC-Coldpress-Teatree-Oil-Serum-Aesthetic-Skincare-Anti-Jerawat-Acne-Komedo-Sebum-BPOM-i.285885972.5351894093", "https://shopee.co.id/MEDGLOW-CLINIC-Coldpress-Teatree-Oil-Serum-Aesthetic-Skincare-Anti-Jerawat-Acne-Komedo-Sebum-BPOM-i.285885972.5351894093")</f>
        <v>https://shopee.co.id/MEDGLOW-CLINIC-Coldpress-Teatree-Oil-Serum-Aesthetic-Skincare-Anti-Jerawat-Acne-Komedo-Sebum-BPOM-i.285885972.5351894093</v>
      </c>
      <c r="C2568" s="6" t="s">
        <v>949</v>
      </c>
      <c r="D2568" s="6" t="s">
        <v>950</v>
      </c>
      <c r="E2568" s="6" t="s">
        <v>12</v>
      </c>
      <c r="F2568" s="6" t="s">
        <v>13</v>
      </c>
      <c r="G2568" s="6" t="s">
        <v>380</v>
      </c>
      <c r="H2568" s="8" t="s">
        <v>3612</v>
      </c>
      <c r="I2568" s="9">
        <v>199000.0</v>
      </c>
      <c r="J2568" s="5" t="str">
        <f t="shared" ref="J2568:K2568" si="2568">SUBSTITUTE(H2568, ",", "")</f>
        <v>1</v>
      </c>
      <c r="K2568" s="5" t="str">
        <f t="shared" si="2568"/>
        <v>Rp199000</v>
      </c>
      <c r="L2568" s="5" t="str">
        <f t="shared" si="3"/>
        <v>199000</v>
      </c>
    </row>
    <row r="2569">
      <c r="A2569" s="6" t="s">
        <v>3819</v>
      </c>
      <c r="B2569" s="7" t="str">
        <f>HYPERLINK("https://shopee.co.id/ISOI-Blemish-Care-Serum-II-1ml-i.240712269.7779244068", "https://shopee.co.id/ISOI-Blemish-Care-Serum-II-1ml-i.240712269.7779244068")</f>
        <v>https://shopee.co.id/ISOI-Blemish-Care-Serum-II-1ml-i.240712269.7779244068</v>
      </c>
      <c r="C2569" s="6" t="s">
        <v>3499</v>
      </c>
      <c r="D2569" s="6" t="s">
        <v>762</v>
      </c>
      <c r="E2569" s="6" t="s">
        <v>12</v>
      </c>
      <c r="F2569" s="6" t="s">
        <v>13</v>
      </c>
      <c r="G2569" s="6" t="s">
        <v>98</v>
      </c>
      <c r="H2569" s="8" t="s">
        <v>3612</v>
      </c>
      <c r="I2569" s="9">
        <v>119000.0</v>
      </c>
      <c r="J2569" s="5" t="str">
        <f t="shared" ref="J2569:K2569" si="2569">SUBSTITUTE(H2569, ",", "")</f>
        <v>1</v>
      </c>
      <c r="K2569" s="5" t="str">
        <f t="shared" si="2569"/>
        <v>Rp119000</v>
      </c>
      <c r="L2569" s="5" t="str">
        <f t="shared" si="3"/>
        <v>119000</v>
      </c>
    </row>
    <row r="2570">
      <c r="A2570" s="6" t="s">
        <v>3820</v>
      </c>
      <c r="B2570" s="7" t="str">
        <f>HYPERLINK("https://shopee.co.id/Azarine-Miraclear-Herbal-Peeling-Serum-20ml-i.825870.4547679609", "https://shopee.co.id/Azarine-Miraclear-Herbal-Peeling-Serum-20ml-i.825870.4547679609")</f>
        <v>https://shopee.co.id/Azarine-Miraclear-Herbal-Peeling-Serum-20ml-i.825870.4547679609</v>
      </c>
      <c r="C2570" s="6" t="s">
        <v>233</v>
      </c>
      <c r="D2570" s="6" t="s">
        <v>1184</v>
      </c>
      <c r="E2570" s="6" t="s">
        <v>12</v>
      </c>
      <c r="F2570" s="6" t="s">
        <v>13</v>
      </c>
      <c r="G2570" s="6" t="s">
        <v>21</v>
      </c>
      <c r="H2570" s="8" t="s">
        <v>3612</v>
      </c>
      <c r="I2570" s="9">
        <v>39900.0</v>
      </c>
      <c r="J2570" s="5" t="str">
        <f t="shared" ref="J2570:K2570" si="2570">SUBSTITUTE(H2570, ",", "")</f>
        <v>1</v>
      </c>
      <c r="K2570" s="5" t="str">
        <f t="shared" si="2570"/>
        <v>Rp39900</v>
      </c>
      <c r="L2570" s="5" t="str">
        <f t="shared" si="3"/>
        <v>39900</v>
      </c>
    </row>
    <row r="2571">
      <c r="A2571" s="6" t="s">
        <v>3821</v>
      </c>
      <c r="B2571" s="7" t="str">
        <f>HYPERLINK("https://shopee.co.id/ROJUKISS-Jeju-Lotus-Pinkish-Bright-Serum-8ml-i.270965687.9773016965", "https://shopee.co.id/ROJUKISS-Jeju-Lotus-Pinkish-Bright-Serum-8ml-i.270965687.9773016965")</f>
        <v>https://shopee.co.id/ROJUKISS-Jeju-Lotus-Pinkish-Bright-Serum-8ml-i.270965687.9773016965</v>
      </c>
      <c r="C2571" s="6" t="s">
        <v>1508</v>
      </c>
      <c r="D2571" s="6" t="s">
        <v>379</v>
      </c>
      <c r="E2571" s="6" t="s">
        <v>12</v>
      </c>
      <c r="F2571" s="6" t="s">
        <v>13</v>
      </c>
      <c r="G2571" s="6" t="s">
        <v>380</v>
      </c>
      <c r="H2571" s="8" t="s">
        <v>3612</v>
      </c>
      <c r="I2571" s="9">
        <v>59920.0</v>
      </c>
      <c r="J2571" s="5" t="str">
        <f t="shared" ref="J2571:K2571" si="2571">SUBSTITUTE(H2571, ",", "")</f>
        <v>1</v>
      </c>
      <c r="K2571" s="5" t="str">
        <f t="shared" si="2571"/>
        <v>Rp59920</v>
      </c>
      <c r="L2571" s="5" t="str">
        <f t="shared" si="3"/>
        <v>59920</v>
      </c>
    </row>
    <row r="2572">
      <c r="A2572" s="6" t="s">
        <v>3822</v>
      </c>
      <c r="B2572" s="7" t="str">
        <f>HYPERLINK("https://shopee.co.id/Whitening-SerumMellydia-Untuk-Wajah-Glowing-dan-Kinclong-i.66671865.1622349385", "https://shopee.co.id/Whitening-SerumMellydia-Untuk-Wajah-Glowing-dan-Kinclong-i.66671865.1622349385")</f>
        <v>https://shopee.co.id/Whitening-SerumMellydia-Untuk-Wajah-Glowing-dan-Kinclong-i.66671865.1622349385</v>
      </c>
      <c r="C2572" s="6" t="s">
        <v>2723</v>
      </c>
      <c r="D2572" s="6" t="s">
        <v>2724</v>
      </c>
      <c r="E2572" s="6" t="s">
        <v>12</v>
      </c>
      <c r="F2572" s="6" t="s">
        <v>13</v>
      </c>
      <c r="G2572" s="6" t="s">
        <v>115</v>
      </c>
      <c r="H2572" s="8" t="s">
        <v>3612</v>
      </c>
      <c r="I2572" s="9">
        <v>135571.0</v>
      </c>
      <c r="J2572" s="5" t="str">
        <f t="shared" ref="J2572:K2572" si="2572">SUBSTITUTE(H2572, ",", "")</f>
        <v>1</v>
      </c>
      <c r="K2572" s="5" t="str">
        <f t="shared" si="2572"/>
        <v>Rp135571</v>
      </c>
      <c r="L2572" s="5" t="str">
        <f t="shared" si="3"/>
        <v>135571</v>
      </c>
    </row>
    <row r="2573">
      <c r="A2573" s="6" t="s">
        <v>3823</v>
      </c>
      <c r="B2573" s="7" t="str">
        <f>HYPERLINK("https://shopee.co.id/Amaranthine-Ultimate-Intensive-White-Lightening-Serum-Q74044-i.199182536.7309544889", "https://shopee.co.id/Amaranthine-Ultimate-Intensive-White-Lightening-Serum-Q74044-i.199182536.7309544889")</f>
        <v>https://shopee.co.id/Amaranthine-Ultimate-Intensive-White-Lightening-Serum-Q74044-i.199182536.7309544889</v>
      </c>
      <c r="C2573" s="6" t="s">
        <v>3638</v>
      </c>
      <c r="D2573" s="6" t="s">
        <v>3639</v>
      </c>
      <c r="E2573" s="6" t="s">
        <v>12</v>
      </c>
      <c r="F2573" s="6" t="s">
        <v>13</v>
      </c>
      <c r="G2573" s="6" t="s">
        <v>1048</v>
      </c>
      <c r="H2573" s="8" t="s">
        <v>3612</v>
      </c>
      <c r="I2573" s="9">
        <v>350000.0</v>
      </c>
      <c r="J2573" s="5" t="str">
        <f t="shared" ref="J2573:K2573" si="2573">SUBSTITUTE(H2573, ",", "")</f>
        <v>1</v>
      </c>
      <c r="K2573" s="5" t="str">
        <f t="shared" si="2573"/>
        <v>Rp350000</v>
      </c>
      <c r="L2573" s="5" t="str">
        <f t="shared" si="3"/>
        <v>350000</v>
      </c>
    </row>
    <row r="2574">
      <c r="A2574" s="6" t="s">
        <v>3824</v>
      </c>
      <c r="B2574" s="7" t="str">
        <f>HYPERLINK("https://shopee.co.id/Nutrishe-Intensive-Bright-Glow-Serum-20ml-i.825870.13409320753", "https://shopee.co.id/Nutrishe-Intensive-Bright-Glow-Serum-20ml-i.825870.13409320753")</f>
        <v>https://shopee.co.id/Nutrishe-Intensive-Bright-Glow-Serum-20ml-i.825870.13409320753</v>
      </c>
      <c r="C2574" s="6" t="s">
        <v>195</v>
      </c>
      <c r="D2574" s="6" t="s">
        <v>1184</v>
      </c>
      <c r="E2574" s="6" t="s">
        <v>12</v>
      </c>
      <c r="F2574" s="6" t="s">
        <v>13</v>
      </c>
      <c r="G2574" s="6" t="s">
        <v>21</v>
      </c>
      <c r="H2574" s="8" t="s">
        <v>3612</v>
      </c>
      <c r="I2574" s="9">
        <v>313500.0</v>
      </c>
      <c r="J2574" s="5" t="str">
        <f t="shared" ref="J2574:K2574" si="2574">SUBSTITUTE(H2574, ",", "")</f>
        <v>1</v>
      </c>
      <c r="K2574" s="5" t="str">
        <f t="shared" si="2574"/>
        <v>Rp313500</v>
      </c>
      <c r="L2574" s="5" t="str">
        <f t="shared" si="3"/>
        <v>313500</v>
      </c>
    </row>
    <row r="2575">
      <c r="A2575" s="6" t="s">
        <v>3825</v>
      </c>
      <c r="B2575" s="7" t="str">
        <f>HYPERLINK("https://shopee.co.id/Jarkeen-Porecelain-Skin-Serum-i.79492424.7038210903", "https://shopee.co.id/Jarkeen-Porecelain-Skin-Serum-i.79492424.7038210903")</f>
        <v>https://shopee.co.id/Jarkeen-Porecelain-Skin-Serum-i.79492424.7038210903</v>
      </c>
      <c r="C2575" s="6" t="s">
        <v>738</v>
      </c>
      <c r="D2575" s="6" t="s">
        <v>3456</v>
      </c>
      <c r="E2575" s="6" t="s">
        <v>12</v>
      </c>
      <c r="F2575" s="6" t="s">
        <v>13</v>
      </c>
      <c r="G2575" s="6" t="s">
        <v>469</v>
      </c>
      <c r="H2575" s="8" t="s">
        <v>3612</v>
      </c>
      <c r="I2575" s="9">
        <v>143000.0</v>
      </c>
      <c r="J2575" s="5" t="str">
        <f t="shared" ref="J2575:K2575" si="2575">SUBSTITUTE(H2575, ",", "")</f>
        <v>1</v>
      </c>
      <c r="K2575" s="5" t="str">
        <f t="shared" si="2575"/>
        <v>Rp143000</v>
      </c>
      <c r="L2575" s="5" t="str">
        <f t="shared" si="3"/>
        <v>143000</v>
      </c>
    </row>
    <row r="2576">
      <c r="A2576" s="6" t="s">
        <v>3826</v>
      </c>
      <c r="B2576" s="7" t="str">
        <f>HYPERLINK("https://shopee.co.id/Somethinc-Niacinamide-Moisture-Beet-Serum-20ml-i.825870.7860538583", "https://shopee.co.id/Somethinc-Niacinamide-Moisture-Beet-Serum-20ml-i.825870.7860538583")</f>
        <v>https://shopee.co.id/Somethinc-Niacinamide-Moisture-Beet-Serum-20ml-i.825870.7860538583</v>
      </c>
      <c r="C2576" s="6" t="s">
        <v>45</v>
      </c>
      <c r="D2576" s="6" t="s">
        <v>1184</v>
      </c>
      <c r="E2576" s="6" t="s">
        <v>12</v>
      </c>
      <c r="F2576" s="6" t="s">
        <v>13</v>
      </c>
      <c r="G2576" s="6" t="s">
        <v>21</v>
      </c>
      <c r="H2576" s="8" t="s">
        <v>3612</v>
      </c>
      <c r="I2576" s="9">
        <v>113400.0</v>
      </c>
      <c r="J2576" s="5" t="str">
        <f t="shared" ref="J2576:K2576" si="2576">SUBSTITUTE(H2576, ",", "")</f>
        <v>1</v>
      </c>
      <c r="K2576" s="5" t="str">
        <f t="shared" si="2576"/>
        <v>Rp113400</v>
      </c>
      <c r="L2576" s="5" t="str">
        <f t="shared" si="3"/>
        <v>113400</v>
      </c>
    </row>
    <row r="2577">
      <c r="A2577" s="6" t="s">
        <v>3827</v>
      </c>
      <c r="B2577" s="7" t="str">
        <f>HYPERLINK("https://shopee.co.id/AKANO-Cosmetics-Serum-Anti-Acne-i.285742928.8845127834", "https://shopee.co.id/AKANO-Cosmetics-Serum-Anti-Acne-i.285742928.8845127834")</f>
        <v>https://shopee.co.id/AKANO-Cosmetics-Serum-Anti-Acne-i.285742928.8845127834</v>
      </c>
      <c r="C2577" s="6" t="s">
        <v>3828</v>
      </c>
      <c r="D2577" s="6" t="s">
        <v>3829</v>
      </c>
      <c r="E2577" s="6" t="s">
        <v>12</v>
      </c>
      <c r="F2577" s="6" t="s">
        <v>13</v>
      </c>
      <c r="G2577" s="6" t="s">
        <v>61</v>
      </c>
      <c r="H2577" s="8" t="s">
        <v>3612</v>
      </c>
      <c r="I2577" s="9">
        <v>468900.0</v>
      </c>
      <c r="J2577" s="5" t="str">
        <f t="shared" ref="J2577:K2577" si="2577">SUBSTITUTE(H2577, ",", "")</f>
        <v>1</v>
      </c>
      <c r="K2577" s="5" t="str">
        <f t="shared" si="2577"/>
        <v>Rp468900</v>
      </c>
      <c r="L2577" s="5" t="str">
        <f t="shared" si="3"/>
        <v>468900</v>
      </c>
    </row>
    <row r="2578">
      <c r="A2578" s="6" t="s">
        <v>3830</v>
      </c>
      <c r="B2578" s="7" t="str">
        <f>HYPERLINK("https://shopee.co.id/White-Esther-Special-Whitening-Serum-i.53887195.6739527299", "https://shopee.co.id/White-Esther-Special-Whitening-Serum-i.53887195.6739527299")</f>
        <v>https://shopee.co.id/White-Esther-Special-Whitening-Serum-i.53887195.6739527299</v>
      </c>
      <c r="C2578" s="6" t="s">
        <v>3831</v>
      </c>
      <c r="D2578" s="6" t="s">
        <v>1026</v>
      </c>
      <c r="E2578" s="6" t="s">
        <v>12</v>
      </c>
      <c r="F2578" s="6" t="s">
        <v>13</v>
      </c>
      <c r="G2578" s="6" t="s">
        <v>80</v>
      </c>
      <c r="H2578" s="8" t="s">
        <v>3612</v>
      </c>
      <c r="I2578" s="9">
        <v>247500.0</v>
      </c>
      <c r="J2578" s="5" t="str">
        <f t="shared" ref="J2578:K2578" si="2578">SUBSTITUTE(H2578, ",", "")</f>
        <v>1</v>
      </c>
      <c r="K2578" s="5" t="str">
        <f t="shared" si="2578"/>
        <v>Rp247500</v>
      </c>
      <c r="L2578" s="5" t="str">
        <f t="shared" si="3"/>
        <v>247500</v>
      </c>
    </row>
    <row r="2579">
      <c r="A2579" s="6" t="s">
        <v>3832</v>
      </c>
      <c r="B2579" s="7" t="str">
        <f>HYPERLINK("https://shopee.co.id/Kulit-Sehat-Bebas-Jerawat-Serum-Very-Berry-Acne-Serum-Hyalu-i.101578297.10922915010", "https://shopee.co.id/Kulit-Sehat-Bebas-Jerawat-Serum-Very-Berry-Acne-Serum-Hyalu-i.101578297.10922915010")</f>
        <v>https://shopee.co.id/Kulit-Sehat-Bebas-Jerawat-Serum-Very-Berry-Acne-Serum-Hyalu-i.101578297.10922915010</v>
      </c>
      <c r="C2579" s="6" t="s">
        <v>2430</v>
      </c>
      <c r="D2579" s="6" t="s">
        <v>2431</v>
      </c>
      <c r="E2579" s="6" t="s">
        <v>12</v>
      </c>
      <c r="F2579" s="6" t="s">
        <v>13</v>
      </c>
      <c r="G2579" s="6" t="s">
        <v>21</v>
      </c>
      <c r="H2579" s="8" t="s">
        <v>3612</v>
      </c>
      <c r="I2579" s="9">
        <v>212500.0</v>
      </c>
      <c r="J2579" s="5" t="str">
        <f t="shared" ref="J2579:K2579" si="2579">SUBSTITUTE(H2579, ",", "")</f>
        <v>1</v>
      </c>
      <c r="K2579" s="5" t="str">
        <f t="shared" si="2579"/>
        <v>Rp212500</v>
      </c>
      <c r="L2579" s="5" t="str">
        <f t="shared" si="3"/>
        <v>212500</v>
      </c>
    </row>
    <row r="2580">
      <c r="A2580" s="6" t="s">
        <v>3833</v>
      </c>
      <c r="B2580" s="7" t="str">
        <f>HYPERLINK("https://shopee.co.id/LUMIER-100-YUJA-EXTRACT-ADVANCED-SKIN-BOOSTER-i.231467354.9822854992", "https://shopee.co.id/LUMIER-100-YUJA-EXTRACT-ADVANCED-SKIN-BOOSTER-i.231467354.9822854992")</f>
        <v>https://shopee.co.id/LUMIER-100-YUJA-EXTRACT-ADVANCED-SKIN-BOOSTER-i.231467354.9822854992</v>
      </c>
      <c r="C2580" s="6" t="s">
        <v>2878</v>
      </c>
      <c r="D2580" s="6" t="s">
        <v>2879</v>
      </c>
      <c r="E2580" s="6" t="s">
        <v>12</v>
      </c>
      <c r="F2580" s="6" t="s">
        <v>13</v>
      </c>
      <c r="G2580" s="6" t="s">
        <v>532</v>
      </c>
      <c r="H2580" s="8" t="s">
        <v>3612</v>
      </c>
      <c r="I2580" s="9">
        <v>250000.0</v>
      </c>
      <c r="J2580" s="5" t="str">
        <f t="shared" ref="J2580:K2580" si="2580">SUBSTITUTE(H2580, ",", "")</f>
        <v>1</v>
      </c>
      <c r="K2580" s="5" t="str">
        <f t="shared" si="2580"/>
        <v>Rp250000</v>
      </c>
      <c r="L2580" s="5" t="str">
        <f t="shared" si="3"/>
        <v>250000</v>
      </c>
    </row>
    <row r="2581">
      <c r="A2581" s="6" t="s">
        <v>3834</v>
      </c>
      <c r="B2581" s="7" t="str">
        <f>HYPERLINK("https://shopee.co.id/PURIVERA-BOTANICALS-Everlasting-Tamanu-Serum-Oil-Scar-Repair-Bopeng-Truecica-Snail-Cica-Alte-i.68111.10715273485", "https://shopee.co.id/PURIVERA-BOTANICALS-Everlasting-Tamanu-Serum-Oil-Scar-Repair-Bopeng-Truecica-Snail-Cica-Alte-i.68111.10715273485")</f>
        <v>https://shopee.co.id/PURIVERA-BOTANICALS-Everlasting-Tamanu-Serum-Oil-Scar-Repair-Bopeng-Truecica-Snail-Cica-Alte-i.68111.10715273485</v>
      </c>
      <c r="C2581" s="6" t="s">
        <v>940</v>
      </c>
      <c r="D2581" s="6" t="s">
        <v>441</v>
      </c>
      <c r="E2581" s="6" t="s">
        <v>12</v>
      </c>
      <c r="F2581" s="6" t="s">
        <v>13</v>
      </c>
      <c r="G2581" s="6" t="s">
        <v>130</v>
      </c>
      <c r="H2581" s="8" t="s">
        <v>3612</v>
      </c>
      <c r="I2581" s="9">
        <v>629100.0</v>
      </c>
      <c r="J2581" s="5" t="str">
        <f t="shared" ref="J2581:K2581" si="2581">SUBSTITUTE(H2581, ",", "")</f>
        <v>1</v>
      </c>
      <c r="K2581" s="5" t="str">
        <f t="shared" si="2581"/>
        <v>Rp629100</v>
      </c>
      <c r="L2581" s="5" t="str">
        <f t="shared" si="3"/>
        <v>629100</v>
      </c>
    </row>
    <row r="2582">
      <c r="A2582" s="6" t="s">
        <v>3835</v>
      </c>
      <c r="B2582" s="7" t="str">
        <f>HYPERLINK("https://shopee.co.id/Serum-Calming-Marwah-Skin-Care-i.357101711.5179721545", "https://shopee.co.id/Serum-Calming-Marwah-Skin-Care-i.357101711.5179721545")</f>
        <v>https://shopee.co.id/Serum-Calming-Marwah-Skin-Care-i.357101711.5179721545</v>
      </c>
      <c r="C2582" s="6" t="s">
        <v>2249</v>
      </c>
      <c r="D2582" s="6" t="s">
        <v>2250</v>
      </c>
      <c r="E2582" s="6" t="s">
        <v>12</v>
      </c>
      <c r="F2582" s="6" t="s">
        <v>13</v>
      </c>
      <c r="G2582" s="6" t="s">
        <v>370</v>
      </c>
      <c r="H2582" s="8" t="s">
        <v>3612</v>
      </c>
      <c r="I2582" s="9">
        <v>83300.0</v>
      </c>
      <c r="J2582" s="5" t="str">
        <f t="shared" ref="J2582:K2582" si="2582">SUBSTITUTE(H2582, ",", "")</f>
        <v>1</v>
      </c>
      <c r="K2582" s="5" t="str">
        <f t="shared" si="2582"/>
        <v>Rp83300</v>
      </c>
      <c r="L2582" s="5" t="str">
        <f t="shared" si="3"/>
        <v>83300</v>
      </c>
    </row>
    <row r="2583">
      <c r="A2583" s="6" t="s">
        <v>3836</v>
      </c>
      <c r="B2583" s="7" t="str">
        <f>HYPERLINK("https://shopee.co.id/MEDGLOW-CLINIC-Hyaluronic-Acid-Serum-Aesthetic-Skincare-Serum-Firming-Lifting-Anti-Aging-BPOM-i.285885972.7949889054", "https://shopee.co.id/MEDGLOW-CLINIC-Hyaluronic-Acid-Serum-Aesthetic-Skincare-Serum-Firming-Lifting-Anti-Aging-BPOM-i.285885972.7949889054")</f>
        <v>https://shopee.co.id/MEDGLOW-CLINIC-Hyaluronic-Acid-Serum-Aesthetic-Skincare-Serum-Firming-Lifting-Anti-Aging-BPOM-i.285885972.7949889054</v>
      </c>
      <c r="C2583" s="6" t="s">
        <v>949</v>
      </c>
      <c r="D2583" s="6" t="s">
        <v>950</v>
      </c>
      <c r="E2583" s="6" t="s">
        <v>12</v>
      </c>
      <c r="F2583" s="6" t="s">
        <v>13</v>
      </c>
      <c r="G2583" s="6" t="s">
        <v>380</v>
      </c>
      <c r="H2583" s="8" t="s">
        <v>3612</v>
      </c>
      <c r="I2583" s="9">
        <v>300000.0</v>
      </c>
      <c r="J2583" s="5" t="str">
        <f t="shared" ref="J2583:K2583" si="2583">SUBSTITUTE(H2583, ",", "")</f>
        <v>1</v>
      </c>
      <c r="K2583" s="5" t="str">
        <f t="shared" si="2583"/>
        <v>Rp300000</v>
      </c>
      <c r="L2583" s="5" t="str">
        <f t="shared" si="3"/>
        <v>300000</v>
      </c>
    </row>
    <row r="2584">
      <c r="A2584" s="6" t="s">
        <v>2977</v>
      </c>
      <c r="B2584" s="7" t="str">
        <f>HYPERLINK("https://shopee.co.id/Dear-Me-Beauty-Retinol-Blueberry-Extract-Face-Serum-i.10689.4392492836", "https://shopee.co.id/Dear-Me-Beauty-Retinol-Blueberry-Extract-Face-Serum-i.10689.4392492836")</f>
        <v>https://shopee.co.id/Dear-Me-Beauty-Retinol-Blueberry-Extract-Face-Serum-i.10689.4392492836</v>
      </c>
      <c r="C2584" s="6" t="s">
        <v>70</v>
      </c>
      <c r="D2584" s="6" t="s">
        <v>745</v>
      </c>
      <c r="E2584" s="6" t="s">
        <v>12</v>
      </c>
      <c r="F2584" s="6" t="s">
        <v>13</v>
      </c>
      <c r="G2584" s="6" t="s">
        <v>61</v>
      </c>
      <c r="H2584" s="8" t="s">
        <v>3612</v>
      </c>
      <c r="I2584" s="9">
        <v>155000.0</v>
      </c>
      <c r="J2584" s="5" t="str">
        <f t="shared" ref="J2584:K2584" si="2584">SUBSTITUTE(H2584, ",", "")</f>
        <v>1</v>
      </c>
      <c r="K2584" s="5" t="str">
        <f t="shared" si="2584"/>
        <v>Rp155000</v>
      </c>
      <c r="L2584" s="5" t="str">
        <f t="shared" si="3"/>
        <v>155000</v>
      </c>
    </row>
    <row r="2585">
      <c r="A2585" s="6" t="s">
        <v>3837</v>
      </c>
      <c r="B2585" s="7" t="str">
        <f>HYPERLINK("https://shopee.co.id/Hale-Brightening-Potion-Serum-15ml-i.136011044.10202057775", "https://shopee.co.id/Hale-Brightening-Potion-Serum-15ml-i.136011044.10202057775")</f>
        <v>https://shopee.co.id/Hale-Brightening-Potion-Serum-15ml-i.136011044.10202057775</v>
      </c>
      <c r="C2585" s="6" t="s">
        <v>1393</v>
      </c>
      <c r="D2585" s="6" t="s">
        <v>632</v>
      </c>
      <c r="E2585" s="6" t="s">
        <v>12</v>
      </c>
      <c r="F2585" s="6" t="s">
        <v>13</v>
      </c>
      <c r="G2585" s="6" t="s">
        <v>21</v>
      </c>
      <c r="H2585" s="8" t="s">
        <v>3612</v>
      </c>
      <c r="I2585" s="9">
        <v>389000.0</v>
      </c>
      <c r="J2585" s="5" t="str">
        <f t="shared" ref="J2585:K2585" si="2585">SUBSTITUTE(H2585, ",", "")</f>
        <v>1</v>
      </c>
      <c r="K2585" s="5" t="str">
        <f t="shared" si="2585"/>
        <v>Rp389000</v>
      </c>
      <c r="L2585" s="5" t="str">
        <f t="shared" si="3"/>
        <v>389000</v>
      </c>
    </row>
    <row r="2586">
      <c r="A2586" s="6" t="s">
        <v>3838</v>
      </c>
      <c r="B2586" s="7" t="str">
        <f>HYPERLINK("https://shopee.co.id/MAKE-OVER-Hydration-Serum-33ml-i.68111.1522302606", "https://shopee.co.id/MAKE-OVER-Hydration-Serum-33ml-i.68111.1522302606")</f>
        <v>https://shopee.co.id/MAKE-OVER-Hydration-Serum-33ml-i.68111.1522302606</v>
      </c>
      <c r="C2586" s="6" t="s">
        <v>290</v>
      </c>
      <c r="D2586" s="6" t="s">
        <v>441</v>
      </c>
      <c r="E2586" s="6" t="s">
        <v>12</v>
      </c>
      <c r="F2586" s="6" t="s">
        <v>13</v>
      </c>
      <c r="G2586" s="6" t="s">
        <v>130</v>
      </c>
      <c r="H2586" s="8" t="s">
        <v>3612</v>
      </c>
      <c r="I2586" s="9">
        <v>337500.0</v>
      </c>
      <c r="J2586" s="5" t="str">
        <f t="shared" ref="J2586:K2586" si="2586">SUBSTITUTE(H2586, ",", "")</f>
        <v>1</v>
      </c>
      <c r="K2586" s="5" t="str">
        <f t="shared" si="2586"/>
        <v>Rp337500</v>
      </c>
      <c r="L2586" s="5" t="str">
        <f t="shared" si="3"/>
        <v>337500</v>
      </c>
    </row>
    <row r="2587">
      <c r="A2587" s="6" t="s">
        <v>3839</v>
      </c>
      <c r="B2587" s="7" t="str">
        <f>HYPERLINK("https://shopee.co.id/-3-Pcs-Hanasui-Serum-Vitamin-C-20ml-i.121791179.3453080630", "https://shopee.co.id/-3-Pcs-Hanasui-Serum-Vitamin-C-20ml-i.121791179.3453080630")</f>
        <v>https://shopee.co.id/-3-Pcs-Hanasui-Serum-Vitamin-C-20ml-i.121791179.3453080630</v>
      </c>
      <c r="C2587" s="6" t="s">
        <v>784</v>
      </c>
      <c r="D2587" s="6" t="s">
        <v>1733</v>
      </c>
      <c r="E2587" s="6" t="s">
        <v>12</v>
      </c>
      <c r="F2587" s="6" t="s">
        <v>13</v>
      </c>
      <c r="G2587" s="6" t="s">
        <v>36</v>
      </c>
      <c r="H2587" s="8" t="s">
        <v>3612</v>
      </c>
      <c r="I2587" s="9">
        <v>165000.0</v>
      </c>
      <c r="J2587" s="5" t="str">
        <f t="shared" ref="J2587:K2587" si="2587">SUBSTITUTE(H2587, ",", "")</f>
        <v>1</v>
      </c>
      <c r="K2587" s="5" t="str">
        <f t="shared" si="2587"/>
        <v>Rp165000</v>
      </c>
      <c r="L2587" s="5" t="str">
        <f t="shared" si="3"/>
        <v>165000</v>
      </c>
    </row>
    <row r="2588">
      <c r="A2588" s="6" t="s">
        <v>3840</v>
      </c>
      <c r="B2588" s="7" t="str">
        <f>HYPERLINK("https://shopee.co.id/HANASUI-Serum-Vit-C-Dan-Collagen-Biru-i.187117294.4743446687", "https://shopee.co.id/HANASUI-Serum-Vit-C-Dan-Collagen-Biru-i.187117294.4743446687")</f>
        <v>https://shopee.co.id/HANASUI-Serum-Vit-C-Dan-Collagen-Biru-i.187117294.4743446687</v>
      </c>
      <c r="C2588" s="6" t="s">
        <v>784</v>
      </c>
      <c r="D2588" s="6" t="s">
        <v>2366</v>
      </c>
      <c r="E2588" s="6" t="s">
        <v>12</v>
      </c>
      <c r="F2588" s="6" t="s">
        <v>13</v>
      </c>
      <c r="G2588" s="6" t="s">
        <v>469</v>
      </c>
      <c r="H2588" s="8" t="s">
        <v>3612</v>
      </c>
      <c r="I2588" s="9">
        <v>94500.0</v>
      </c>
      <c r="J2588" s="5" t="str">
        <f t="shared" ref="J2588:K2588" si="2588">SUBSTITUTE(H2588, ",", "")</f>
        <v>1</v>
      </c>
      <c r="K2588" s="5" t="str">
        <f t="shared" si="2588"/>
        <v>Rp94500</v>
      </c>
      <c r="L2588" s="5" t="str">
        <f t="shared" si="3"/>
        <v>94500</v>
      </c>
    </row>
    <row r="2589">
      <c r="A2589" s="6" t="s">
        <v>3841</v>
      </c>
      <c r="B2589" s="7" t="str">
        <f>HYPERLINK("https://shopee.co.id/JARTE-Cica-Care-Ampoule-20ml-i.270965687.10505358358", "https://shopee.co.id/JARTE-Cica-Care-Ampoule-20ml-i.270965687.10505358358")</f>
        <v>https://shopee.co.id/JARTE-Cica-Care-Ampoule-20ml-i.270965687.10505358358</v>
      </c>
      <c r="C2589" s="6" t="s">
        <v>3816</v>
      </c>
      <c r="D2589" s="6" t="s">
        <v>379</v>
      </c>
      <c r="E2589" s="6" t="s">
        <v>12</v>
      </c>
      <c r="F2589" s="6" t="s">
        <v>13</v>
      </c>
      <c r="G2589" s="6" t="s">
        <v>380</v>
      </c>
      <c r="H2589" s="8" t="s">
        <v>3612</v>
      </c>
      <c r="I2589" s="9">
        <v>109000.0</v>
      </c>
      <c r="J2589" s="5" t="str">
        <f t="shared" ref="J2589:K2589" si="2589">SUBSTITUTE(H2589, ",", "")</f>
        <v>1</v>
      </c>
      <c r="K2589" s="5" t="str">
        <f t="shared" si="2589"/>
        <v>Rp109000</v>
      </c>
      <c r="L2589" s="5" t="str">
        <f t="shared" si="3"/>
        <v>109000</v>
      </c>
    </row>
    <row r="2590">
      <c r="A2590" s="6" t="s">
        <v>2381</v>
      </c>
      <c r="B2590" s="7" t="str">
        <f>HYPERLINK("https://shopee.co.id/DNI-Whitening-Serum-i.60506784.2861398072", "https://shopee.co.id/DNI-Whitening-Serum-i.60506784.2861398072")</f>
        <v>https://shopee.co.id/DNI-Whitening-Serum-i.60506784.2861398072</v>
      </c>
      <c r="C2590" s="6" t="s">
        <v>3842</v>
      </c>
      <c r="D2590" s="6" t="s">
        <v>3843</v>
      </c>
      <c r="E2590" s="6" t="s">
        <v>12</v>
      </c>
      <c r="F2590" s="6" t="s">
        <v>13</v>
      </c>
      <c r="G2590" s="6" t="s">
        <v>3844</v>
      </c>
      <c r="H2590" s="8" t="s">
        <v>3612</v>
      </c>
      <c r="I2590" s="9">
        <v>336100.0</v>
      </c>
      <c r="J2590" s="5" t="str">
        <f t="shared" ref="J2590:K2590" si="2590">SUBSTITUTE(H2590, ",", "")</f>
        <v>1</v>
      </c>
      <c r="K2590" s="5" t="str">
        <f t="shared" si="2590"/>
        <v>Rp336100</v>
      </c>
      <c r="L2590" s="5" t="str">
        <f t="shared" si="3"/>
        <v>336100</v>
      </c>
    </row>
    <row r="2591">
      <c r="A2591" s="6" t="s">
        <v>3845</v>
      </c>
      <c r="B2591" s="7" t="str">
        <f>HYPERLINK("https://shopee.co.id/Beautybarme-Somebymi-Yuja-Niacin-Blemish-Care-Serum-50Ml-i.28781862.5713625507", "https://shopee.co.id/Beautybarme-Somebymi-Yuja-Niacin-Blemish-Care-Serum-50Ml-i.28781862.5713625507")</f>
        <v>https://shopee.co.id/Beautybarme-Somebymi-Yuja-Niacin-Blemish-Care-Serum-50Ml-i.28781862.5713625507</v>
      </c>
      <c r="C2591" s="6" t="s">
        <v>213</v>
      </c>
      <c r="D2591" s="6" t="s">
        <v>1189</v>
      </c>
      <c r="E2591" s="6" t="s">
        <v>12</v>
      </c>
      <c r="F2591" s="6" t="s">
        <v>13</v>
      </c>
      <c r="G2591" s="6" t="s">
        <v>1190</v>
      </c>
      <c r="H2591" s="8" t="s">
        <v>3612</v>
      </c>
      <c r="I2591" s="9">
        <v>399000.0</v>
      </c>
      <c r="J2591" s="5" t="str">
        <f t="shared" ref="J2591:K2591" si="2591">SUBSTITUTE(H2591, ",", "")</f>
        <v>1</v>
      </c>
      <c r="K2591" s="5" t="str">
        <f t="shared" si="2591"/>
        <v>Rp399000</v>
      </c>
      <c r="L2591" s="5" t="str">
        <f t="shared" si="3"/>
        <v>399000</v>
      </c>
    </row>
    <row r="2592">
      <c r="A2592" s="6" t="s">
        <v>3846</v>
      </c>
      <c r="B2592" s="7" t="str">
        <f>HYPERLINK("https://shopee.co.id/Roro-Mendut-Glowing-Skincare-Booster-Green-Jelly-Centella-Asiatica-15gr-i.277377659.9223510259", "https://shopee.co.id/Roro-Mendut-Glowing-Skincare-Booster-Green-Jelly-Centella-Asiatica-15gr-i.277377659.9223510259")</f>
        <v>https://shopee.co.id/Roro-Mendut-Glowing-Skincare-Booster-Green-Jelly-Centella-Asiatica-15gr-i.277377659.9223510259</v>
      </c>
      <c r="C2592" s="6" t="s">
        <v>1526</v>
      </c>
      <c r="D2592" s="6" t="s">
        <v>2549</v>
      </c>
      <c r="E2592" s="6" t="s">
        <v>12</v>
      </c>
      <c r="F2592" s="6" t="s">
        <v>13</v>
      </c>
      <c r="G2592" s="6" t="s">
        <v>532</v>
      </c>
      <c r="H2592" s="8" t="s">
        <v>3612</v>
      </c>
      <c r="I2592" s="9">
        <v>118750.0</v>
      </c>
      <c r="J2592" s="5" t="str">
        <f t="shared" ref="J2592:K2592" si="2592">SUBSTITUTE(H2592, ",", "")</f>
        <v>1</v>
      </c>
      <c r="K2592" s="5" t="str">
        <f t="shared" si="2592"/>
        <v>Rp118750</v>
      </c>
      <c r="L2592" s="5" t="str">
        <f t="shared" si="3"/>
        <v>118750</v>
      </c>
    </row>
    <row r="2593">
      <c r="A2593" s="6" t="s">
        <v>3847</v>
      </c>
      <c r="B2593" s="7" t="str">
        <f>HYPERLINK("https://shopee.co.id/Envygreen-Intensive-Vitamin-C-Serum-10gr-i.825870.7850705962", "https://shopee.co.id/Envygreen-Intensive-Vitamin-C-Serum-10gr-i.825870.7850705962")</f>
        <v>https://shopee.co.id/Envygreen-Intensive-Vitamin-C-Serum-10gr-i.825870.7850705962</v>
      </c>
      <c r="C2593" s="6" t="s">
        <v>2034</v>
      </c>
      <c r="D2593" s="6" t="s">
        <v>1184</v>
      </c>
      <c r="E2593" s="6" t="s">
        <v>12</v>
      </c>
      <c r="F2593" s="6" t="s">
        <v>13</v>
      </c>
      <c r="G2593" s="6" t="s">
        <v>21</v>
      </c>
      <c r="H2593" s="8" t="s">
        <v>3612</v>
      </c>
      <c r="I2593" s="9">
        <v>109250.0</v>
      </c>
      <c r="J2593" s="5" t="str">
        <f t="shared" ref="J2593:K2593" si="2593">SUBSTITUTE(H2593, ",", "")</f>
        <v>1</v>
      </c>
      <c r="K2593" s="5" t="str">
        <f t="shared" si="2593"/>
        <v>Rp109250</v>
      </c>
      <c r="L2593" s="5" t="str">
        <f t="shared" si="3"/>
        <v>109250</v>
      </c>
    </row>
    <row r="2594">
      <c r="A2594" s="6" t="s">
        <v>3848</v>
      </c>
      <c r="B2594" s="7" t="str">
        <f>HYPERLINK("https://shopee.co.id/Rubiena-Anti-Aging-Serum-i.191323030.7941215929", "https://shopee.co.id/Rubiena-Anti-Aging-Serum-i.191323030.7941215929")</f>
        <v>https://shopee.co.id/Rubiena-Anti-Aging-Serum-i.191323030.7941215929</v>
      </c>
      <c r="C2594" s="6" t="s">
        <v>3667</v>
      </c>
      <c r="D2594" s="6" t="s">
        <v>3668</v>
      </c>
      <c r="E2594" s="6" t="s">
        <v>12</v>
      </c>
      <c r="F2594" s="6" t="s">
        <v>13</v>
      </c>
      <c r="G2594" s="6" t="s">
        <v>61</v>
      </c>
      <c r="H2594" s="8" t="s">
        <v>3612</v>
      </c>
      <c r="I2594" s="9">
        <v>143450.0</v>
      </c>
      <c r="J2594" s="5" t="str">
        <f t="shared" ref="J2594:K2594" si="2594">SUBSTITUTE(H2594, ",", "")</f>
        <v>1</v>
      </c>
      <c r="K2594" s="5" t="str">
        <f t="shared" si="2594"/>
        <v>Rp143450</v>
      </c>
      <c r="L2594" s="5" t="str">
        <f t="shared" si="3"/>
        <v>143450</v>
      </c>
    </row>
    <row r="2595">
      <c r="A2595" s="6" t="s">
        <v>1063</v>
      </c>
      <c r="B2595" s="7" t="str">
        <f>HYPERLINK("https://shopee.co.id/DERMALUZ-Serum-Acne-Exfoliating-i.68111.9826006796", "https://shopee.co.id/DERMALUZ-Serum-Acne-Exfoliating-i.68111.9826006796")</f>
        <v>https://shopee.co.id/DERMALUZ-Serum-Acne-Exfoliating-i.68111.9826006796</v>
      </c>
      <c r="C2595" s="6" t="s">
        <v>1064</v>
      </c>
      <c r="D2595" s="6" t="s">
        <v>441</v>
      </c>
      <c r="E2595" s="6" t="s">
        <v>12</v>
      </c>
      <c r="F2595" s="6" t="s">
        <v>13</v>
      </c>
      <c r="G2595" s="6" t="s">
        <v>130</v>
      </c>
      <c r="H2595" s="8" t="s">
        <v>3612</v>
      </c>
      <c r="I2595" s="9">
        <v>2500000.0</v>
      </c>
      <c r="J2595" s="5" t="str">
        <f t="shared" ref="J2595:K2595" si="2595">SUBSTITUTE(H2595, ",", "")</f>
        <v>1</v>
      </c>
      <c r="K2595" s="5" t="str">
        <f t="shared" si="2595"/>
        <v>Rp2500000</v>
      </c>
      <c r="L2595" s="5" t="str">
        <f t="shared" si="3"/>
        <v>2500000</v>
      </c>
    </row>
    <row r="2596">
      <c r="A2596" s="6" t="s">
        <v>3849</v>
      </c>
      <c r="B2596" s="7" t="str">
        <f>HYPERLINK("https://shopee.co.id/-BPOM-BREYLEE-Serum-Rose-Hydrating-Menyegarkan-dan-Melembabkan-17ml--i.324706771.5669213968", "https://shopee.co.id/-BPOM-BREYLEE-Serum-Rose-Hydrating-Menyegarkan-dan-Melembabkan-17ml--i.324706771.5669213968")</f>
        <v>https://shopee.co.id/-BPOM-BREYLEE-Serum-Rose-Hydrating-Menyegarkan-dan-Melembabkan-17ml--i.324706771.5669213968</v>
      </c>
      <c r="C2596" s="6" t="s">
        <v>852</v>
      </c>
      <c r="D2596" s="6" t="s">
        <v>853</v>
      </c>
      <c r="E2596" s="6" t="s">
        <v>12</v>
      </c>
      <c r="F2596" s="6" t="s">
        <v>13</v>
      </c>
      <c r="G2596" s="6" t="s">
        <v>532</v>
      </c>
      <c r="H2596" s="8" t="s">
        <v>3612</v>
      </c>
      <c r="I2596" s="9">
        <v>520000.0</v>
      </c>
      <c r="J2596" s="5" t="str">
        <f t="shared" ref="J2596:K2596" si="2596">SUBSTITUTE(H2596, ",", "")</f>
        <v>1</v>
      </c>
      <c r="K2596" s="5" t="str">
        <f t="shared" si="2596"/>
        <v>Rp520000</v>
      </c>
      <c r="L2596" s="5" t="str">
        <f t="shared" si="3"/>
        <v>520000</v>
      </c>
    </row>
    <row r="2597">
      <c r="A2597" s="6" t="s">
        <v>3850</v>
      </c>
      <c r="B2597" s="7" t="str">
        <f>HYPERLINK("https://shopee.co.id/Briella-Fruity-Serum-C-Serum-Vitamin-C-Wajah-Briella-Skincare-i.142352486.2655381680", "https://shopee.co.id/Briella-Fruity-Serum-C-Serum-Vitamin-C-Wajah-Briella-Skincare-i.142352486.2655381680")</f>
        <v>https://shopee.co.id/Briella-Fruity-Serum-C-Serum-Vitamin-C-Wajah-Briella-Skincare-i.142352486.2655381680</v>
      </c>
      <c r="C2597" s="6" t="s">
        <v>3851</v>
      </c>
      <c r="D2597" s="6" t="s">
        <v>3852</v>
      </c>
      <c r="E2597" s="6" t="s">
        <v>12</v>
      </c>
      <c r="F2597" s="6" t="s">
        <v>13</v>
      </c>
      <c r="G2597" s="6" t="s">
        <v>98</v>
      </c>
      <c r="H2597" s="8" t="s">
        <v>3612</v>
      </c>
      <c r="I2597" s="9">
        <v>1200000.0</v>
      </c>
      <c r="J2597" s="5" t="str">
        <f t="shared" ref="J2597:K2597" si="2597">SUBSTITUTE(H2597, ",", "")</f>
        <v>1</v>
      </c>
      <c r="K2597" s="5" t="str">
        <f t="shared" si="2597"/>
        <v>Rp1200000</v>
      </c>
      <c r="L2597" s="5" t="str">
        <f t="shared" si="3"/>
        <v>1200000</v>
      </c>
    </row>
    <row r="2598">
      <c r="A2598" s="6" t="s">
        <v>3853</v>
      </c>
      <c r="B2598" s="7" t="str">
        <f>HYPERLINK("https://shopee.co.id/Briella-Serum-Vit-C-Fruity-Serum-C-X-Brilova-Love-Matte-Lipcream-Paket--i.142352486.7089144680", "https://shopee.co.id/Briella-Serum-Vit-C-Fruity-Serum-C-X-Brilova-Love-Matte-Lipcream-Paket--i.142352486.7089144680")</f>
        <v>https://shopee.co.id/Briella-Serum-Vit-C-Fruity-Serum-C-X-Brilova-Love-Matte-Lipcream-Paket--i.142352486.7089144680</v>
      </c>
      <c r="C2598" s="6" t="s">
        <v>3851</v>
      </c>
      <c r="D2598" s="6" t="s">
        <v>3852</v>
      </c>
      <c r="E2598" s="6" t="s">
        <v>12</v>
      </c>
      <c r="F2598" s="6" t="s">
        <v>13</v>
      </c>
      <c r="G2598" s="6" t="s">
        <v>98</v>
      </c>
      <c r="H2598" s="8" t="s">
        <v>3612</v>
      </c>
      <c r="I2598" s="9">
        <v>95900.0</v>
      </c>
      <c r="J2598" s="5" t="str">
        <f t="shared" ref="J2598:K2598" si="2598">SUBSTITUTE(H2598, ",", "")</f>
        <v>1</v>
      </c>
      <c r="K2598" s="5" t="str">
        <f t="shared" si="2598"/>
        <v>Rp95900</v>
      </c>
      <c r="L2598" s="5" t="str">
        <f t="shared" si="3"/>
        <v>95900</v>
      </c>
    </row>
    <row r="2599">
      <c r="A2599" s="6" t="s">
        <v>3854</v>
      </c>
      <c r="B2599" s="7" t="str">
        <f>HYPERLINK("https://shopee.co.id/Hanasui-Serum-Vitamin-C-20ml-417914--i.16735262.11035680328", "https://shopee.co.id/Hanasui-Serum-Vitamin-C-20ml-417914--i.16735262.11035680328")</f>
        <v>https://shopee.co.id/Hanasui-Serum-Vitamin-C-20ml-417914--i.16735262.11035680328</v>
      </c>
      <c r="C2599" s="6" t="s">
        <v>784</v>
      </c>
      <c r="D2599" s="6" t="s">
        <v>3598</v>
      </c>
      <c r="E2599" s="6" t="s">
        <v>12</v>
      </c>
      <c r="F2599" s="6" t="s">
        <v>13</v>
      </c>
      <c r="G2599" s="6" t="s">
        <v>36</v>
      </c>
      <c r="H2599" s="8" t="s">
        <v>3612</v>
      </c>
      <c r="I2599" s="9">
        <v>84400.0</v>
      </c>
      <c r="J2599" s="5" t="str">
        <f t="shared" ref="J2599:K2599" si="2599">SUBSTITUTE(H2599, ",", "")</f>
        <v>1</v>
      </c>
      <c r="K2599" s="5" t="str">
        <f t="shared" si="2599"/>
        <v>Rp84400</v>
      </c>
      <c r="L2599" s="5" t="str">
        <f t="shared" si="3"/>
        <v>84400</v>
      </c>
    </row>
    <row r="2600">
      <c r="A2600" s="6" t="s">
        <v>3855</v>
      </c>
      <c r="B2600" s="7" t="str">
        <f>HYPERLINK("https://shopee.co.id/Jehan-AHA-8-8-dan-BHA-0-8-Peeling-Serum-10-ml-i.120913943.7851896821", "https://shopee.co.id/Jehan-AHA-8-8-dan-BHA-0-8-Peeling-Serum-10-ml-i.120913943.7851896821")</f>
        <v>https://shopee.co.id/Jehan-AHA-8-8-dan-BHA-0-8-Peeling-Serum-10-ml-i.120913943.7851896821</v>
      </c>
      <c r="C2600" s="6" t="s">
        <v>3856</v>
      </c>
      <c r="D2600" s="6" t="s">
        <v>3857</v>
      </c>
      <c r="E2600" s="6" t="s">
        <v>12</v>
      </c>
      <c r="F2600" s="6" t="s">
        <v>13</v>
      </c>
      <c r="G2600" s="6" t="s">
        <v>1085</v>
      </c>
      <c r="H2600" s="8" t="s">
        <v>3612</v>
      </c>
      <c r="I2600" s="9">
        <v>53550.0</v>
      </c>
      <c r="J2600" s="5" t="str">
        <f t="shared" ref="J2600:K2600" si="2600">SUBSTITUTE(H2600, ",", "")</f>
        <v>1</v>
      </c>
      <c r="K2600" s="5" t="str">
        <f t="shared" si="2600"/>
        <v>Rp53550</v>
      </c>
      <c r="L2600" s="5" t="str">
        <f t="shared" si="3"/>
        <v>53550</v>
      </c>
    </row>
    <row r="2601">
      <c r="A2601" s="6" t="s">
        <v>3858</v>
      </c>
      <c r="B2601" s="7" t="str">
        <f>HYPERLINK("https://shopee.co.id/Serum-White-4ml-Normal-Dry-Skin-Special-Promo-Buy-1-Get-1-Free--i.108311902.7519911559", "https://shopee.co.id/Serum-White-4ml-Normal-Dry-Skin-Special-Promo-Buy-1-Get-1-Free--i.108311902.7519911559")</f>
        <v>https://shopee.co.id/Serum-White-4ml-Normal-Dry-Skin-Special-Promo-Buy-1-Get-1-Free--i.108311902.7519911559</v>
      </c>
      <c r="C2601" s="6" t="s">
        <v>3473</v>
      </c>
      <c r="D2601" s="6" t="s">
        <v>3474</v>
      </c>
      <c r="E2601" s="6" t="s">
        <v>12</v>
      </c>
      <c r="F2601" s="6" t="s">
        <v>13</v>
      </c>
      <c r="G2601" s="6" t="s">
        <v>350</v>
      </c>
      <c r="H2601" s="8" t="s">
        <v>3612</v>
      </c>
      <c r="I2601" s="9">
        <v>125000.0</v>
      </c>
      <c r="J2601" s="5" t="str">
        <f t="shared" ref="J2601:K2601" si="2601">SUBSTITUTE(H2601, ",", "")</f>
        <v>1</v>
      </c>
      <c r="K2601" s="5" t="str">
        <f t="shared" si="2601"/>
        <v>Rp125000</v>
      </c>
      <c r="L2601" s="5" t="str">
        <f t="shared" si="3"/>
        <v>125000</v>
      </c>
    </row>
    <row r="2602">
      <c r="A2602" s="6" t="s">
        <v>3260</v>
      </c>
      <c r="B2602" s="7" t="str">
        <f>HYPERLINK("https://shopee.co.id/Iunik-Black-Snail-Restore-Serum-15ml-i.825870.9936389560", "https://shopee.co.id/Iunik-Black-Snail-Restore-Serum-15ml-i.825870.9936389560")</f>
        <v>https://shopee.co.id/Iunik-Black-Snail-Restore-Serum-15ml-i.825870.9936389560</v>
      </c>
      <c r="C2602" s="6" t="s">
        <v>1658</v>
      </c>
      <c r="D2602" s="6" t="s">
        <v>1184</v>
      </c>
      <c r="E2602" s="6" t="s">
        <v>12</v>
      </c>
      <c r="F2602" s="6" t="s">
        <v>13</v>
      </c>
      <c r="G2602" s="6" t="s">
        <v>21</v>
      </c>
      <c r="H2602" s="8" t="s">
        <v>3612</v>
      </c>
      <c r="I2602" s="9">
        <v>94050.0</v>
      </c>
      <c r="J2602" s="5" t="str">
        <f t="shared" ref="J2602:K2602" si="2602">SUBSTITUTE(H2602, ",", "")</f>
        <v>1</v>
      </c>
      <c r="K2602" s="5" t="str">
        <f t="shared" si="2602"/>
        <v>Rp94050</v>
      </c>
      <c r="L2602" s="5" t="str">
        <f t="shared" si="3"/>
        <v>94050</v>
      </c>
    </row>
    <row r="2603">
      <c r="A2603" s="6" t="s">
        <v>3859</v>
      </c>
      <c r="B2603" s="7" t="str">
        <f>HYPERLINK("https://shopee.co.id/Acne-Series-Serum-Elmuarra-Pelembab-Wajah-Perawatan-Kecantikan-Termurah-Premium-Berkualitas-i.327840216.7859209301", "https://shopee.co.id/Acne-Series-Serum-Elmuarra-Pelembab-Wajah-Perawatan-Kecantikan-Termurah-Premium-Berkualitas-i.327840216.7859209301")</f>
        <v>https://shopee.co.id/Acne-Series-Serum-Elmuarra-Pelembab-Wajah-Perawatan-Kecantikan-Termurah-Premium-Berkualitas-i.327840216.7859209301</v>
      </c>
      <c r="C2603" s="6" t="s">
        <v>3860</v>
      </c>
      <c r="D2603" s="6" t="s">
        <v>3861</v>
      </c>
      <c r="E2603" s="6" t="s">
        <v>12</v>
      </c>
      <c r="F2603" s="6" t="s">
        <v>13</v>
      </c>
      <c r="G2603" s="6" t="s">
        <v>296</v>
      </c>
      <c r="H2603" s="8" t="s">
        <v>3612</v>
      </c>
      <c r="I2603" s="9">
        <v>170100.0</v>
      </c>
      <c r="J2603" s="5" t="str">
        <f t="shared" ref="J2603:K2603" si="2603">SUBSTITUTE(H2603, ",", "")</f>
        <v>1</v>
      </c>
      <c r="K2603" s="5" t="str">
        <f t="shared" si="2603"/>
        <v>Rp170100</v>
      </c>
      <c r="L2603" s="5" t="str">
        <f t="shared" si="3"/>
        <v>170100</v>
      </c>
    </row>
    <row r="2604">
      <c r="A2604" s="6" t="s">
        <v>3862</v>
      </c>
      <c r="B2604" s="7" t="str">
        <f>HYPERLINK("https://shopee.co.id/Dear-Me-Beauty-2-Salicylic-Acid-BHA-Lemon-Extract-Face-Serum-i.10689.10613126611", "https://shopee.co.id/Dear-Me-Beauty-2-Salicylic-Acid-BHA-Lemon-Extract-Face-Serum-i.10689.10613126611")</f>
        <v>https://shopee.co.id/Dear-Me-Beauty-2-Salicylic-Acid-BHA-Lemon-Extract-Face-Serum-i.10689.10613126611</v>
      </c>
      <c r="C2604" s="6" t="s">
        <v>70</v>
      </c>
      <c r="D2604" s="6" t="s">
        <v>745</v>
      </c>
      <c r="E2604" s="6" t="s">
        <v>12</v>
      </c>
      <c r="F2604" s="6" t="s">
        <v>13</v>
      </c>
      <c r="G2604" s="6" t="s">
        <v>61</v>
      </c>
      <c r="H2604" s="8" t="s">
        <v>3612</v>
      </c>
      <c r="I2604" s="9">
        <v>240000.0</v>
      </c>
      <c r="J2604" s="5" t="str">
        <f t="shared" ref="J2604:K2604" si="2604">SUBSTITUTE(H2604, ",", "")</f>
        <v>1</v>
      </c>
      <c r="K2604" s="5" t="str">
        <f t="shared" si="2604"/>
        <v>Rp240000</v>
      </c>
      <c r="L2604" s="5" t="str">
        <f t="shared" si="3"/>
        <v>240000</v>
      </c>
    </row>
    <row r="2605">
      <c r="A2605" s="6" t="s">
        <v>3863</v>
      </c>
      <c r="B2605" s="7" t="str">
        <f>HYPERLINK("https://shopee.co.id/DeBiuryn-Ageless-Skin-Energy-Serum-10ml-i.231437504.11613635517", "https://shopee.co.id/DeBiuryn-Ageless-Skin-Energy-Serum-10ml-i.231437504.11613635517")</f>
        <v>https://shopee.co.id/DeBiuryn-Ageless-Skin-Energy-Serum-10ml-i.231437504.11613635517</v>
      </c>
      <c r="C2605" s="6" t="s">
        <v>3484</v>
      </c>
      <c r="D2605" s="6" t="s">
        <v>3485</v>
      </c>
      <c r="E2605" s="6" t="s">
        <v>12</v>
      </c>
      <c r="F2605" s="6" t="s">
        <v>13</v>
      </c>
      <c r="G2605" s="6" t="s">
        <v>1480</v>
      </c>
      <c r="H2605" s="8" t="s">
        <v>3612</v>
      </c>
      <c r="I2605" s="9">
        <v>148000.0</v>
      </c>
      <c r="J2605" s="5" t="str">
        <f t="shared" ref="J2605:K2605" si="2605">SUBSTITUTE(H2605, ",", "")</f>
        <v>1</v>
      </c>
      <c r="K2605" s="5" t="str">
        <f t="shared" si="2605"/>
        <v>Rp148000</v>
      </c>
      <c r="L2605" s="5" t="str">
        <f t="shared" si="3"/>
        <v>148000</v>
      </c>
    </row>
    <row r="2606">
      <c r="A2606" s="6" t="s">
        <v>3864</v>
      </c>
      <c r="B2606" s="7" t="str">
        <f>HYPERLINK("https://shopee.co.id/Sarae-Glowing-Essence-with-CICA-Hyaluronic-Acid-Face-Mist-Centella-Asiatica-100-ml-x-2-pcs-i.20723335.10644105845", "https://shopee.co.id/Sarae-Glowing-Essence-with-CICA-Hyaluronic-Acid-Face-Mist-Centella-Asiatica-100-ml-x-2-pcs-i.20723335.10644105845")</f>
        <v>https://shopee.co.id/Sarae-Glowing-Essence-with-CICA-Hyaluronic-Acid-Face-Mist-Centella-Asiatica-100-ml-x-2-pcs-i.20723335.10644105845</v>
      </c>
      <c r="C2606" s="6" t="s">
        <v>2042</v>
      </c>
      <c r="D2606" s="6" t="s">
        <v>2043</v>
      </c>
      <c r="E2606" s="6" t="s">
        <v>12</v>
      </c>
      <c r="F2606" s="6" t="s">
        <v>13</v>
      </c>
      <c r="G2606" s="6" t="s">
        <v>241</v>
      </c>
      <c r="H2606" s="8" t="s">
        <v>3612</v>
      </c>
      <c r="I2606" s="9">
        <v>130000.0</v>
      </c>
      <c r="J2606" s="5" t="str">
        <f t="shared" ref="J2606:K2606" si="2606">SUBSTITUTE(H2606, ",", "")</f>
        <v>1</v>
      </c>
      <c r="K2606" s="5" t="str">
        <f t="shared" si="2606"/>
        <v>Rp130000</v>
      </c>
      <c r="L2606" s="5" t="str">
        <f t="shared" si="3"/>
        <v>130000</v>
      </c>
    </row>
    <row r="2607">
      <c r="A2607" s="6" t="s">
        <v>3865</v>
      </c>
      <c r="B2607" s="7" t="str">
        <f>HYPERLINK("https://shopee.co.id/Serum-Anti-Kerutan-Concentrate-instant-Agefit-By-Neohaus-Original-Korea-i.95297152.8716475008", "https://shopee.co.id/Serum-Anti-Kerutan-Concentrate-instant-Agefit-By-Neohaus-Original-Korea-i.95297152.8716475008")</f>
        <v>https://shopee.co.id/Serum-Anti-Kerutan-Concentrate-instant-Agefit-By-Neohaus-Original-Korea-i.95297152.8716475008</v>
      </c>
      <c r="C2607" s="6" t="s">
        <v>3866</v>
      </c>
      <c r="D2607" s="6" t="s">
        <v>3867</v>
      </c>
      <c r="E2607" s="6" t="s">
        <v>12</v>
      </c>
      <c r="F2607" s="6" t="s">
        <v>13</v>
      </c>
      <c r="G2607" s="6" t="s">
        <v>61</v>
      </c>
      <c r="H2607" s="8" t="s">
        <v>3612</v>
      </c>
      <c r="I2607" s="9">
        <v>94050.0</v>
      </c>
      <c r="J2607" s="5" t="str">
        <f t="shared" ref="J2607:K2607" si="2607">SUBSTITUTE(H2607, ",", "")</f>
        <v>1</v>
      </c>
      <c r="K2607" s="5" t="str">
        <f t="shared" si="2607"/>
        <v>Rp94050</v>
      </c>
      <c r="L2607" s="5" t="str">
        <f t="shared" si="3"/>
        <v>94050</v>
      </c>
    </row>
    <row r="2608">
      <c r="A2608" s="6" t="s">
        <v>3868</v>
      </c>
      <c r="B2608" s="7" t="str">
        <f>HYPERLINK("https://shopee.co.id/Skin-Lightening-Cream-Limited-Edition-30gr-Seger-Snow-Moisturizing-Serum-15ml-Kemiri-30ml-x-3pcs-i.221165466.10736983271", "https://shopee.co.id/Skin-Lightening-Cream-Limited-Edition-30gr-Seger-Snow-Moisturizing-Serum-15ml-Kemiri-30ml-x-3pcs-i.221165466.10736983271")</f>
        <v>https://shopee.co.id/Skin-Lightening-Cream-Limited-Edition-30gr-Seger-Snow-Moisturizing-Serum-15ml-Kemiri-30ml-x-3pcs-i.221165466.10736983271</v>
      </c>
      <c r="C2608" s="6" t="s">
        <v>2005</v>
      </c>
      <c r="D2608" s="6" t="s">
        <v>2006</v>
      </c>
      <c r="E2608" s="6" t="s">
        <v>12</v>
      </c>
      <c r="F2608" s="6" t="s">
        <v>13</v>
      </c>
      <c r="G2608" s="6" t="s">
        <v>241</v>
      </c>
      <c r="H2608" s="8" t="s">
        <v>3612</v>
      </c>
      <c r="I2608" s="9">
        <v>89000.0</v>
      </c>
      <c r="J2608" s="5" t="str">
        <f t="shared" ref="J2608:K2608" si="2608">SUBSTITUTE(H2608, ",", "")</f>
        <v>1</v>
      </c>
      <c r="K2608" s="5" t="str">
        <f t="shared" si="2608"/>
        <v>Rp89000</v>
      </c>
      <c r="L2608" s="5" t="str">
        <f t="shared" si="3"/>
        <v>89000</v>
      </c>
    </row>
    <row r="2609">
      <c r="A2609" s="6" t="s">
        <v>3869</v>
      </c>
      <c r="B2609" s="7" t="str">
        <f>HYPERLINK("https://shopee.co.id/Serum-Glowing-Seger-Snow-Moisturizing-Serum-Wajah-1pcs-Hand-Sanitizer-C-19-50ml-2pc--i.221165466.8715650521", "https://shopee.co.id/Serum-Glowing-Seger-Snow-Moisturizing-Serum-Wajah-1pcs-Hand-Sanitizer-C-19-50ml-2pc--i.221165466.8715650521")</f>
        <v>https://shopee.co.id/Serum-Glowing-Seger-Snow-Moisturizing-Serum-Wajah-1pcs-Hand-Sanitizer-C-19-50ml-2pc--i.221165466.8715650521</v>
      </c>
      <c r="C2609" s="6" t="s">
        <v>2005</v>
      </c>
      <c r="D2609" s="6" t="s">
        <v>2006</v>
      </c>
      <c r="E2609" s="6" t="s">
        <v>12</v>
      </c>
      <c r="F2609" s="6" t="s">
        <v>13</v>
      </c>
      <c r="G2609" s="6" t="s">
        <v>241</v>
      </c>
      <c r="H2609" s="8" t="s">
        <v>3612</v>
      </c>
      <c r="I2609" s="9">
        <v>241530.0</v>
      </c>
      <c r="J2609" s="5" t="str">
        <f t="shared" ref="J2609:K2609" si="2609">SUBSTITUTE(H2609, ",", "")</f>
        <v>1</v>
      </c>
      <c r="K2609" s="5" t="str">
        <f t="shared" si="2609"/>
        <v>Rp241530</v>
      </c>
      <c r="L2609" s="5" t="str">
        <f t="shared" si="3"/>
        <v>241530</v>
      </c>
    </row>
    <row r="2610">
      <c r="A2610" s="6" t="s">
        <v>3870</v>
      </c>
      <c r="B2610" s="7" t="str">
        <f>HYPERLINK("https://shopee.co.id/AZARINE-Essence-Sun-Shield-Serum-SPF-50-PA--i.68111.8787204420", "https://shopee.co.id/AZARINE-Essence-Sun-Shield-Serum-SPF-50-PA--i.68111.8787204420")</f>
        <v>https://shopee.co.id/AZARINE-Essence-Sun-Shield-Serum-SPF-50-PA--i.68111.8787204420</v>
      </c>
      <c r="C2610" s="6" t="s">
        <v>233</v>
      </c>
      <c r="D2610" s="6" t="s">
        <v>441</v>
      </c>
      <c r="E2610" s="6" t="s">
        <v>12</v>
      </c>
      <c r="F2610" s="6" t="s">
        <v>13</v>
      </c>
      <c r="G2610" s="6" t="s">
        <v>130</v>
      </c>
      <c r="H2610" s="8" t="s">
        <v>3612</v>
      </c>
      <c r="I2610" s="9">
        <v>200000.0</v>
      </c>
      <c r="J2610" s="5" t="str">
        <f t="shared" ref="J2610:K2610" si="2610">SUBSTITUTE(H2610, ",", "")</f>
        <v>1</v>
      </c>
      <c r="K2610" s="5" t="str">
        <f t="shared" si="2610"/>
        <v>Rp200000</v>
      </c>
      <c r="L2610" s="5" t="str">
        <f t="shared" si="3"/>
        <v>200000</v>
      </c>
    </row>
    <row r="2611">
      <c r="A2611" s="6" t="s">
        <v>3871</v>
      </c>
      <c r="B2611" s="7" t="str">
        <f>HYPERLINK("https://shopee.co.id/Iunik-Rose-Galactomyces-Synergy-Serum-15ml-i.270765534.3653354824", "https://shopee.co.id/Iunik-Rose-Galactomyces-Synergy-Serum-15ml-i.270765534.3653354824")</f>
        <v>https://shopee.co.id/Iunik-Rose-Galactomyces-Synergy-Serum-15ml-i.270765534.3653354824</v>
      </c>
      <c r="C2611" s="6" t="s">
        <v>1658</v>
      </c>
      <c r="D2611" s="6" t="s">
        <v>1659</v>
      </c>
      <c r="E2611" s="6" t="s">
        <v>12</v>
      </c>
      <c r="F2611" s="6" t="s">
        <v>13</v>
      </c>
      <c r="G2611" s="6" t="s">
        <v>21</v>
      </c>
      <c r="H2611" s="8" t="s">
        <v>3612</v>
      </c>
      <c r="I2611" s="9">
        <v>207500.0</v>
      </c>
      <c r="J2611" s="5" t="str">
        <f t="shared" ref="J2611:K2611" si="2611">SUBSTITUTE(H2611, ",", "")</f>
        <v>1</v>
      </c>
      <c r="K2611" s="5" t="str">
        <f t="shared" si="2611"/>
        <v>Rp207500</v>
      </c>
      <c r="L2611" s="5" t="str">
        <f t="shared" si="3"/>
        <v>207500</v>
      </c>
    </row>
    <row r="2612">
      <c r="A2612" s="6" t="s">
        <v>3872</v>
      </c>
      <c r="B2612" s="7" t="str">
        <f>HYPERLINK("https://shopee.co.id/SERUM-WAJAH-GLOWING-PEMUTIH-WAJAH-NATURE-REACTION-CRYSTAL-BRIGHT-ORIGINAL-BPOM-AMPUH-100-ORIGINAL-i.375565670.11226126475", "https://shopee.co.id/SERUM-WAJAH-GLOWING-PEMUTIH-WAJAH-NATURE-REACTION-CRYSTAL-BRIGHT-ORIGINAL-BPOM-AMPUH-100-ORIGINAL-i.375565670.11226126475")</f>
        <v>https://shopee.co.id/SERUM-WAJAH-GLOWING-PEMUTIH-WAJAH-NATURE-REACTION-CRYSTAL-BRIGHT-ORIGINAL-BPOM-AMPUH-100-ORIGINAL-i.375565670.11226126475</v>
      </c>
      <c r="C2612" s="6" t="s">
        <v>530</v>
      </c>
      <c r="D2612" s="6" t="s">
        <v>531</v>
      </c>
      <c r="E2612" s="6" t="s">
        <v>12</v>
      </c>
      <c r="F2612" s="6" t="s">
        <v>13</v>
      </c>
      <c r="G2612" s="6" t="s">
        <v>532</v>
      </c>
      <c r="H2612" s="8" t="s">
        <v>3612</v>
      </c>
      <c r="I2612" s="9">
        <v>208000.0</v>
      </c>
      <c r="J2612" s="5" t="str">
        <f t="shared" ref="J2612:K2612" si="2612">SUBSTITUTE(H2612, ",", "")</f>
        <v>1</v>
      </c>
      <c r="K2612" s="5" t="str">
        <f t="shared" si="2612"/>
        <v>Rp208000</v>
      </c>
      <c r="L2612" s="5" t="str">
        <f t="shared" si="3"/>
        <v>208000</v>
      </c>
    </row>
    <row r="2613">
      <c r="A2613" s="6" t="s">
        <v>3873</v>
      </c>
      <c r="B2613" s="7" t="str">
        <f>HYPERLINK("https://shopee.co.id/Mineral-Botanica-Brightening-Face-Serum-i.30736001.1043896686", "https://shopee.co.id/Mineral-Botanica-Brightening-Face-Serum-i.30736001.1043896686")</f>
        <v>https://shopee.co.id/Mineral-Botanica-Brightening-Face-Serum-i.30736001.1043896686</v>
      </c>
      <c r="C2613" s="6" t="s">
        <v>807</v>
      </c>
      <c r="D2613" s="6" t="s">
        <v>335</v>
      </c>
      <c r="E2613" s="6" t="s">
        <v>12</v>
      </c>
      <c r="F2613" s="6" t="s">
        <v>13</v>
      </c>
      <c r="G2613" s="6" t="s">
        <v>36</v>
      </c>
      <c r="H2613" s="8" t="s">
        <v>3612</v>
      </c>
      <c r="I2613" s="9">
        <v>228000.0</v>
      </c>
      <c r="J2613" s="5" t="str">
        <f t="shared" ref="J2613:K2613" si="2613">SUBSTITUTE(H2613, ",", "")</f>
        <v>1</v>
      </c>
      <c r="K2613" s="5" t="str">
        <f t="shared" si="2613"/>
        <v>Rp228000</v>
      </c>
      <c r="L2613" s="5" t="str">
        <f t="shared" si="3"/>
        <v>228000</v>
      </c>
    </row>
    <row r="2614">
      <c r="A2614" s="6" t="s">
        <v>3874</v>
      </c>
      <c r="B2614" s="7" t="str">
        <f>HYPERLINK("https://shopee.co.id/-Isi-3-Hanasui-Vitamin-C-Serum-20ml-ORANGE-Serum-Wajah-Pelembab-Wajah-Vitamin-Wajah-i.114789399.2848599603", "https://shopee.co.id/-Isi-3-Hanasui-Vitamin-C-Serum-20ml-ORANGE-Serum-Wajah-Pelembab-Wajah-Vitamin-Wajah-i.114789399.2848599603")</f>
        <v>https://shopee.co.id/-Isi-3-Hanasui-Vitamin-C-Serum-20ml-ORANGE-Serum-Wajah-Pelembab-Wajah-Vitamin-Wajah-i.114789399.2848599603</v>
      </c>
      <c r="C2614" s="6" t="s">
        <v>784</v>
      </c>
      <c r="D2614" s="6" t="s">
        <v>2531</v>
      </c>
      <c r="E2614" s="6" t="s">
        <v>12</v>
      </c>
      <c r="F2614" s="6" t="s">
        <v>13</v>
      </c>
      <c r="G2614" s="6" t="s">
        <v>36</v>
      </c>
      <c r="H2614" s="8" t="s">
        <v>3612</v>
      </c>
      <c r="I2614" s="9">
        <v>228000.0</v>
      </c>
      <c r="J2614" s="5" t="str">
        <f t="shared" ref="J2614:K2614" si="2614">SUBSTITUTE(H2614, ",", "")</f>
        <v>1</v>
      </c>
      <c r="K2614" s="5" t="str">
        <f t="shared" si="2614"/>
        <v>Rp228000</v>
      </c>
      <c r="L2614" s="5" t="str">
        <f t="shared" si="3"/>
        <v>228000</v>
      </c>
    </row>
    <row r="2615">
      <c r="A2615" s="6" t="s">
        <v>3875</v>
      </c>
      <c r="B2615" s="7" t="str">
        <f>HYPERLINK("https://shopee.co.id/LUMIER-ANTI-AGING-AND-REPAIR-NIGHT-SERUM-GREEN-CAVIAR-INTENSIVE-ENERGY-SERUM-i.231467354.9516130956", "https://shopee.co.id/LUMIER-ANTI-AGING-AND-REPAIR-NIGHT-SERUM-GREEN-CAVIAR-INTENSIVE-ENERGY-SERUM-i.231467354.9516130956")</f>
        <v>https://shopee.co.id/LUMIER-ANTI-AGING-AND-REPAIR-NIGHT-SERUM-GREEN-CAVIAR-INTENSIVE-ENERGY-SERUM-i.231467354.9516130956</v>
      </c>
      <c r="C2615" s="6" t="s">
        <v>2878</v>
      </c>
      <c r="D2615" s="6" t="s">
        <v>2879</v>
      </c>
      <c r="E2615" s="6" t="s">
        <v>12</v>
      </c>
      <c r="F2615" s="6" t="s">
        <v>13</v>
      </c>
      <c r="G2615" s="6" t="s">
        <v>532</v>
      </c>
      <c r="H2615" s="8" t="s">
        <v>3612</v>
      </c>
      <c r="I2615" s="9">
        <v>152000.0</v>
      </c>
      <c r="J2615" s="5" t="str">
        <f t="shared" ref="J2615:K2615" si="2615">SUBSTITUTE(H2615, ",", "")</f>
        <v>1</v>
      </c>
      <c r="K2615" s="5" t="str">
        <f t="shared" si="2615"/>
        <v>Rp152000</v>
      </c>
      <c r="L2615" s="5" t="str">
        <f t="shared" si="3"/>
        <v>152000</v>
      </c>
    </row>
    <row r="2616">
      <c r="A2616" s="6" t="s">
        <v>3876</v>
      </c>
      <c r="B2616" s="7" t="str">
        <f>HYPERLINK("https://shopee.co.id/MSBB-Dear-Me-Beauty-2-Salicylic-Acid-BHA-Lemon-Extract-Face-Serum-12ml-i.288588702.8158822283", "https://shopee.co.id/MSBB-Dear-Me-Beauty-2-Salicylic-Acid-BHA-Lemon-Extract-Face-Serum-12ml-i.288588702.8158822283")</f>
        <v>https://shopee.co.id/MSBB-Dear-Me-Beauty-2-Salicylic-Acid-BHA-Lemon-Extract-Face-Serum-12ml-i.288588702.8158822283</v>
      </c>
      <c r="C2616" s="6" t="s">
        <v>78</v>
      </c>
      <c r="D2616" s="6" t="s">
        <v>79</v>
      </c>
      <c r="E2616" s="6" t="s">
        <v>12</v>
      </c>
      <c r="F2616" s="6" t="s">
        <v>13</v>
      </c>
      <c r="G2616" s="6" t="s">
        <v>80</v>
      </c>
      <c r="H2616" s="8" t="s">
        <v>3612</v>
      </c>
      <c r="I2616" s="9">
        <v>165000.0</v>
      </c>
      <c r="J2616" s="5" t="str">
        <f t="shared" ref="J2616:K2616" si="2616">SUBSTITUTE(H2616, ",", "")</f>
        <v>1</v>
      </c>
      <c r="K2616" s="5" t="str">
        <f t="shared" si="2616"/>
        <v>Rp165000</v>
      </c>
      <c r="L2616" s="5" t="str">
        <f t="shared" si="3"/>
        <v>165000</v>
      </c>
    </row>
    <row r="2617">
      <c r="A2617" s="6" t="s">
        <v>3877</v>
      </c>
      <c r="B2617" s="7" t="str">
        <f>HYPERLINK("https://shopee.co.id/MSBB-The-Aubree-Ginseng-Renewing-First-Serum-30-ml-i.288588702.6360570951", "https://shopee.co.id/MSBB-The-Aubree-Ginseng-Renewing-First-Serum-30-ml-i.288588702.6360570951")</f>
        <v>https://shopee.co.id/MSBB-The-Aubree-Ginseng-Renewing-First-Serum-30-ml-i.288588702.6360570951</v>
      </c>
      <c r="C2617" s="6" t="s">
        <v>772</v>
      </c>
      <c r="D2617" s="6" t="s">
        <v>79</v>
      </c>
      <c r="E2617" s="6" t="s">
        <v>12</v>
      </c>
      <c r="F2617" s="6" t="s">
        <v>13</v>
      </c>
      <c r="G2617" s="6" t="s">
        <v>80</v>
      </c>
      <c r="H2617" s="8" t="s">
        <v>3612</v>
      </c>
      <c r="I2617" s="9">
        <v>161500.0</v>
      </c>
      <c r="J2617" s="5" t="str">
        <f t="shared" ref="J2617:K2617" si="2617">SUBSTITUTE(H2617, ",", "")</f>
        <v>1</v>
      </c>
      <c r="K2617" s="5" t="str">
        <f t="shared" si="2617"/>
        <v>Rp161500</v>
      </c>
      <c r="L2617" s="5" t="str">
        <f t="shared" si="3"/>
        <v>161500</v>
      </c>
    </row>
    <row r="2618">
      <c r="A2618" s="6" t="s">
        <v>3878</v>
      </c>
      <c r="B2618" s="7" t="str">
        <f>HYPERLINK("https://shopee.co.id/Humphrey-hairloss-advance-serum-2x20ml-i.121791179.6251735088", "https://shopee.co.id/Humphrey-hairloss-advance-serum-2x20ml-i.121791179.6251735088")</f>
        <v>https://shopee.co.id/Humphrey-hairloss-advance-serum-2x20ml-i.121791179.6251735088</v>
      </c>
      <c r="C2618" s="6" t="s">
        <v>3879</v>
      </c>
      <c r="D2618" s="6" t="s">
        <v>1733</v>
      </c>
      <c r="E2618" s="6" t="s">
        <v>12</v>
      </c>
      <c r="F2618" s="6" t="s">
        <v>13</v>
      </c>
      <c r="G2618" s="6" t="s">
        <v>36</v>
      </c>
      <c r="H2618" s="8" t="s">
        <v>3612</v>
      </c>
      <c r="I2618" s="9">
        <v>888000.0</v>
      </c>
      <c r="J2618" s="5" t="str">
        <f t="shared" ref="J2618:K2618" si="2618">SUBSTITUTE(H2618, ",", "")</f>
        <v>1</v>
      </c>
      <c r="K2618" s="5" t="str">
        <f t="shared" si="2618"/>
        <v>Rp888000</v>
      </c>
      <c r="L2618" s="5" t="str">
        <f t="shared" si="3"/>
        <v>888000</v>
      </c>
    </row>
    <row r="2619">
      <c r="A2619" s="6" t="s">
        <v>3880</v>
      </c>
      <c r="B2619" s="7" t="str">
        <f>HYPERLINK("https://shopee.co.id/GARNIER-Light-Complete-Booster-Serum-15ml-i.30736001.7780275501", "https://shopee.co.id/GARNIER-Light-Complete-Booster-Serum-15ml-i.30736001.7780275501")</f>
        <v>https://shopee.co.id/GARNIER-Light-Complete-Booster-Serum-15ml-i.30736001.7780275501</v>
      </c>
      <c r="C2619" s="6" t="s">
        <v>74</v>
      </c>
      <c r="D2619" s="6" t="s">
        <v>335</v>
      </c>
      <c r="E2619" s="6" t="s">
        <v>12</v>
      </c>
      <c r="F2619" s="6" t="s">
        <v>13</v>
      </c>
      <c r="G2619" s="6" t="s">
        <v>36</v>
      </c>
      <c r="H2619" s="8" t="s">
        <v>3612</v>
      </c>
      <c r="I2619" s="9">
        <v>535000.0</v>
      </c>
      <c r="J2619" s="5" t="str">
        <f t="shared" ref="J2619:K2619" si="2619">SUBSTITUTE(H2619, ",", "")</f>
        <v>1</v>
      </c>
      <c r="K2619" s="5" t="str">
        <f t="shared" si="2619"/>
        <v>Rp535000</v>
      </c>
      <c r="L2619" s="5" t="str">
        <f t="shared" si="3"/>
        <v>535000</v>
      </c>
    </row>
    <row r="2620">
      <c r="A2620" s="6" t="s">
        <v>3881</v>
      </c>
      <c r="B2620" s="7" t="str">
        <f>HYPERLINK("https://shopee.co.id/GARNIER-Sakura-White-Booster-Serum-15ml-i.30736001.9519122183", "https://shopee.co.id/GARNIER-Sakura-White-Booster-Serum-15ml-i.30736001.9519122183")</f>
        <v>https://shopee.co.id/GARNIER-Sakura-White-Booster-Serum-15ml-i.30736001.9519122183</v>
      </c>
      <c r="C2620" s="6" t="s">
        <v>74</v>
      </c>
      <c r="D2620" s="6" t="s">
        <v>335</v>
      </c>
      <c r="E2620" s="6" t="s">
        <v>12</v>
      </c>
      <c r="F2620" s="6" t="s">
        <v>13</v>
      </c>
      <c r="G2620" s="6" t="s">
        <v>36</v>
      </c>
      <c r="H2620" s="8" t="s">
        <v>3612</v>
      </c>
      <c r="I2620" s="9">
        <v>429000.0</v>
      </c>
      <c r="J2620" s="5" t="str">
        <f t="shared" ref="J2620:K2620" si="2620">SUBSTITUTE(H2620, ",", "")</f>
        <v>1</v>
      </c>
      <c r="K2620" s="5" t="str">
        <f t="shared" si="2620"/>
        <v>Rp429000</v>
      </c>
      <c r="L2620" s="5" t="str">
        <f t="shared" si="3"/>
        <v>429000</v>
      </c>
    </row>
    <row r="2621">
      <c r="A2621" s="6" t="s">
        <v>3882</v>
      </c>
      <c r="B2621" s="7" t="str">
        <f>HYPERLINK("https://shopee.co.id/Avione-Age-Revitalizing-Renew-Serum-20-ml-i.23426842.1378548535", "https://shopee.co.id/Avione-Age-Revitalizing-Renew-Serum-20-ml-i.23426842.1378548535")</f>
        <v>https://shopee.co.id/Avione-Age-Revitalizing-Renew-Serum-20-ml-i.23426842.1378548535</v>
      </c>
      <c r="C2621" s="6" t="s">
        <v>2838</v>
      </c>
      <c r="D2621" s="6" t="s">
        <v>2839</v>
      </c>
      <c r="E2621" s="6" t="s">
        <v>12</v>
      </c>
      <c r="F2621" s="6" t="s">
        <v>13</v>
      </c>
      <c r="G2621" s="6" t="s">
        <v>115</v>
      </c>
      <c r="H2621" s="8" t="s">
        <v>3612</v>
      </c>
      <c r="I2621" s="9">
        <v>342000.0</v>
      </c>
      <c r="J2621" s="5" t="str">
        <f t="shared" ref="J2621:K2621" si="2621">SUBSTITUTE(H2621, ",", "")</f>
        <v>1</v>
      </c>
      <c r="K2621" s="5" t="str">
        <f t="shared" si="2621"/>
        <v>Rp342000</v>
      </c>
      <c r="L2621" s="5" t="str">
        <f t="shared" si="3"/>
        <v>342000</v>
      </c>
    </row>
    <row r="2622">
      <c r="A2622" s="6" t="s">
        <v>3883</v>
      </c>
      <c r="B2622" s="7" t="str">
        <f>HYPERLINK("https://shopee.co.id/PIXY-White-Aqua-Concentrate-Brightening-Serum-18ml-i.187117294.4317413293", "https://shopee.co.id/PIXY-White-Aqua-Concentrate-Brightening-Serum-18ml-i.187117294.4317413293")</f>
        <v>https://shopee.co.id/PIXY-White-Aqua-Concentrate-Brightening-Serum-18ml-i.187117294.4317413293</v>
      </c>
      <c r="C2622" s="6" t="s">
        <v>1398</v>
      </c>
      <c r="D2622" s="6" t="s">
        <v>2366</v>
      </c>
      <c r="E2622" s="6" t="s">
        <v>12</v>
      </c>
      <c r="F2622" s="6" t="s">
        <v>13</v>
      </c>
      <c r="G2622" s="6" t="s">
        <v>469</v>
      </c>
      <c r="H2622" s="8" t="s">
        <v>3612</v>
      </c>
      <c r="I2622" s="9">
        <v>219000.0</v>
      </c>
      <c r="J2622" s="5" t="str">
        <f t="shared" ref="J2622:K2622" si="2622">SUBSTITUTE(H2622, ",", "")</f>
        <v>1</v>
      </c>
      <c r="K2622" s="5" t="str">
        <f t="shared" si="2622"/>
        <v>Rp219000</v>
      </c>
      <c r="L2622" s="5" t="str">
        <f t="shared" si="3"/>
        <v>219000</v>
      </c>
    </row>
    <row r="2623">
      <c r="A2623" s="6" t="s">
        <v>3884</v>
      </c>
      <c r="B2623" s="7" t="str">
        <f>HYPERLINK("https://shopee.co.id/HUMPHREY-Niacinamide-10-Intensive-Serum-20ml-i.68111.10102604171", "https://shopee.co.id/HUMPHREY-Niacinamide-10-Intensive-Serum-20ml-i.68111.10102604171")</f>
        <v>https://shopee.co.id/HUMPHREY-Niacinamide-10-Intensive-Serum-20ml-i.68111.10102604171</v>
      </c>
      <c r="C2623" s="6" t="s">
        <v>1832</v>
      </c>
      <c r="D2623" s="6" t="s">
        <v>441</v>
      </c>
      <c r="E2623" s="6" t="s">
        <v>12</v>
      </c>
      <c r="F2623" s="6" t="s">
        <v>13</v>
      </c>
      <c r="G2623" s="6" t="s">
        <v>130</v>
      </c>
      <c r="H2623" s="8" t="s">
        <v>3612</v>
      </c>
      <c r="I2623" s="9">
        <v>227000.0</v>
      </c>
      <c r="J2623" s="5" t="str">
        <f t="shared" ref="J2623:K2623" si="2623">SUBSTITUTE(H2623, ",", "")</f>
        <v>1</v>
      </c>
      <c r="K2623" s="5" t="str">
        <f t="shared" si="2623"/>
        <v>Rp227000</v>
      </c>
      <c r="L2623" s="5" t="str">
        <f t="shared" si="3"/>
        <v>227000</v>
      </c>
    </row>
    <row r="2624">
      <c r="A2624" s="6" t="s">
        <v>3885</v>
      </c>
      <c r="B2624" s="7" t="str">
        <f>HYPERLINK("https://shopee.co.id/HUMPHREY-Hairloss-Serum-i.68111.11302582079", "https://shopee.co.id/HUMPHREY-Hairloss-Serum-i.68111.11302582079")</f>
        <v>https://shopee.co.id/HUMPHREY-Hairloss-Serum-i.68111.11302582079</v>
      </c>
      <c r="C2624" s="6" t="s">
        <v>3879</v>
      </c>
      <c r="D2624" s="6" t="s">
        <v>441</v>
      </c>
      <c r="E2624" s="6" t="s">
        <v>12</v>
      </c>
      <c r="F2624" s="6" t="s">
        <v>13</v>
      </c>
      <c r="G2624" s="6" t="s">
        <v>130</v>
      </c>
      <c r="H2624" s="8" t="s">
        <v>3612</v>
      </c>
      <c r="I2624" s="9">
        <v>57500.0</v>
      </c>
      <c r="J2624" s="5" t="str">
        <f t="shared" ref="J2624:K2624" si="2624">SUBSTITUTE(H2624, ",", "")</f>
        <v>1</v>
      </c>
      <c r="K2624" s="5" t="str">
        <f t="shared" si="2624"/>
        <v>Rp57500</v>
      </c>
      <c r="L2624" s="5" t="str">
        <f t="shared" si="3"/>
        <v>57500</v>
      </c>
    </row>
    <row r="2625">
      <c r="A2625" s="6" t="s">
        <v>3886</v>
      </c>
      <c r="B2625" s="7" t="str">
        <f>HYPERLINK("https://shopee.co.id/Safi-Age-Defy-Gold-Water-30-30-Banded-i.30736001.10712284898", "https://shopee.co.id/Safi-Age-Defy-Gold-Water-30-30-Banded-i.30736001.10712284898")</f>
        <v>https://shopee.co.id/Safi-Age-Defy-Gold-Water-30-30-Banded-i.30736001.10712284898</v>
      </c>
      <c r="C2625" s="6" t="s">
        <v>278</v>
      </c>
      <c r="D2625" s="6" t="s">
        <v>335</v>
      </c>
      <c r="E2625" s="6" t="s">
        <v>12</v>
      </c>
      <c r="F2625" s="6" t="s">
        <v>13</v>
      </c>
      <c r="G2625" s="6" t="s">
        <v>36</v>
      </c>
      <c r="H2625" s="8" t="s">
        <v>3612</v>
      </c>
      <c r="I2625" s="9">
        <v>295000.0</v>
      </c>
      <c r="J2625" s="5" t="str">
        <f t="shared" ref="J2625:K2625" si="2625">SUBSTITUTE(H2625, ",", "")</f>
        <v>1</v>
      </c>
      <c r="K2625" s="5" t="str">
        <f t="shared" si="2625"/>
        <v>Rp295000</v>
      </c>
      <c r="L2625" s="5" t="str">
        <f t="shared" si="3"/>
        <v>295000</v>
      </c>
    </row>
    <row r="2626">
      <c r="A2626" s="6" t="s">
        <v>3887</v>
      </c>
      <c r="B2626" s="7" t="str">
        <f>HYPERLINK("https://shopee.co.id/Aubree-Ginseng-Renewing-First-Serum-30ml-i.825870.7822871149", "https://shopee.co.id/Aubree-Ginseng-Renewing-First-Serum-30ml-i.825870.7822871149")</f>
        <v>https://shopee.co.id/Aubree-Ginseng-Renewing-First-Serum-30ml-i.825870.7822871149</v>
      </c>
      <c r="C2626" s="6" t="s">
        <v>2642</v>
      </c>
      <c r="D2626" s="6" t="s">
        <v>1184</v>
      </c>
      <c r="E2626" s="6" t="s">
        <v>12</v>
      </c>
      <c r="F2626" s="6" t="s">
        <v>13</v>
      </c>
      <c r="G2626" s="6" t="s">
        <v>21</v>
      </c>
      <c r="H2626" s="8" t="s">
        <v>3612</v>
      </c>
      <c r="I2626" s="9">
        <v>890000.0</v>
      </c>
      <c r="J2626" s="5" t="str">
        <f t="shared" ref="J2626:K2626" si="2626">SUBSTITUTE(H2626, ",", "")</f>
        <v>1</v>
      </c>
      <c r="K2626" s="5" t="str">
        <f t="shared" si="2626"/>
        <v>Rp890000</v>
      </c>
      <c r="L2626" s="5" t="str">
        <f t="shared" si="3"/>
        <v>890000</v>
      </c>
    </row>
    <row r="2627">
      <c r="A2627" s="6" t="s">
        <v>3888</v>
      </c>
      <c r="B2627" s="7" t="str">
        <f>HYPERLINK("https://shopee.co.id/The-Aubree-Ginseng-Renewing-First-Serum-30ml-i.136011044.8212846987", "https://shopee.co.id/The-Aubree-Ginseng-Renewing-First-Serum-30ml-i.136011044.8212846987")</f>
        <v>https://shopee.co.id/The-Aubree-Ginseng-Renewing-First-Serum-30ml-i.136011044.8212846987</v>
      </c>
      <c r="C2627" s="6" t="s">
        <v>772</v>
      </c>
      <c r="D2627" s="6" t="s">
        <v>632</v>
      </c>
      <c r="E2627" s="6" t="s">
        <v>12</v>
      </c>
      <c r="F2627" s="6" t="s">
        <v>13</v>
      </c>
      <c r="G2627" s="6" t="s">
        <v>21</v>
      </c>
      <c r="H2627" s="8" t="s">
        <v>3612</v>
      </c>
      <c r="I2627" s="9">
        <v>295000.0</v>
      </c>
      <c r="J2627" s="5" t="str">
        <f t="shared" ref="J2627:K2627" si="2627">SUBSTITUTE(H2627, ",", "")</f>
        <v>1</v>
      </c>
      <c r="K2627" s="5" t="str">
        <f t="shared" si="2627"/>
        <v>Rp295000</v>
      </c>
      <c r="L2627" s="5" t="str">
        <f t="shared" si="3"/>
        <v>295000</v>
      </c>
    </row>
    <row r="2628">
      <c r="A2628" s="6" t="s">
        <v>3889</v>
      </c>
      <c r="B2628" s="7" t="str">
        <f>HYPERLINK("https://shopee.co.id/MSBB-Tropistories-Eucheuma-Serum-i.288588702.11344168444", "https://shopee.co.id/MSBB-Tropistories-Eucheuma-Serum-i.288588702.11344168444")</f>
        <v>https://shopee.co.id/MSBB-Tropistories-Eucheuma-Serum-i.288588702.11344168444</v>
      </c>
      <c r="C2628" s="6" t="s">
        <v>78</v>
      </c>
      <c r="D2628" s="6" t="s">
        <v>79</v>
      </c>
      <c r="E2628" s="6" t="s">
        <v>12</v>
      </c>
      <c r="F2628" s="6" t="s">
        <v>13</v>
      </c>
      <c r="G2628" s="6" t="s">
        <v>80</v>
      </c>
      <c r="H2628" s="8" t="s">
        <v>3612</v>
      </c>
      <c r="I2628" s="9">
        <v>179100.0</v>
      </c>
      <c r="J2628" s="5" t="str">
        <f t="shared" ref="J2628:K2628" si="2628">SUBSTITUTE(H2628, ",", "")</f>
        <v>1</v>
      </c>
      <c r="K2628" s="5" t="str">
        <f t="shared" si="2628"/>
        <v>Rp179100</v>
      </c>
      <c r="L2628" s="5" t="str">
        <f t="shared" si="3"/>
        <v>179100</v>
      </c>
    </row>
    <row r="2629">
      <c r="A2629" s="6" t="s">
        <v>1962</v>
      </c>
      <c r="B2629" s="7" t="str">
        <f>HYPERLINK("https://shopee.co.id/WHITELAB-BRIGHTENING-FACE-SERUM-20ML-i.187117294.8404510784", "https://shopee.co.id/WHITELAB-BRIGHTENING-FACE-SERUM-20ML-i.187117294.8404510784")</f>
        <v>https://shopee.co.id/WHITELAB-BRIGHTENING-FACE-SERUM-20ML-i.187117294.8404510784</v>
      </c>
      <c r="C2629" s="6" t="s">
        <v>59</v>
      </c>
      <c r="D2629" s="6" t="s">
        <v>2366</v>
      </c>
      <c r="E2629" s="6" t="s">
        <v>12</v>
      </c>
      <c r="F2629" s="6" t="s">
        <v>13</v>
      </c>
      <c r="G2629" s="6" t="s">
        <v>469</v>
      </c>
      <c r="H2629" s="8" t="s">
        <v>3612</v>
      </c>
      <c r="I2629" s="9">
        <v>67000.0</v>
      </c>
      <c r="J2629" s="5" t="str">
        <f t="shared" ref="J2629:K2629" si="2629">SUBSTITUTE(H2629, ",", "")</f>
        <v>1</v>
      </c>
      <c r="K2629" s="5" t="str">
        <f t="shared" si="2629"/>
        <v>Rp67000</v>
      </c>
      <c r="L2629" s="5" t="str">
        <f t="shared" si="3"/>
        <v>67000</v>
      </c>
    </row>
    <row r="2630">
      <c r="A2630" s="6" t="s">
        <v>3890</v>
      </c>
      <c r="B2630" s="7" t="str">
        <f>HYPERLINK("https://shopee.co.id/Aknema-Bha-Ha-Serum-i.17081863.5793871823", "https://shopee.co.id/Aknema-Bha-Ha-Serum-i.17081863.5793871823")</f>
        <v>https://shopee.co.id/Aknema-Bha-Ha-Serum-i.17081863.5793871823</v>
      </c>
      <c r="C2630" s="6" t="s">
        <v>1912</v>
      </c>
      <c r="D2630" s="6" t="s">
        <v>2497</v>
      </c>
      <c r="E2630" s="6" t="s">
        <v>12</v>
      </c>
      <c r="F2630" s="6" t="s">
        <v>13</v>
      </c>
      <c r="G2630" s="6" t="s">
        <v>21</v>
      </c>
      <c r="H2630" s="8" t="s">
        <v>3612</v>
      </c>
      <c r="I2630" s="9">
        <v>42770.0</v>
      </c>
      <c r="J2630" s="5" t="str">
        <f t="shared" ref="J2630:K2630" si="2630">SUBSTITUTE(H2630, ",", "")</f>
        <v>1</v>
      </c>
      <c r="K2630" s="5" t="str">
        <f t="shared" si="2630"/>
        <v>Rp42770</v>
      </c>
      <c r="L2630" s="5" t="str">
        <f t="shared" si="3"/>
        <v>42770</v>
      </c>
    </row>
    <row r="2631">
      <c r="A2631" s="6" t="s">
        <v>3891</v>
      </c>
      <c r="B2631" s="7" t="str">
        <f>HYPERLINK("https://shopee.co.id/PIXY-white-aqua-HYDRA-MOIST-ESSENCE-125-ML-i.187117294.7240030111", "https://shopee.co.id/PIXY-white-aqua-HYDRA-MOIST-ESSENCE-125-ML-i.187117294.7240030111")</f>
        <v>https://shopee.co.id/PIXY-white-aqua-HYDRA-MOIST-ESSENCE-125-ML-i.187117294.7240030111</v>
      </c>
      <c r="C2631" s="6" t="s">
        <v>1398</v>
      </c>
      <c r="D2631" s="6" t="s">
        <v>2366</v>
      </c>
      <c r="E2631" s="6" t="s">
        <v>12</v>
      </c>
      <c r="F2631" s="6" t="s">
        <v>13</v>
      </c>
      <c r="G2631" s="6" t="s">
        <v>469</v>
      </c>
      <c r="H2631" s="8" t="s">
        <v>3612</v>
      </c>
      <c r="I2631" s="9">
        <v>117000.0</v>
      </c>
      <c r="J2631" s="5" t="str">
        <f t="shared" ref="J2631:K2631" si="2631">SUBSTITUTE(H2631, ",", "")</f>
        <v>1</v>
      </c>
      <c r="K2631" s="5" t="str">
        <f t="shared" si="2631"/>
        <v>Rp117000</v>
      </c>
      <c r="L2631" s="5" t="str">
        <f t="shared" si="3"/>
        <v>117000</v>
      </c>
    </row>
    <row r="2632">
      <c r="A2632" s="6" t="s">
        <v>3892</v>
      </c>
      <c r="B2632" s="7" t="str">
        <f>HYPERLINK("https://shopee.co.id/Shopee-Best-Seller-Smooto-Tomato-Collagen-White-Serum-i.65619901.1086799544", "https://shopee.co.id/Shopee-Best-Seller-Smooto-Tomato-Collagen-White-Serum-i.65619901.1086799544")</f>
        <v>https://shopee.co.id/Shopee-Best-Seller-Smooto-Tomato-Collagen-White-Serum-i.65619901.1086799544</v>
      </c>
      <c r="C2632" s="6" t="s">
        <v>2779</v>
      </c>
      <c r="D2632" s="6" t="s">
        <v>2780</v>
      </c>
      <c r="E2632" s="6" t="s">
        <v>12</v>
      </c>
      <c r="F2632" s="6" t="s">
        <v>13</v>
      </c>
      <c r="G2632" s="6" t="s">
        <v>85</v>
      </c>
      <c r="H2632" s="8" t="s">
        <v>3612</v>
      </c>
      <c r="I2632" s="9">
        <v>141000.0</v>
      </c>
      <c r="J2632" s="5" t="str">
        <f t="shared" ref="J2632:K2632" si="2632">SUBSTITUTE(H2632, ",", "")</f>
        <v>1</v>
      </c>
      <c r="K2632" s="5" t="str">
        <f t="shared" si="2632"/>
        <v>Rp141000</v>
      </c>
      <c r="L2632" s="5" t="str">
        <f t="shared" si="3"/>
        <v>141000</v>
      </c>
    </row>
    <row r="2633">
      <c r="A2633" s="6" t="s">
        <v>3893</v>
      </c>
      <c r="B2633" s="7" t="str">
        <f>HYPERLINK("https://shopee.co.id/VIENNA-BEAUTY-FACE-SERUM-HYALURONIC-ACID-15ML-BOTTLE-i.8463767.4633496740", "https://shopee.co.id/VIENNA-BEAUTY-FACE-SERUM-HYALURONIC-ACID-15ML-BOTTLE-i.8463767.4633496740")</f>
        <v>https://shopee.co.id/VIENNA-BEAUTY-FACE-SERUM-HYALURONIC-ACID-15ML-BOTTLE-i.8463767.4633496740</v>
      </c>
      <c r="C2633" s="6" t="s">
        <v>3453</v>
      </c>
      <c r="D2633" s="6" t="s">
        <v>3454</v>
      </c>
      <c r="E2633" s="6" t="s">
        <v>12</v>
      </c>
      <c r="F2633" s="6" t="s">
        <v>13</v>
      </c>
      <c r="G2633" s="6" t="s">
        <v>36</v>
      </c>
      <c r="H2633" s="8" t="s">
        <v>3612</v>
      </c>
      <c r="I2633" s="9">
        <v>174000.0</v>
      </c>
      <c r="J2633" s="5" t="str">
        <f t="shared" ref="J2633:K2633" si="2633">SUBSTITUTE(H2633, ",", "")</f>
        <v>1</v>
      </c>
      <c r="K2633" s="5" t="str">
        <f t="shared" si="2633"/>
        <v>Rp174000</v>
      </c>
      <c r="L2633" s="5" t="str">
        <f t="shared" si="3"/>
        <v>174000</v>
      </c>
    </row>
    <row r="2634">
      <c r="A2634" s="6" t="s">
        <v>3894</v>
      </c>
      <c r="B2634" s="7" t="str">
        <f>HYPERLINK("https://shopee.co.id/Garnier-Sakura-Whitening-Serum-cream-SPF30-50-ml-i.186214521.6823875348", "https://shopee.co.id/Garnier-Sakura-Whitening-Serum-cream-SPF30-50-ml-i.186214521.6823875348")</f>
        <v>https://shopee.co.id/Garnier-Sakura-Whitening-Serum-cream-SPF30-50-ml-i.186214521.6823875348</v>
      </c>
      <c r="C2634" s="6" t="s">
        <v>74</v>
      </c>
      <c r="D2634" s="6" t="s">
        <v>2293</v>
      </c>
      <c r="E2634" s="6" t="s">
        <v>12</v>
      </c>
      <c r="F2634" s="6" t="s">
        <v>13</v>
      </c>
      <c r="G2634" s="6" t="s">
        <v>61</v>
      </c>
      <c r="H2634" s="8" t="s">
        <v>3612</v>
      </c>
      <c r="I2634" s="9">
        <v>215600.0</v>
      </c>
      <c r="J2634" s="5" t="str">
        <f t="shared" ref="J2634:K2634" si="2634">SUBSTITUTE(H2634, ",", "")</f>
        <v>1</v>
      </c>
      <c r="K2634" s="5" t="str">
        <f t="shared" si="2634"/>
        <v>Rp215600</v>
      </c>
      <c r="L2634" s="5" t="str">
        <f t="shared" si="3"/>
        <v>215600</v>
      </c>
    </row>
    <row r="2635">
      <c r="A2635" s="6" t="s">
        <v>3895</v>
      </c>
      <c r="B2635" s="7" t="str">
        <f>HYPERLINK("https://shopee.co.id/Mineral-Botanica-Brightening-Face-Serum-15ml-i.121791179.3432071091", "https://shopee.co.id/Mineral-Botanica-Brightening-Face-Serum-15ml-i.121791179.3432071091")</f>
        <v>https://shopee.co.id/Mineral-Botanica-Brightening-Face-Serum-15ml-i.121791179.3432071091</v>
      </c>
      <c r="C2635" s="6" t="s">
        <v>807</v>
      </c>
      <c r="D2635" s="6" t="s">
        <v>1733</v>
      </c>
      <c r="E2635" s="6" t="s">
        <v>12</v>
      </c>
      <c r="F2635" s="6" t="s">
        <v>13</v>
      </c>
      <c r="G2635" s="6" t="s">
        <v>36</v>
      </c>
      <c r="H2635" s="8" t="s">
        <v>3612</v>
      </c>
      <c r="I2635" s="9">
        <v>255000.0</v>
      </c>
      <c r="J2635" s="5" t="str">
        <f t="shared" ref="J2635:K2635" si="2635">SUBSTITUTE(H2635, ",", "")</f>
        <v>1</v>
      </c>
      <c r="K2635" s="5" t="str">
        <f t="shared" si="2635"/>
        <v>Rp255000</v>
      </c>
      <c r="L2635" s="5" t="str">
        <f t="shared" si="3"/>
        <v>255000</v>
      </c>
    </row>
    <row r="2636">
      <c r="A2636" s="6" t="s">
        <v>3896</v>
      </c>
      <c r="B2636" s="7" t="str">
        <f>HYPERLINK("https://shopee.co.id/the-Aubree-Ginseng-Renewing-First-Serum-30ml-i.50948181.7072823014", "https://shopee.co.id/the-Aubree-Ginseng-Renewing-First-Serum-30ml-i.50948181.7072823014")</f>
        <v>https://shopee.co.id/the-Aubree-Ginseng-Renewing-First-Serum-30ml-i.50948181.7072823014</v>
      </c>
      <c r="C2636" s="6" t="s">
        <v>772</v>
      </c>
      <c r="D2636" s="6" t="s">
        <v>1129</v>
      </c>
      <c r="E2636" s="6" t="s">
        <v>12</v>
      </c>
      <c r="F2636" s="6" t="s">
        <v>13</v>
      </c>
      <c r="G2636" s="6" t="s">
        <v>1130</v>
      </c>
      <c r="H2636" s="8" t="s">
        <v>3612</v>
      </c>
      <c r="I2636" s="9">
        <v>319000.0</v>
      </c>
      <c r="J2636" s="5" t="str">
        <f t="shared" ref="J2636:K2636" si="2636">SUBSTITUTE(H2636, ",", "")</f>
        <v>1</v>
      </c>
      <c r="K2636" s="5" t="str">
        <f t="shared" si="2636"/>
        <v>Rp319000</v>
      </c>
      <c r="L2636" s="5" t="str">
        <f t="shared" si="3"/>
        <v>319000</v>
      </c>
    </row>
    <row r="2637">
      <c r="A2637" s="6" t="s">
        <v>3897</v>
      </c>
      <c r="B2637" s="7" t="str">
        <f>HYPERLINK("https://shopee.co.id/the-Aubree-Rose-Bloom-Petal-Essence-120ml-i.50948181.8214406240", "https://shopee.co.id/the-Aubree-Rose-Bloom-Petal-Essence-120ml-i.50948181.8214406240")</f>
        <v>https://shopee.co.id/the-Aubree-Rose-Bloom-Petal-Essence-120ml-i.50948181.8214406240</v>
      </c>
      <c r="C2637" s="6" t="s">
        <v>772</v>
      </c>
      <c r="D2637" s="6" t="s">
        <v>1129</v>
      </c>
      <c r="E2637" s="6" t="s">
        <v>12</v>
      </c>
      <c r="F2637" s="6" t="s">
        <v>13</v>
      </c>
      <c r="G2637" s="6" t="s">
        <v>1130</v>
      </c>
      <c r="H2637" s="8" t="s">
        <v>3612</v>
      </c>
      <c r="I2637" s="9">
        <v>90000.0</v>
      </c>
      <c r="J2637" s="5" t="str">
        <f t="shared" ref="J2637:K2637" si="2637">SUBSTITUTE(H2637, ",", "")</f>
        <v>1</v>
      </c>
      <c r="K2637" s="5" t="str">
        <f t="shared" si="2637"/>
        <v>Rp90000</v>
      </c>
      <c r="L2637" s="5" t="str">
        <f t="shared" si="3"/>
        <v>90000</v>
      </c>
    </row>
    <row r="2638">
      <c r="A2638" s="6" t="s">
        <v>3898</v>
      </c>
      <c r="B2638" s="7" t="str">
        <f>HYPERLINK("https://shopee.co.id/Liplapin-Glow-Activating-Serum-i.17081863.8714491888", "https://shopee.co.id/Liplapin-Glow-Activating-Serum-i.17081863.8714491888")</f>
        <v>https://shopee.co.id/Liplapin-Glow-Activating-Serum-i.17081863.8714491888</v>
      </c>
      <c r="C2638" s="6" t="s">
        <v>3899</v>
      </c>
      <c r="D2638" s="6" t="s">
        <v>2497</v>
      </c>
      <c r="E2638" s="6" t="s">
        <v>12</v>
      </c>
      <c r="F2638" s="6" t="s">
        <v>13</v>
      </c>
      <c r="G2638" s="6" t="s">
        <v>21</v>
      </c>
      <c r="H2638" s="8" t="s">
        <v>3612</v>
      </c>
      <c r="I2638" s="9">
        <v>88000.0</v>
      </c>
      <c r="J2638" s="5" t="str">
        <f t="shared" ref="J2638:K2638" si="2638">SUBSTITUTE(H2638, ",", "")</f>
        <v>1</v>
      </c>
      <c r="K2638" s="5" t="str">
        <f t="shared" si="2638"/>
        <v>Rp88000</v>
      </c>
      <c r="L2638" s="5" t="str">
        <f t="shared" si="3"/>
        <v>88000</v>
      </c>
    </row>
    <row r="2639">
      <c r="A2639" s="6" t="s">
        <v>3900</v>
      </c>
      <c r="B2639" s="7" t="str">
        <f>HYPERLINK("https://shopee.co.id/Emina-Bright-Stuff-Face-Serum-30Ml-i.186214521.10306956743", "https://shopee.co.id/Emina-Bright-Stuff-Face-Serum-30Ml-i.186214521.10306956743")</f>
        <v>https://shopee.co.id/Emina-Bright-Stuff-Face-Serum-30Ml-i.186214521.10306956743</v>
      </c>
      <c r="C2639" s="6" t="s">
        <v>209</v>
      </c>
      <c r="D2639" s="6" t="s">
        <v>2293</v>
      </c>
      <c r="E2639" s="6" t="s">
        <v>12</v>
      </c>
      <c r="F2639" s="6" t="s">
        <v>13</v>
      </c>
      <c r="G2639" s="6" t="s">
        <v>3901</v>
      </c>
      <c r="H2639" s="8" t="s">
        <v>3612</v>
      </c>
      <c r="I2639" s="9">
        <v>188900.0</v>
      </c>
      <c r="J2639" s="5" t="str">
        <f t="shared" ref="J2639:K2639" si="2639">SUBSTITUTE(H2639, ",", "")</f>
        <v>1</v>
      </c>
      <c r="K2639" s="5" t="str">
        <f t="shared" si="2639"/>
        <v>Rp188900</v>
      </c>
      <c r="L2639" s="5" t="str">
        <f t="shared" si="3"/>
        <v>188900</v>
      </c>
    </row>
    <row r="2640">
      <c r="A2640" s="6" t="s">
        <v>3902</v>
      </c>
      <c r="B2640" s="7" t="str">
        <f>HYPERLINK("https://shopee.co.id/Hanasui-Anti-Acne-Serum-20Ml-Serum-Wajah-Pelembab-Wajah-Vitamin-Wajah-Obat-Jerawat-Isi-2--i.175375997.4600248293", "https://shopee.co.id/Hanasui-Anti-Acne-Serum-20Ml-Serum-Wajah-Pelembab-Wajah-Vitamin-Wajah-Obat-Jerawat-Isi-2--i.175375997.4600248293")</f>
        <v>https://shopee.co.id/Hanasui-Anti-Acne-Serum-20Ml-Serum-Wajah-Pelembab-Wajah-Vitamin-Wajah-Obat-Jerawat-Isi-2--i.175375997.4600248293</v>
      </c>
      <c r="C2640" s="6" t="s">
        <v>784</v>
      </c>
      <c r="D2640" s="6" t="s">
        <v>2123</v>
      </c>
      <c r="E2640" s="6" t="s">
        <v>12</v>
      </c>
      <c r="F2640" s="6" t="s">
        <v>13</v>
      </c>
      <c r="G2640" s="6" t="s">
        <v>36</v>
      </c>
      <c r="H2640" s="8" t="s">
        <v>3612</v>
      </c>
      <c r="I2640" s="9">
        <v>180420.0</v>
      </c>
      <c r="J2640" s="5" t="str">
        <f t="shared" ref="J2640:K2640" si="2640">SUBSTITUTE(H2640, ",", "")</f>
        <v>1</v>
      </c>
      <c r="K2640" s="5" t="str">
        <f t="shared" si="2640"/>
        <v>Rp180420</v>
      </c>
      <c r="L2640" s="5" t="str">
        <f t="shared" si="3"/>
        <v>180420</v>
      </c>
    </row>
    <row r="2641">
      <c r="A2641" s="6" t="s">
        <v>3903</v>
      </c>
      <c r="B2641" s="7" t="str">
        <f>HYPERLINK("https://shopee.co.id/Purivera-Premium-Evening-Primrose-Oil-30ml-i.8320815.3454202637", "https://shopee.co.id/Purivera-Premium-Evening-Primrose-Oil-30ml-i.8320815.3454202637")</f>
        <v>https://shopee.co.id/Purivera-Premium-Evening-Primrose-Oil-30ml-i.8320815.3454202637</v>
      </c>
      <c r="C2641" s="6" t="s">
        <v>428</v>
      </c>
      <c r="D2641" s="6" t="s">
        <v>3904</v>
      </c>
      <c r="E2641" s="6" t="s">
        <v>12</v>
      </c>
      <c r="F2641" s="6" t="s">
        <v>13</v>
      </c>
      <c r="G2641" s="6" t="s">
        <v>469</v>
      </c>
      <c r="H2641" s="8" t="s">
        <v>3612</v>
      </c>
      <c r="I2641" s="9">
        <v>222580.0</v>
      </c>
      <c r="J2641" s="5" t="str">
        <f t="shared" ref="J2641:K2641" si="2641">SUBSTITUTE(H2641, ",", "")</f>
        <v>1</v>
      </c>
      <c r="K2641" s="5" t="str">
        <f t="shared" si="2641"/>
        <v>Rp222580</v>
      </c>
      <c r="L2641" s="5" t="str">
        <f t="shared" si="3"/>
        <v>222580</v>
      </c>
    </row>
    <row r="2642">
      <c r="A2642" s="6" t="s">
        <v>3905</v>
      </c>
      <c r="B2642" s="7" t="str">
        <f>HYPERLINK("https://shopee.co.id/Dear-Me-Beauty-Hyaluronic-Acid-Pomegranate-Extract-Face-Serum-i.10689.11613127137", "https://shopee.co.id/Dear-Me-Beauty-Hyaluronic-Acid-Pomegranate-Extract-Face-Serum-i.10689.11613127137")</f>
        <v>https://shopee.co.id/Dear-Me-Beauty-Hyaluronic-Acid-Pomegranate-Extract-Face-Serum-i.10689.11613127137</v>
      </c>
      <c r="C2642" s="6" t="s">
        <v>70</v>
      </c>
      <c r="D2642" s="6" t="s">
        <v>745</v>
      </c>
      <c r="E2642" s="6" t="s">
        <v>12</v>
      </c>
      <c r="F2642" s="6" t="s">
        <v>13</v>
      </c>
      <c r="G2642" s="6" t="s">
        <v>61</v>
      </c>
      <c r="H2642" s="8" t="s">
        <v>3612</v>
      </c>
      <c r="I2642" s="9">
        <v>222580.0</v>
      </c>
      <c r="J2642" s="5" t="str">
        <f t="shared" ref="J2642:K2642" si="2642">SUBSTITUTE(H2642, ",", "")</f>
        <v>1</v>
      </c>
      <c r="K2642" s="5" t="str">
        <f t="shared" si="2642"/>
        <v>Rp222580</v>
      </c>
      <c r="L2642" s="5" t="str">
        <f t="shared" si="3"/>
        <v>222580</v>
      </c>
    </row>
    <row r="2643">
      <c r="A2643" s="6" t="s">
        <v>3341</v>
      </c>
      <c r="B2643" s="7" t="str">
        <f>HYPERLINK("https://shopee.co.id/GLOWINC-POTION-HYDRALIVE-Moisture-Lock-Serum-i.68111.11633736883", "https://shopee.co.id/GLOWINC-POTION-HYDRALIVE-Moisture-Lock-Serum-i.68111.11633736883")</f>
        <v>https://shopee.co.id/GLOWINC-POTION-HYDRALIVE-Moisture-Lock-Serum-i.68111.11633736883</v>
      </c>
      <c r="C2643" s="6" t="s">
        <v>1898</v>
      </c>
      <c r="D2643" s="6" t="s">
        <v>441</v>
      </c>
      <c r="E2643" s="6" t="s">
        <v>12</v>
      </c>
      <c r="F2643" s="6" t="s">
        <v>13</v>
      </c>
      <c r="G2643" s="6" t="s">
        <v>130</v>
      </c>
      <c r="H2643" s="8" t="s">
        <v>3612</v>
      </c>
      <c r="I2643" s="9">
        <v>285000.0</v>
      </c>
      <c r="J2643" s="5" t="str">
        <f t="shared" ref="J2643:K2643" si="2643">SUBSTITUTE(H2643, ",", "")</f>
        <v>1</v>
      </c>
      <c r="K2643" s="5" t="str">
        <f t="shared" si="2643"/>
        <v>Rp285000</v>
      </c>
      <c r="L2643" s="5" t="str">
        <f t="shared" si="3"/>
        <v>285000</v>
      </c>
    </row>
    <row r="2644">
      <c r="A2644" s="6" t="s">
        <v>3906</v>
      </c>
      <c r="B2644" s="7" t="str">
        <f>HYPERLINK("https://shopee.co.id/Indoganic-Rose-Essence-C-20ml-i.825870.9572894565", "https://shopee.co.id/Indoganic-Rose-Essence-C-20ml-i.825870.9572894565")</f>
        <v>https://shopee.co.id/Indoganic-Rose-Essence-C-20ml-i.825870.9572894565</v>
      </c>
      <c r="C2644" s="6" t="s">
        <v>995</v>
      </c>
      <c r="D2644" s="6" t="s">
        <v>1184</v>
      </c>
      <c r="E2644" s="6" t="s">
        <v>12</v>
      </c>
      <c r="F2644" s="6" t="s">
        <v>13</v>
      </c>
      <c r="G2644" s="6" t="s">
        <v>21</v>
      </c>
      <c r="H2644" s="8" t="s">
        <v>3612</v>
      </c>
      <c r="I2644" s="9">
        <v>322500.0</v>
      </c>
      <c r="J2644" s="5" t="str">
        <f t="shared" ref="J2644:K2644" si="2644">SUBSTITUTE(H2644, ",", "")</f>
        <v>1</v>
      </c>
      <c r="K2644" s="5" t="str">
        <f t="shared" si="2644"/>
        <v>Rp322500</v>
      </c>
      <c r="L2644" s="5" t="str">
        <f t="shared" si="3"/>
        <v>322500</v>
      </c>
    </row>
    <row r="2645">
      <c r="A2645" s="6" t="s">
        <v>3907</v>
      </c>
      <c r="B2645" s="7" t="str">
        <f>HYPERLINK("https://shopee.co.id/Garnier-Sakura-White-Hyaluron-30-x-Booster-Serum-Skin-Care-15-mL-i.65323877.9579219876", "https://shopee.co.id/Garnier-Sakura-White-Hyaluron-30-x-Booster-Serum-Skin-Care-15-mL-i.65323877.9579219876")</f>
        <v>https://shopee.co.id/Garnier-Sakura-White-Hyaluron-30-x-Booster-Serum-Skin-Care-15-mL-i.65323877.9579219876</v>
      </c>
      <c r="C2645" s="6" t="s">
        <v>74</v>
      </c>
      <c r="D2645" s="6" t="s">
        <v>1600</v>
      </c>
      <c r="E2645" s="6" t="s">
        <v>12</v>
      </c>
      <c r="F2645" s="6" t="s">
        <v>13</v>
      </c>
      <c r="G2645" s="6" t="s">
        <v>296</v>
      </c>
      <c r="H2645" s="8" t="s">
        <v>3612</v>
      </c>
      <c r="I2645" s="9">
        <v>322500.0</v>
      </c>
      <c r="J2645" s="5" t="str">
        <f t="shared" ref="J2645:K2645" si="2645">SUBSTITUTE(H2645, ",", "")</f>
        <v>1</v>
      </c>
      <c r="K2645" s="5" t="str">
        <f t="shared" si="2645"/>
        <v>Rp322500</v>
      </c>
      <c r="L2645" s="5" t="str">
        <f t="shared" si="3"/>
        <v>322500</v>
      </c>
    </row>
    <row r="2646">
      <c r="A2646" s="6" t="s">
        <v>3908</v>
      </c>
      <c r="B2646" s="7" t="str">
        <f>HYPERLINK("https://shopee.co.id/SCARLETT-Whitening-Brightly-Ever-After-Serum-Pencerah-Wajah-15-ml-i.332732864.4079844096", "https://shopee.co.id/SCARLETT-Whitening-Brightly-Ever-After-Serum-Pencerah-Wajah-15-ml-i.332732864.4079844096")</f>
        <v>https://shopee.co.id/SCARLETT-Whitening-Brightly-Ever-After-Serum-Pencerah-Wajah-15-ml-i.332732864.4079844096</v>
      </c>
      <c r="C2646" s="6" t="s">
        <v>19</v>
      </c>
      <c r="D2646" s="6" t="s">
        <v>3780</v>
      </c>
      <c r="E2646" s="6" t="s">
        <v>12</v>
      </c>
      <c r="F2646" s="6" t="s">
        <v>13</v>
      </c>
      <c r="G2646" s="6" t="s">
        <v>21</v>
      </c>
      <c r="H2646" s="8" t="s">
        <v>3612</v>
      </c>
      <c r="I2646" s="9">
        <v>110400.0</v>
      </c>
      <c r="J2646" s="5" t="str">
        <f t="shared" ref="J2646:K2646" si="2646">SUBSTITUTE(H2646, ",", "")</f>
        <v>1</v>
      </c>
      <c r="K2646" s="5" t="str">
        <f t="shared" si="2646"/>
        <v>Rp110400</v>
      </c>
      <c r="L2646" s="5" t="str">
        <f t="shared" si="3"/>
        <v>110400</v>
      </c>
    </row>
    <row r="2647">
      <c r="A2647" s="6" t="s">
        <v>605</v>
      </c>
      <c r="B2647" s="7" t="str">
        <f>HYPERLINK("https://shopee.co.id/Azarine-Revitalizing-Anti-Aging-Serum-20ml-i.10689.11726265612", "https://shopee.co.id/Azarine-Revitalizing-Anti-Aging-Serum-20ml-i.10689.11726265612")</f>
        <v>https://shopee.co.id/Azarine-Revitalizing-Anti-Aging-Serum-20ml-i.10689.11726265612</v>
      </c>
      <c r="C2647" s="6" t="s">
        <v>233</v>
      </c>
      <c r="D2647" s="6" t="s">
        <v>745</v>
      </c>
      <c r="E2647" s="6" t="s">
        <v>12</v>
      </c>
      <c r="F2647" s="6" t="s">
        <v>13</v>
      </c>
      <c r="G2647" s="6" t="s">
        <v>61</v>
      </c>
      <c r="H2647" s="8" t="s">
        <v>3612</v>
      </c>
      <c r="I2647" s="9">
        <v>80000.0</v>
      </c>
      <c r="J2647" s="5" t="str">
        <f t="shared" ref="J2647:K2647" si="2647">SUBSTITUTE(H2647, ",", "")</f>
        <v>1</v>
      </c>
      <c r="K2647" s="5" t="str">
        <f t="shared" si="2647"/>
        <v>Rp80000</v>
      </c>
      <c r="L2647" s="5" t="str">
        <f t="shared" si="3"/>
        <v>80000</v>
      </c>
    </row>
    <row r="2648">
      <c r="A2648" s="6" t="s">
        <v>3909</v>
      </c>
      <c r="B2648" s="7" t="str">
        <f>HYPERLINK("https://shopee.co.id/DeBiuryn-True-Acne-Serum-10ml-Anti-Jerawat-i.231437504.6733080392", "https://shopee.co.id/DeBiuryn-True-Acne-Serum-10ml-Anti-Jerawat-i.231437504.6733080392")</f>
        <v>https://shopee.co.id/DeBiuryn-True-Acne-Serum-10ml-Anti-Jerawat-i.231437504.6733080392</v>
      </c>
      <c r="C2648" s="6" t="s">
        <v>3484</v>
      </c>
      <c r="D2648" s="6" t="s">
        <v>3485</v>
      </c>
      <c r="E2648" s="6" t="s">
        <v>12</v>
      </c>
      <c r="F2648" s="6" t="s">
        <v>13</v>
      </c>
      <c r="G2648" s="6" t="s">
        <v>1480</v>
      </c>
      <c r="H2648" s="8" t="s">
        <v>3612</v>
      </c>
      <c r="I2648" s="9">
        <v>136500.0</v>
      </c>
      <c r="J2648" s="5" t="str">
        <f t="shared" ref="J2648:K2648" si="2648">SUBSTITUTE(H2648, ",", "")</f>
        <v>1</v>
      </c>
      <c r="K2648" s="5" t="str">
        <f t="shared" si="2648"/>
        <v>Rp136500</v>
      </c>
      <c r="L2648" s="5" t="str">
        <f t="shared" si="3"/>
        <v>136500</v>
      </c>
    </row>
    <row r="2649">
      <c r="A2649" s="6" t="s">
        <v>3910</v>
      </c>
      <c r="B2649" s="7" t="str">
        <f>HYPERLINK("https://shopee.co.id/SKDS-Serum-Brightening-Series-Mecerahkan-i.350629608.9809672840", "https://shopee.co.id/SKDS-Serum-Brightening-Series-Mecerahkan-i.350629608.9809672840")</f>
        <v>https://shopee.co.id/SKDS-Serum-Brightening-Series-Mecerahkan-i.350629608.9809672840</v>
      </c>
      <c r="C2649" s="6" t="s">
        <v>3911</v>
      </c>
      <c r="D2649" s="6" t="s">
        <v>3912</v>
      </c>
      <c r="E2649" s="6" t="s">
        <v>12</v>
      </c>
      <c r="F2649" s="6" t="s">
        <v>13</v>
      </c>
      <c r="G2649" s="6" t="s">
        <v>2238</v>
      </c>
      <c r="H2649" s="8" t="s">
        <v>3612</v>
      </c>
      <c r="I2649" s="9">
        <v>139000.0</v>
      </c>
      <c r="J2649" s="5" t="str">
        <f t="shared" ref="J2649:K2649" si="2649">SUBSTITUTE(H2649, ",", "")</f>
        <v>1</v>
      </c>
      <c r="K2649" s="5" t="str">
        <f t="shared" si="2649"/>
        <v>Rp139000</v>
      </c>
      <c r="L2649" s="5" t="str">
        <f t="shared" si="3"/>
        <v>139000</v>
      </c>
    </row>
    <row r="2650">
      <c r="A2650" s="6" t="s">
        <v>3913</v>
      </c>
      <c r="B2650" s="7" t="str">
        <f>HYPERLINK("https://shopee.co.id/THE-POTIONS-Sample-Size-Azulene-Ampoule-1ml-Individual-Pack-Maksimal-Checkout-3-pcs--i.379239733.9034316014", "https://shopee.co.id/THE-POTIONS-Sample-Size-Azulene-Ampoule-1ml-Individual-Pack-Maksimal-Checkout-3-pcs--i.379239733.9034316014")</f>
        <v>https://shopee.co.id/THE-POTIONS-Sample-Size-Azulene-Ampoule-1ml-Individual-Pack-Maksimal-Checkout-3-pcs--i.379239733.9034316014</v>
      </c>
      <c r="C2650" s="6" t="s">
        <v>2245</v>
      </c>
      <c r="D2650" s="6" t="s">
        <v>2246</v>
      </c>
      <c r="E2650" s="6" t="s">
        <v>12</v>
      </c>
      <c r="F2650" s="6" t="s">
        <v>13</v>
      </c>
      <c r="G2650" s="6" t="s">
        <v>130</v>
      </c>
      <c r="H2650" s="8" t="s">
        <v>3612</v>
      </c>
      <c r="I2650" s="9">
        <v>359000.0</v>
      </c>
      <c r="J2650" s="5" t="str">
        <f t="shared" ref="J2650:K2650" si="2650">SUBSTITUTE(H2650, ",", "")</f>
        <v>1</v>
      </c>
      <c r="K2650" s="5" t="str">
        <f t="shared" si="2650"/>
        <v>Rp359000</v>
      </c>
      <c r="L2650" s="5" t="str">
        <f t="shared" si="3"/>
        <v>359000</v>
      </c>
    </row>
    <row r="2651">
      <c r="A2651" s="6" t="s">
        <v>3914</v>
      </c>
      <c r="B2651" s="7" t="str">
        <f>HYPERLINK("https://shopee.co.id/Serum-Maggie-Glow-Whitening-Serum-Muka-Pemutih-Wajah-Flek-i.23831802.702163166", "https://shopee.co.id/Serum-Maggie-Glow-Whitening-Serum-Muka-Pemutih-Wajah-Flek-i.23831802.702163166")</f>
        <v>https://shopee.co.id/Serum-Maggie-Glow-Whitening-Serum-Muka-Pemutih-Wajah-Flek-i.23831802.702163166</v>
      </c>
      <c r="C2651" s="6" t="s">
        <v>1083</v>
      </c>
      <c r="D2651" s="6" t="s">
        <v>1084</v>
      </c>
      <c r="E2651" s="6" t="s">
        <v>12</v>
      </c>
      <c r="F2651" s="6" t="s">
        <v>13</v>
      </c>
      <c r="G2651" s="6" t="s">
        <v>1085</v>
      </c>
      <c r="H2651" s="8" t="s">
        <v>3612</v>
      </c>
      <c r="I2651" s="9">
        <v>123690.0</v>
      </c>
      <c r="J2651" s="5" t="str">
        <f t="shared" ref="J2651:K2651" si="2651">SUBSTITUTE(H2651, ",", "")</f>
        <v>1</v>
      </c>
      <c r="K2651" s="5" t="str">
        <f t="shared" si="2651"/>
        <v>Rp123690</v>
      </c>
      <c r="L2651" s="5" t="str">
        <f t="shared" si="3"/>
        <v>123690</v>
      </c>
    </row>
    <row r="2652">
      <c r="A2652" s="6" t="s">
        <v>3915</v>
      </c>
      <c r="B2652" s="7" t="str">
        <f>HYPERLINK("https://shopee.co.id/ERHAIR-Scalperfect-Soothing-Serum-i.187117294.7887952666", "https://shopee.co.id/ERHAIR-Scalperfect-Soothing-Serum-i.187117294.7887952666")</f>
        <v>https://shopee.co.id/ERHAIR-Scalperfect-Soothing-Serum-i.187117294.7887952666</v>
      </c>
      <c r="C2652" s="6" t="s">
        <v>1361</v>
      </c>
      <c r="D2652" s="6" t="s">
        <v>2366</v>
      </c>
      <c r="E2652" s="6" t="s">
        <v>12</v>
      </c>
      <c r="F2652" s="6" t="s">
        <v>13</v>
      </c>
      <c r="G2652" s="6" t="s">
        <v>469</v>
      </c>
      <c r="H2652" s="8" t="s">
        <v>3612</v>
      </c>
      <c r="I2652" s="9">
        <v>168000.0</v>
      </c>
      <c r="J2652" s="5" t="str">
        <f t="shared" ref="J2652:K2652" si="2652">SUBSTITUTE(H2652, ",", "")</f>
        <v>1</v>
      </c>
      <c r="K2652" s="5" t="str">
        <f t="shared" si="2652"/>
        <v>Rp168000</v>
      </c>
      <c r="L2652" s="5" t="str">
        <f t="shared" si="3"/>
        <v>168000</v>
      </c>
    </row>
    <row r="2653">
      <c r="A2653" s="6" t="s">
        <v>3916</v>
      </c>
      <c r="B2653" s="7" t="str">
        <f>HYPERLINK("https://shopee.co.id/Debiuryn-Sense-UV-Pro-Serum-SPF-30-10-ml-i.231437504.11910734513", "https://shopee.co.id/Debiuryn-Sense-UV-Pro-Serum-SPF-30-10-ml-i.231437504.11910734513")</f>
        <v>https://shopee.co.id/Debiuryn-Sense-UV-Pro-Serum-SPF-30-10-ml-i.231437504.11910734513</v>
      </c>
      <c r="C2653" s="6" t="s">
        <v>3484</v>
      </c>
      <c r="D2653" s="6" t="s">
        <v>3485</v>
      </c>
      <c r="E2653" s="6" t="s">
        <v>12</v>
      </c>
      <c r="F2653" s="6" t="s">
        <v>13</v>
      </c>
      <c r="G2653" s="6" t="s">
        <v>1480</v>
      </c>
      <c r="H2653" s="8" t="s">
        <v>3612</v>
      </c>
      <c r="I2653" s="9">
        <v>104000.0</v>
      </c>
      <c r="J2653" s="5" t="str">
        <f t="shared" ref="J2653:K2653" si="2653">SUBSTITUTE(H2653, ",", "")</f>
        <v>1</v>
      </c>
      <c r="K2653" s="5" t="str">
        <f t="shared" si="2653"/>
        <v>Rp104000</v>
      </c>
      <c r="L2653" s="5" t="str">
        <f t="shared" si="3"/>
        <v>104000</v>
      </c>
    </row>
    <row r="2654">
      <c r="A2654" s="6" t="s">
        <v>3917</v>
      </c>
      <c r="B2654" s="7" t="str">
        <f>HYPERLINK("https://shopee.co.id/VIENNA-BEAUTY-FACE-SERUM-BRIGHTENING-COOMPLEX-15ML-BOTTLE-i.8463767.3233658347", "https://shopee.co.id/VIENNA-BEAUTY-FACE-SERUM-BRIGHTENING-COOMPLEX-15ML-BOTTLE-i.8463767.3233658347")</f>
        <v>https://shopee.co.id/VIENNA-BEAUTY-FACE-SERUM-BRIGHTENING-COOMPLEX-15ML-BOTTLE-i.8463767.3233658347</v>
      </c>
      <c r="C2654" s="6" t="s">
        <v>3453</v>
      </c>
      <c r="D2654" s="6" t="s">
        <v>3454</v>
      </c>
      <c r="E2654" s="6" t="s">
        <v>12</v>
      </c>
      <c r="F2654" s="6" t="s">
        <v>13</v>
      </c>
      <c r="G2654" s="6" t="s">
        <v>36</v>
      </c>
      <c r="H2654" s="8" t="s">
        <v>3612</v>
      </c>
      <c r="I2654" s="9">
        <v>89900.0</v>
      </c>
      <c r="J2654" s="5" t="str">
        <f t="shared" ref="J2654:K2654" si="2654">SUBSTITUTE(H2654, ",", "")</f>
        <v>1</v>
      </c>
      <c r="K2654" s="5" t="str">
        <f t="shared" si="2654"/>
        <v>Rp89900</v>
      </c>
      <c r="L2654" s="5" t="str">
        <f t="shared" si="3"/>
        <v>89900</v>
      </c>
    </row>
    <row r="2655">
      <c r="A2655" s="6" t="s">
        <v>3918</v>
      </c>
      <c r="B2655" s="7" t="str">
        <f>HYPERLINK("https://shopee.co.id/Everwhite-Essence-Toner-100Ml-Skincare-Serum-i.114789399.2646081699", "https://shopee.co.id/Everwhite-Essence-Toner-100Ml-Skincare-Serum-i.114789399.2646081699")</f>
        <v>https://shopee.co.id/Everwhite-Essence-Toner-100Ml-Skincare-Serum-i.114789399.2646081699</v>
      </c>
      <c r="C2655" s="6" t="s">
        <v>157</v>
      </c>
      <c r="D2655" s="6" t="s">
        <v>2531</v>
      </c>
      <c r="E2655" s="6" t="s">
        <v>12</v>
      </c>
      <c r="F2655" s="6" t="s">
        <v>13</v>
      </c>
      <c r="G2655" s="6" t="s">
        <v>36</v>
      </c>
      <c r="H2655" s="8" t="s">
        <v>3612</v>
      </c>
      <c r="I2655" s="9">
        <v>54000.0</v>
      </c>
      <c r="J2655" s="5" t="str">
        <f t="shared" ref="J2655:K2655" si="2655">SUBSTITUTE(H2655, ",", "")</f>
        <v>1</v>
      </c>
      <c r="K2655" s="5" t="str">
        <f t="shared" si="2655"/>
        <v>Rp54000</v>
      </c>
      <c r="L2655" s="5" t="str">
        <f t="shared" si="3"/>
        <v>54000</v>
      </c>
    </row>
    <row r="2656">
      <c r="A2656" s="6" t="s">
        <v>3919</v>
      </c>
      <c r="B2656" s="7" t="str">
        <f>HYPERLINK("https://shopee.co.id/I-Face-Vitamin-C-Serum-10-Ml-Mencerahkan-Dan-Melembabkan-Kulit-Original-100--i.185943783.5011883851", "https://shopee.co.id/I-Face-Vitamin-C-Serum-10-Ml-Mencerahkan-Dan-Melembabkan-Kulit-Original-100--i.185943783.5011883851")</f>
        <v>https://shopee.co.id/I-Face-Vitamin-C-Serum-10-Ml-Mencerahkan-Dan-Melembabkan-Kulit-Original-100--i.185943783.5011883851</v>
      </c>
      <c r="C2656" s="6" t="s">
        <v>1116</v>
      </c>
      <c r="D2656" s="6" t="s">
        <v>3429</v>
      </c>
      <c r="E2656" s="6" t="s">
        <v>12</v>
      </c>
      <c r="F2656" s="6" t="s">
        <v>13</v>
      </c>
      <c r="G2656" s="6" t="s">
        <v>36</v>
      </c>
      <c r="H2656" s="8" t="s">
        <v>3612</v>
      </c>
      <c r="I2656" s="9">
        <v>99000.0</v>
      </c>
      <c r="J2656" s="5" t="str">
        <f t="shared" ref="J2656:K2656" si="2656">SUBSTITUTE(H2656, ",", "")</f>
        <v>1</v>
      </c>
      <c r="K2656" s="5" t="str">
        <f t="shared" si="2656"/>
        <v>Rp99000</v>
      </c>
      <c r="L2656" s="5" t="str">
        <f t="shared" si="3"/>
        <v>99000</v>
      </c>
    </row>
    <row r="2657">
      <c r="A2657" s="6" t="s">
        <v>3920</v>
      </c>
      <c r="B2657" s="7" t="str">
        <f>HYPERLINK("https://shopee.co.id/BUNDLING-Pure-Essence-Acne-Series-i.18856010.3414716928", "https://shopee.co.id/BUNDLING-Pure-Essence-Acne-Series-i.18856010.3414716928")</f>
        <v>https://shopee.co.id/BUNDLING-Pure-Essence-Acne-Series-i.18856010.3414716928</v>
      </c>
      <c r="C2657" s="6" t="s">
        <v>2265</v>
      </c>
      <c r="D2657" s="6" t="s">
        <v>2266</v>
      </c>
      <c r="E2657" s="6" t="s">
        <v>12</v>
      </c>
      <c r="F2657" s="6" t="s">
        <v>13</v>
      </c>
      <c r="G2657" s="6" t="s">
        <v>21</v>
      </c>
      <c r="H2657" s="8" t="s">
        <v>3612</v>
      </c>
      <c r="I2657" s="9">
        <v>187575.0</v>
      </c>
      <c r="J2657" s="5" t="str">
        <f t="shared" ref="J2657:K2657" si="2657">SUBSTITUTE(H2657, ",", "")</f>
        <v>1</v>
      </c>
      <c r="K2657" s="5" t="str">
        <f t="shared" si="2657"/>
        <v>Rp187575</v>
      </c>
      <c r="L2657" s="5" t="str">
        <f t="shared" si="3"/>
        <v>187575</v>
      </c>
    </row>
    <row r="2658">
      <c r="A2658" s="6" t="s">
        <v>3921</v>
      </c>
      <c r="B2658" s="7" t="str">
        <f>HYPERLINK("https://shopee.co.id/Wardah-Renew-You-Anti-Aging-Intensive-Serum-17Ml-Serum-Wajah-Anti-Aging-Kulit-Wajah-i.114789399.6141210392", "https://shopee.co.id/Wardah-Renew-You-Anti-Aging-Intensive-Serum-17Ml-Serum-Wajah-Anti-Aging-Kulit-Wajah-i.114789399.6141210392")</f>
        <v>https://shopee.co.id/Wardah-Renew-You-Anti-Aging-Intensive-Serum-17Ml-Serum-Wajah-Anti-Aging-Kulit-Wajah-i.114789399.6141210392</v>
      </c>
      <c r="C2658" s="6" t="s">
        <v>169</v>
      </c>
      <c r="D2658" s="6" t="s">
        <v>2531</v>
      </c>
      <c r="E2658" s="6" t="s">
        <v>12</v>
      </c>
      <c r="F2658" s="6" t="s">
        <v>13</v>
      </c>
      <c r="G2658" s="6" t="s">
        <v>36</v>
      </c>
      <c r="H2658" s="8" t="s">
        <v>3612</v>
      </c>
      <c r="I2658" s="9">
        <v>367200.0</v>
      </c>
      <c r="J2658" s="5" t="str">
        <f t="shared" ref="J2658:K2658" si="2658">SUBSTITUTE(H2658, ",", "")</f>
        <v>1</v>
      </c>
      <c r="K2658" s="5" t="str">
        <f t="shared" si="2658"/>
        <v>Rp367200</v>
      </c>
      <c r="L2658" s="5" t="str">
        <f t="shared" si="3"/>
        <v>367200</v>
      </c>
    </row>
    <row r="2659">
      <c r="A2659" s="6" t="s">
        <v>3922</v>
      </c>
      <c r="B2659" s="7" t="str">
        <f>HYPERLINK("https://shopee.co.id/SCARLETT-WHITENING-Brightly-to-Glow-Mini-Series-5ml-i.68111.10435388056", "https://shopee.co.id/SCARLETT-WHITENING-Brightly-to-Glow-Mini-Series-5ml-i.68111.10435388056")</f>
        <v>https://shopee.co.id/SCARLETT-WHITENING-Brightly-to-Glow-Mini-Series-5ml-i.68111.10435388056</v>
      </c>
      <c r="C2659" s="6" t="s">
        <v>19</v>
      </c>
      <c r="D2659" s="6" t="s">
        <v>441</v>
      </c>
      <c r="E2659" s="6" t="s">
        <v>12</v>
      </c>
      <c r="F2659" s="6" t="s">
        <v>13</v>
      </c>
      <c r="G2659" s="6" t="s">
        <v>130</v>
      </c>
      <c r="H2659" s="8" t="s">
        <v>3612</v>
      </c>
      <c r="I2659" s="9">
        <v>76000.0</v>
      </c>
      <c r="J2659" s="5" t="str">
        <f t="shared" ref="J2659:K2659" si="2659">SUBSTITUTE(H2659, ",", "")</f>
        <v>1</v>
      </c>
      <c r="K2659" s="5" t="str">
        <f t="shared" si="2659"/>
        <v>Rp76000</v>
      </c>
      <c r="L2659" s="5" t="str">
        <f t="shared" si="3"/>
        <v>76000</v>
      </c>
    </row>
    <row r="2660">
      <c r="A2660" s="6" t="s">
        <v>3923</v>
      </c>
      <c r="B2660" s="7" t="str">
        <f>HYPERLINK("https://shopee.co.id/Eyelash-Serum-Marwah-Skin-Care-i.357101711.9815962173", "https://shopee.co.id/Eyelash-Serum-Marwah-Skin-Care-i.357101711.9815962173")</f>
        <v>https://shopee.co.id/Eyelash-Serum-Marwah-Skin-Care-i.357101711.9815962173</v>
      </c>
      <c r="C2660" s="6" t="s">
        <v>2249</v>
      </c>
      <c r="D2660" s="6" t="s">
        <v>2250</v>
      </c>
      <c r="E2660" s="6" t="s">
        <v>12</v>
      </c>
      <c r="F2660" s="6" t="s">
        <v>13</v>
      </c>
      <c r="G2660" s="6" t="s">
        <v>370</v>
      </c>
      <c r="H2660" s="8" t="s">
        <v>3612</v>
      </c>
      <c r="I2660" s="9">
        <v>70125.0</v>
      </c>
      <c r="J2660" s="5" t="str">
        <f t="shared" ref="J2660:K2660" si="2660">SUBSTITUTE(H2660, ",", "")</f>
        <v>1</v>
      </c>
      <c r="K2660" s="5" t="str">
        <f t="shared" si="2660"/>
        <v>Rp70125</v>
      </c>
      <c r="L2660" s="5" t="str">
        <f t="shared" si="3"/>
        <v>70125</v>
      </c>
    </row>
    <row r="2661">
      <c r="A2661" s="6" t="s">
        <v>3924</v>
      </c>
      <c r="B2661" s="7" t="str">
        <f>HYPERLINK("https://shopee.co.id/THE-POTIONS-Set-of-3-Maksimal-Checkout-3-pcs--i.379239733.3983017896", "https://shopee.co.id/THE-POTIONS-Set-of-3-Maksimal-Checkout-3-pcs--i.379239733.3983017896")</f>
        <v>https://shopee.co.id/THE-POTIONS-Set-of-3-Maksimal-Checkout-3-pcs--i.379239733.3983017896</v>
      </c>
      <c r="C2661" s="6" t="s">
        <v>2245</v>
      </c>
      <c r="D2661" s="6" t="s">
        <v>2246</v>
      </c>
      <c r="E2661" s="6" t="s">
        <v>12</v>
      </c>
      <c r="F2661" s="6" t="s">
        <v>13</v>
      </c>
      <c r="G2661" s="6" t="s">
        <v>130</v>
      </c>
      <c r="H2661" s="8" t="s">
        <v>3612</v>
      </c>
      <c r="I2661" s="9">
        <v>214200.0</v>
      </c>
      <c r="J2661" s="5" t="str">
        <f t="shared" ref="J2661:K2661" si="2661">SUBSTITUTE(H2661, ",", "")</f>
        <v>1</v>
      </c>
      <c r="K2661" s="5" t="str">
        <f t="shared" si="2661"/>
        <v>Rp214200</v>
      </c>
      <c r="L2661" s="5" t="str">
        <f t="shared" si="3"/>
        <v>214200</v>
      </c>
    </row>
    <row r="2662">
      <c r="A2662" s="6" t="s">
        <v>3925</v>
      </c>
      <c r="B2662" s="7" t="str">
        <f>HYPERLINK("https://shopee.co.id/Beautybarme-Skin-Aqua-Tone-Up-Essence-Bpom-i.28781862.3547528924", "https://shopee.co.id/Beautybarme-Skin-Aqua-Tone-Up-Essence-Bpom-i.28781862.3547528924")</f>
        <v>https://shopee.co.id/Beautybarme-Skin-Aqua-Tone-Up-Essence-Bpom-i.28781862.3547528924</v>
      </c>
      <c r="C2662" s="6" t="s">
        <v>830</v>
      </c>
      <c r="D2662" s="6" t="s">
        <v>1189</v>
      </c>
      <c r="E2662" s="6" t="s">
        <v>12</v>
      </c>
      <c r="F2662" s="6" t="s">
        <v>13</v>
      </c>
      <c r="G2662" s="6" t="s">
        <v>1190</v>
      </c>
      <c r="H2662" s="8" t="s">
        <v>3612</v>
      </c>
      <c r="I2662" s="9">
        <v>99000.0</v>
      </c>
      <c r="J2662" s="5" t="str">
        <f t="shared" ref="J2662:K2662" si="2662">SUBSTITUTE(H2662, ",", "")</f>
        <v>1</v>
      </c>
      <c r="K2662" s="5" t="str">
        <f t="shared" si="2662"/>
        <v>Rp99000</v>
      </c>
      <c r="L2662" s="5" t="str">
        <f t="shared" si="3"/>
        <v>99000</v>
      </c>
    </row>
    <row r="2663">
      <c r="A2663" s="6" t="s">
        <v>3926</v>
      </c>
      <c r="B2663" s="7" t="str">
        <f>HYPERLINK("https://shopee.co.id/Wardah-Renew-You-Anti-Aging-Treatment-Essence-50ml-421397--i.16735262.8049288986", "https://shopee.co.id/Wardah-Renew-You-Anti-Aging-Treatment-Essence-50ml-421397--i.16735262.8049288986")</f>
        <v>https://shopee.co.id/Wardah-Renew-You-Anti-Aging-Treatment-Essence-50ml-421397--i.16735262.8049288986</v>
      </c>
      <c r="C2663" s="6" t="s">
        <v>169</v>
      </c>
      <c r="D2663" s="6" t="s">
        <v>3598</v>
      </c>
      <c r="E2663" s="6" t="s">
        <v>12</v>
      </c>
      <c r="F2663" s="6" t="s">
        <v>13</v>
      </c>
      <c r="G2663" s="6" t="s">
        <v>36</v>
      </c>
      <c r="H2663" s="8" t="s">
        <v>3612</v>
      </c>
      <c r="I2663" s="9">
        <v>110000.0</v>
      </c>
      <c r="J2663" s="5" t="str">
        <f t="shared" ref="J2663:K2663" si="2663">SUBSTITUTE(H2663, ",", "")</f>
        <v>1</v>
      </c>
      <c r="K2663" s="5" t="str">
        <f t="shared" si="2663"/>
        <v>Rp110000</v>
      </c>
      <c r="L2663" s="5" t="str">
        <f t="shared" si="3"/>
        <v>110000</v>
      </c>
    </row>
    <row r="2664">
      <c r="A2664" s="6" t="s">
        <v>3927</v>
      </c>
      <c r="B2664" s="7" t="str">
        <f>HYPERLINK("https://shopee.co.id/Nu-Aroma-Rice-Bran-Oil-Natural-Serum-Wajah-Serum-Kulit-Serum-Rambut--i.262175945.6058888918", "https://shopee.co.id/Nu-Aroma-Rice-Bran-Oil-Natural-Serum-Wajah-Serum-Kulit-Serum-Rambut--i.262175945.6058888918")</f>
        <v>https://shopee.co.id/Nu-Aroma-Rice-Bran-Oil-Natural-Serum-Wajah-Serum-Kulit-Serum-Rambut--i.262175945.6058888918</v>
      </c>
      <c r="C2664" s="6" t="s">
        <v>2863</v>
      </c>
      <c r="D2664" s="6" t="s">
        <v>2864</v>
      </c>
      <c r="E2664" s="6" t="s">
        <v>12</v>
      </c>
      <c r="F2664" s="6" t="s">
        <v>13</v>
      </c>
      <c r="G2664" s="6" t="s">
        <v>945</v>
      </c>
      <c r="H2664" s="8" t="s">
        <v>3612</v>
      </c>
      <c r="I2664" s="9">
        <v>73150.0</v>
      </c>
      <c r="J2664" s="5" t="str">
        <f t="shared" ref="J2664:K2664" si="2664">SUBSTITUTE(H2664, ",", "")</f>
        <v>1</v>
      </c>
      <c r="K2664" s="5" t="str">
        <f t="shared" si="2664"/>
        <v>Rp73150</v>
      </c>
      <c r="L2664" s="5" t="str">
        <f t="shared" si="3"/>
        <v>73150</v>
      </c>
    </row>
    <row r="2665">
      <c r="A2665" s="6" t="s">
        <v>3928</v>
      </c>
      <c r="B2665" s="7" t="str">
        <f>HYPERLINK("https://shopee.co.id/Azarine-Easy-White-Herbal-Moisturizer-Serum-20-mL-i.65323877.9179239543", "https://shopee.co.id/Azarine-Easy-White-Herbal-Moisturizer-Serum-20-mL-i.65323877.9179239543")</f>
        <v>https://shopee.co.id/Azarine-Easy-White-Herbal-Moisturizer-Serum-20-mL-i.65323877.9179239543</v>
      </c>
      <c r="C2665" s="6" t="s">
        <v>233</v>
      </c>
      <c r="D2665" s="6" t="s">
        <v>1600</v>
      </c>
      <c r="E2665" s="6" t="s">
        <v>12</v>
      </c>
      <c r="F2665" s="6" t="s">
        <v>13</v>
      </c>
      <c r="G2665" s="6" t="s">
        <v>296</v>
      </c>
      <c r="H2665" s="8" t="s">
        <v>3612</v>
      </c>
      <c r="I2665" s="9">
        <v>98000.0</v>
      </c>
      <c r="J2665" s="5" t="str">
        <f t="shared" ref="J2665:K2665" si="2665">SUBSTITUTE(H2665, ",", "")</f>
        <v>1</v>
      </c>
      <c r="K2665" s="5" t="str">
        <f t="shared" si="2665"/>
        <v>Rp98000</v>
      </c>
      <c r="L2665" s="5" t="str">
        <f t="shared" si="3"/>
        <v>98000</v>
      </c>
    </row>
    <row r="2666">
      <c r="A2666" s="6" t="s">
        <v>3929</v>
      </c>
      <c r="B2666" s="7" t="str">
        <f>HYPERLINK("https://shopee.co.id/Garnier-Sakura-White-Serum-Day-Cream-SPF30-PA-Skin-Care-Untuk-Creah-Merona-50-mL-i.65323877.10419475319", "https://shopee.co.id/Garnier-Sakura-White-Serum-Day-Cream-SPF30-PA-Skin-Care-Untuk-Creah-Merona-50-mL-i.65323877.10419475319")</f>
        <v>https://shopee.co.id/Garnier-Sakura-White-Serum-Day-Cream-SPF30-PA-Skin-Care-Untuk-Creah-Merona-50-mL-i.65323877.10419475319</v>
      </c>
      <c r="C2666" s="6" t="s">
        <v>74</v>
      </c>
      <c r="D2666" s="6" t="s">
        <v>1600</v>
      </c>
      <c r="E2666" s="6" t="s">
        <v>12</v>
      </c>
      <c r="F2666" s="6" t="s">
        <v>13</v>
      </c>
      <c r="G2666" s="6" t="s">
        <v>296</v>
      </c>
      <c r="H2666" s="8" t="s">
        <v>3612</v>
      </c>
      <c r="I2666" s="9">
        <v>100000.0</v>
      </c>
      <c r="J2666" s="5" t="str">
        <f t="shared" ref="J2666:K2666" si="2666">SUBSTITUTE(H2666, ",", "")</f>
        <v>1</v>
      </c>
      <c r="K2666" s="5" t="str">
        <f t="shared" si="2666"/>
        <v>Rp100000</v>
      </c>
      <c r="L2666" s="5" t="str">
        <f t="shared" si="3"/>
        <v>100000</v>
      </c>
    </row>
    <row r="2667">
      <c r="A2667" s="6" t="s">
        <v>3930</v>
      </c>
      <c r="B2667" s="7" t="str">
        <f>HYPERLINK("https://shopee.co.id/Garnier-Bright-Complete-White-Speed-Day-Serum-Cream-Skin-Care-2-x-20-mL-i.65323877.9479913929", "https://shopee.co.id/Garnier-Bright-Complete-White-Speed-Day-Serum-Cream-Skin-Care-2-x-20-mL-i.65323877.9479913929")</f>
        <v>https://shopee.co.id/Garnier-Bright-Complete-White-Speed-Day-Serum-Cream-Skin-Care-2-x-20-mL-i.65323877.9479913929</v>
      </c>
      <c r="C2667" s="6" t="s">
        <v>74</v>
      </c>
      <c r="D2667" s="6" t="s">
        <v>1600</v>
      </c>
      <c r="E2667" s="6" t="s">
        <v>12</v>
      </c>
      <c r="F2667" s="6" t="s">
        <v>13</v>
      </c>
      <c r="G2667" s="6" t="s">
        <v>296</v>
      </c>
      <c r="H2667" s="8" t="s">
        <v>3612</v>
      </c>
      <c r="I2667" s="9">
        <v>1280000.0</v>
      </c>
      <c r="J2667" s="5" t="str">
        <f t="shared" ref="J2667:K2667" si="2667">SUBSTITUTE(H2667, ",", "")</f>
        <v>1</v>
      </c>
      <c r="K2667" s="5" t="str">
        <f t="shared" si="2667"/>
        <v>Rp1280000</v>
      </c>
      <c r="L2667" s="5" t="str">
        <f t="shared" si="3"/>
        <v>1280000</v>
      </c>
    </row>
    <row r="2668">
      <c r="A2668" s="6" t="s">
        <v>3931</v>
      </c>
      <c r="B2668" s="7" t="str">
        <f>HYPERLINK("https://shopee.co.id/Hanasui-Propolis-Serum-25Ml-Serum-Wajah-Face-Serum-Merawat-Kulit-Wajah-i.114789399.7942427517", "https://shopee.co.id/Hanasui-Propolis-Serum-25Ml-Serum-Wajah-Face-Serum-Merawat-Kulit-Wajah-i.114789399.7942427517")</f>
        <v>https://shopee.co.id/Hanasui-Propolis-Serum-25Ml-Serum-Wajah-Face-Serum-Merawat-Kulit-Wajah-i.114789399.7942427517</v>
      </c>
      <c r="C2668" s="6" t="s">
        <v>784</v>
      </c>
      <c r="D2668" s="6" t="s">
        <v>2531</v>
      </c>
      <c r="E2668" s="6" t="s">
        <v>12</v>
      </c>
      <c r="F2668" s="6" t="s">
        <v>13</v>
      </c>
      <c r="G2668" s="6" t="s">
        <v>36</v>
      </c>
      <c r="H2668" s="8" t="s">
        <v>3612</v>
      </c>
      <c r="I2668" s="9">
        <v>1900000.0</v>
      </c>
      <c r="J2668" s="5" t="str">
        <f t="shared" ref="J2668:K2668" si="2668">SUBSTITUTE(H2668, ",", "")</f>
        <v>1</v>
      </c>
      <c r="K2668" s="5" t="str">
        <f t="shared" si="2668"/>
        <v>Rp1900000</v>
      </c>
      <c r="L2668" s="5" t="str">
        <f t="shared" si="3"/>
        <v>1900000</v>
      </c>
    </row>
    <row r="2669">
      <c r="A2669" s="6" t="s">
        <v>3932</v>
      </c>
      <c r="B2669" s="7" t="str">
        <f>HYPERLINK("https://shopee.co.id/AHA-Serum-Marwah-Skin-Care-i.357101711.8715462427", "https://shopee.co.id/AHA-Serum-Marwah-Skin-Care-i.357101711.8715462427")</f>
        <v>https://shopee.co.id/AHA-Serum-Marwah-Skin-Care-i.357101711.8715462427</v>
      </c>
      <c r="C2669" s="6" t="s">
        <v>2249</v>
      </c>
      <c r="D2669" s="6" t="s">
        <v>2250</v>
      </c>
      <c r="E2669" s="6" t="s">
        <v>12</v>
      </c>
      <c r="F2669" s="6" t="s">
        <v>13</v>
      </c>
      <c r="G2669" s="6" t="s">
        <v>370</v>
      </c>
      <c r="H2669" s="8" t="s">
        <v>3612</v>
      </c>
      <c r="I2669" s="9">
        <v>1267200.0</v>
      </c>
      <c r="J2669" s="5" t="str">
        <f t="shared" ref="J2669:K2669" si="2669">SUBSTITUTE(H2669, ",", "")</f>
        <v>1</v>
      </c>
      <c r="K2669" s="5" t="str">
        <f t="shared" si="2669"/>
        <v>Rp1267200</v>
      </c>
      <c r="L2669" s="5" t="str">
        <f t="shared" si="3"/>
        <v>1267200</v>
      </c>
    </row>
    <row r="2670">
      <c r="A2670" s="6" t="s">
        <v>3933</v>
      </c>
      <c r="B2670" s="7" t="str">
        <f>HYPERLINK("https://shopee.co.id/Whitening-Serum-Mellydia-Mencerahkan-Wajah-dan-Memudarkan-Flek-i.66671865.4801618354", "https://shopee.co.id/Whitening-Serum-Mellydia-Mencerahkan-Wajah-dan-Memudarkan-Flek-i.66671865.4801618354")</f>
        <v>https://shopee.co.id/Whitening-Serum-Mellydia-Mencerahkan-Wajah-dan-Memudarkan-Flek-i.66671865.4801618354</v>
      </c>
      <c r="C2670" s="6" t="s">
        <v>2723</v>
      </c>
      <c r="D2670" s="6" t="s">
        <v>2724</v>
      </c>
      <c r="E2670" s="6" t="s">
        <v>12</v>
      </c>
      <c r="F2670" s="6" t="s">
        <v>13</v>
      </c>
      <c r="G2670" s="6" t="s">
        <v>115</v>
      </c>
      <c r="H2670" s="8" t="s">
        <v>3612</v>
      </c>
      <c r="I2670" s="9">
        <v>75000.0</v>
      </c>
      <c r="J2670" s="5" t="str">
        <f t="shared" ref="J2670:K2670" si="2670">SUBSTITUTE(H2670, ",", "")</f>
        <v>1</v>
      </c>
      <c r="K2670" s="5" t="str">
        <f t="shared" si="2670"/>
        <v>Rp75000</v>
      </c>
      <c r="L2670" s="5" t="str">
        <f t="shared" si="3"/>
        <v>75000</v>
      </c>
    </row>
    <row r="2671">
      <c r="A2671" s="6" t="s">
        <v>3934</v>
      </c>
      <c r="B2671" s="7" t="str">
        <f>HYPERLINK("https://shopee.co.id/Hanasui-Bright-Up-Serum-25ML-Face-Serum-Serum-Wajah-Mencerahkan-Wajah-i.114789399.3742536681", "https://shopee.co.id/Hanasui-Bright-Up-Serum-25ML-Face-Serum-Serum-Wajah-Mencerahkan-Wajah-i.114789399.3742536681")</f>
        <v>https://shopee.co.id/Hanasui-Bright-Up-Serum-25ML-Face-Serum-Serum-Wajah-Mencerahkan-Wajah-i.114789399.3742536681</v>
      </c>
      <c r="C2671" s="6" t="s">
        <v>784</v>
      </c>
      <c r="D2671" s="6" t="s">
        <v>2531</v>
      </c>
      <c r="E2671" s="6" t="s">
        <v>12</v>
      </c>
      <c r="F2671" s="6" t="s">
        <v>13</v>
      </c>
      <c r="G2671" s="6" t="s">
        <v>36</v>
      </c>
      <c r="H2671" s="8" t="s">
        <v>3612</v>
      </c>
      <c r="I2671" s="9">
        <v>1364000.0</v>
      </c>
      <c r="J2671" s="5" t="str">
        <f t="shared" ref="J2671:K2671" si="2671">SUBSTITUTE(H2671, ",", "")</f>
        <v>1</v>
      </c>
      <c r="K2671" s="5" t="str">
        <f t="shared" si="2671"/>
        <v>Rp1364000</v>
      </c>
      <c r="L2671" s="5" t="str">
        <f t="shared" si="3"/>
        <v>1364000</v>
      </c>
    </row>
    <row r="2672">
      <c r="A2672" s="6" t="s">
        <v>3935</v>
      </c>
      <c r="B2672" s="7" t="str">
        <f>HYPERLINK("https://shopee.co.id/Bio-Essence-Bio-Renew-Deep-Cleanser-100gr-i.186214521.6331717110", "https://shopee.co.id/Bio-Essence-Bio-Renew-Deep-Cleanser-100gr-i.186214521.6331717110")</f>
        <v>https://shopee.co.id/Bio-Essence-Bio-Renew-Deep-Cleanser-100gr-i.186214521.6331717110</v>
      </c>
      <c r="C2672" s="6" t="s">
        <v>1254</v>
      </c>
      <c r="D2672" s="6" t="s">
        <v>2293</v>
      </c>
      <c r="E2672" s="6" t="s">
        <v>12</v>
      </c>
      <c r="F2672" s="6" t="s">
        <v>13</v>
      </c>
      <c r="G2672" s="6" t="s">
        <v>61</v>
      </c>
      <c r="H2672" s="8" t="s">
        <v>3612</v>
      </c>
      <c r="I2672" s="9">
        <v>528000.0</v>
      </c>
      <c r="J2672" s="5" t="str">
        <f t="shared" ref="J2672:K2672" si="2672">SUBSTITUTE(H2672, ",", "")</f>
        <v>1</v>
      </c>
      <c r="K2672" s="5" t="str">
        <f t="shared" si="2672"/>
        <v>Rp528000</v>
      </c>
      <c r="L2672" s="5" t="str">
        <f t="shared" si="3"/>
        <v>528000</v>
      </c>
    </row>
    <row r="2673">
      <c r="A2673" s="6" t="s">
        <v>3936</v>
      </c>
      <c r="B2673" s="7" t="str">
        <f>HYPERLINK("https://shopee.co.id/KKV-Humphrey-Golden-Whitening-Serum-plus-20ml-i.313431312.3261769563", "https://shopee.co.id/KKV-Humphrey-Golden-Whitening-Serum-plus-20ml-i.313431312.3261769563")</f>
        <v>https://shopee.co.id/KKV-Humphrey-Golden-Whitening-Serum-plus-20ml-i.313431312.3261769563</v>
      </c>
      <c r="C2673" s="6" t="s">
        <v>1832</v>
      </c>
      <c r="D2673" s="6" t="s">
        <v>1524</v>
      </c>
      <c r="E2673" s="6" t="s">
        <v>12</v>
      </c>
      <c r="F2673" s="6" t="s">
        <v>13</v>
      </c>
      <c r="G2673" s="6" t="s">
        <v>61</v>
      </c>
      <c r="H2673" s="8" t="s">
        <v>3612</v>
      </c>
      <c r="I2673" s="9">
        <v>693000.0</v>
      </c>
      <c r="J2673" s="5" t="str">
        <f t="shared" ref="J2673:K2673" si="2673">SUBSTITUTE(H2673, ",", "")</f>
        <v>1</v>
      </c>
      <c r="K2673" s="5" t="str">
        <f t="shared" si="2673"/>
        <v>Rp693000</v>
      </c>
      <c r="L2673" s="5" t="str">
        <f t="shared" si="3"/>
        <v>693000</v>
      </c>
    </row>
    <row r="2674">
      <c r="A2674" s="6" t="s">
        <v>3937</v>
      </c>
      <c r="B2674" s="7" t="str">
        <f>HYPERLINK("https://shopee.co.id/Fruitamin-Serum-With-Vitamin-C-20ml-i.121791179.7913738224", "https://shopee.co.id/Fruitamin-Serum-With-Vitamin-C-20ml-i.121791179.7913738224")</f>
        <v>https://shopee.co.id/Fruitamin-Serum-With-Vitamin-C-20ml-i.121791179.7913738224</v>
      </c>
      <c r="C2674" s="6" t="s">
        <v>3938</v>
      </c>
      <c r="D2674" s="6" t="s">
        <v>1733</v>
      </c>
      <c r="E2674" s="6" t="s">
        <v>12</v>
      </c>
      <c r="F2674" s="6" t="s">
        <v>13</v>
      </c>
      <c r="G2674" s="6" t="s">
        <v>36</v>
      </c>
      <c r="H2674" s="8" t="s">
        <v>3612</v>
      </c>
      <c r="I2674" s="9">
        <v>693000.0</v>
      </c>
      <c r="J2674" s="5" t="str">
        <f t="shared" ref="J2674:K2674" si="2674">SUBSTITUTE(H2674, ",", "")</f>
        <v>1</v>
      </c>
      <c r="K2674" s="5" t="str">
        <f t="shared" si="2674"/>
        <v>Rp693000</v>
      </c>
      <c r="L2674" s="5" t="str">
        <f t="shared" si="3"/>
        <v>693000</v>
      </c>
    </row>
    <row r="2675">
      <c r="A2675" s="6" t="s">
        <v>3939</v>
      </c>
      <c r="B2675" s="7" t="str">
        <f>HYPERLINK("https://shopee.co.id/ROJUKISS-Eggplant-Dark-Spot-Serum-8ml-i.270965687.4293290758", "https://shopee.co.id/ROJUKISS-Eggplant-Dark-Spot-Serum-8ml-i.270965687.4293290758")</f>
        <v>https://shopee.co.id/ROJUKISS-Eggplant-Dark-Spot-Serum-8ml-i.270965687.4293290758</v>
      </c>
      <c r="C2675" s="6" t="s">
        <v>1508</v>
      </c>
      <c r="D2675" s="6" t="s">
        <v>379</v>
      </c>
      <c r="E2675" s="6" t="s">
        <v>12</v>
      </c>
      <c r="F2675" s="6" t="s">
        <v>13</v>
      </c>
      <c r="G2675" s="6" t="s">
        <v>380</v>
      </c>
      <c r="H2675" s="8" t="s">
        <v>3612</v>
      </c>
      <c r="I2675" s="9">
        <v>149000.0</v>
      </c>
      <c r="J2675" s="5" t="str">
        <f t="shared" ref="J2675:K2675" si="2675">SUBSTITUTE(H2675, ",", "")</f>
        <v>1</v>
      </c>
      <c r="K2675" s="5" t="str">
        <f t="shared" si="2675"/>
        <v>Rp149000</v>
      </c>
      <c r="L2675" s="5" t="str">
        <f t="shared" si="3"/>
        <v>149000</v>
      </c>
    </row>
    <row r="2676">
      <c r="A2676" s="6" t="s">
        <v>3940</v>
      </c>
      <c r="B2676" s="7" t="str">
        <f>HYPERLINK("https://shopee.co.id/Humphrey-Vitamin-C-Collagen-Serum-20ml-i.121791179.1863486744", "https://shopee.co.id/Humphrey-Vitamin-C-Collagen-Serum-20ml-i.121791179.1863486744")</f>
        <v>https://shopee.co.id/Humphrey-Vitamin-C-Collagen-Serum-20ml-i.121791179.1863486744</v>
      </c>
      <c r="C2676" s="6" t="s">
        <v>1832</v>
      </c>
      <c r="D2676" s="6" t="s">
        <v>1733</v>
      </c>
      <c r="E2676" s="6" t="s">
        <v>12</v>
      </c>
      <c r="F2676" s="6" t="s">
        <v>13</v>
      </c>
      <c r="G2676" s="6" t="s">
        <v>36</v>
      </c>
      <c r="H2676" s="8" t="s">
        <v>3612</v>
      </c>
      <c r="I2676" s="9">
        <v>99000.0</v>
      </c>
      <c r="J2676" s="5" t="str">
        <f t="shared" ref="J2676:K2676" si="2676">SUBSTITUTE(H2676, ",", "")</f>
        <v>1</v>
      </c>
      <c r="K2676" s="5" t="str">
        <f t="shared" si="2676"/>
        <v>Rp99000</v>
      </c>
      <c r="L2676" s="5" t="str">
        <f t="shared" si="3"/>
        <v>99000</v>
      </c>
    </row>
    <row r="2677">
      <c r="A2677" s="6" t="s">
        <v>3941</v>
      </c>
      <c r="B2677" s="7" t="str">
        <f>HYPERLINK("https://shopee.co.id/Garnier-Sakura-White-Hyaluron-30x-Booster-Serum-Skin-Care-Sachet-Untuk-Kulit-Glowing-Dalam-7-Hari--i.65323877.13402815425", "https://shopee.co.id/Garnier-Sakura-White-Hyaluron-30x-Booster-Serum-Skin-Care-Sachet-Untuk-Kulit-Glowing-Dalam-7-Hari--i.65323877.13402815425")</f>
        <v>https://shopee.co.id/Garnier-Sakura-White-Hyaluron-30x-Booster-Serum-Skin-Care-Sachet-Untuk-Kulit-Glowing-Dalam-7-Hari--i.65323877.13402815425</v>
      </c>
      <c r="C2677" s="6" t="s">
        <v>74</v>
      </c>
      <c r="D2677" s="6" t="s">
        <v>1600</v>
      </c>
      <c r="E2677" s="6" t="s">
        <v>12</v>
      </c>
      <c r="F2677" s="6" t="s">
        <v>13</v>
      </c>
      <c r="G2677" s="6" t="s">
        <v>296</v>
      </c>
      <c r="H2677" s="8" t="s">
        <v>3612</v>
      </c>
      <c r="I2677" s="9">
        <v>192000.0</v>
      </c>
      <c r="J2677" s="5" t="str">
        <f t="shared" ref="J2677:K2677" si="2677">SUBSTITUTE(H2677, ",", "")</f>
        <v>1</v>
      </c>
      <c r="K2677" s="5" t="str">
        <f t="shared" si="2677"/>
        <v>Rp192000</v>
      </c>
      <c r="L2677" s="5" t="str">
        <f t="shared" si="3"/>
        <v>192000</v>
      </c>
    </row>
    <row r="2678">
      <c r="A2678" s="6" t="s">
        <v>3942</v>
      </c>
      <c r="B2678" s="7" t="str">
        <f>HYPERLINK("https://shopee.co.id/Garnier-Light-Complete-White-Speed-Serum-Day-Cream-Extra-SPF-36-PA-Skin-Care-50-ml-i.186214521.6404532323", "https://shopee.co.id/Garnier-Light-Complete-White-Speed-Serum-Day-Cream-Extra-SPF-36-PA-Skin-Care-50-ml-i.186214521.6404532323")</f>
        <v>https://shopee.co.id/Garnier-Light-Complete-White-Speed-Serum-Day-Cream-Extra-SPF-36-PA-Skin-Care-50-ml-i.186214521.6404532323</v>
      </c>
      <c r="C2678" s="6" t="s">
        <v>74</v>
      </c>
      <c r="D2678" s="6" t="s">
        <v>2293</v>
      </c>
      <c r="E2678" s="6" t="s">
        <v>12</v>
      </c>
      <c r="F2678" s="6" t="s">
        <v>13</v>
      </c>
      <c r="G2678" s="6" t="s">
        <v>61</v>
      </c>
      <c r="H2678" s="8" t="s">
        <v>3612</v>
      </c>
      <c r="I2678" s="9">
        <v>136000.0</v>
      </c>
      <c r="J2678" s="5" t="str">
        <f t="shared" ref="J2678:K2678" si="2678">SUBSTITUTE(H2678, ",", "")</f>
        <v>1</v>
      </c>
      <c r="K2678" s="5" t="str">
        <f t="shared" si="2678"/>
        <v>Rp136000</v>
      </c>
      <c r="L2678" s="5" t="str">
        <f t="shared" si="3"/>
        <v>136000</v>
      </c>
    </row>
    <row r="2679">
      <c r="A2679" s="6" t="s">
        <v>3943</v>
      </c>
      <c r="B2679" s="7" t="str">
        <f>HYPERLINK("https://shopee.co.id/Ecla-C-Lite-Brightening-Serum-10G-i.353460901.5369688087", "https://shopee.co.id/Ecla-C-Lite-Brightening-Serum-10G-i.353460901.5369688087")</f>
        <v>https://shopee.co.id/Ecla-C-Lite-Brightening-Serum-10G-i.353460901.5369688087</v>
      </c>
      <c r="C2679" s="6" t="s">
        <v>3626</v>
      </c>
      <c r="D2679" s="6" t="s">
        <v>3944</v>
      </c>
      <c r="E2679" s="6" t="s">
        <v>12</v>
      </c>
      <c r="F2679" s="6" t="s">
        <v>13</v>
      </c>
      <c r="G2679" s="6" t="s">
        <v>1480</v>
      </c>
      <c r="H2679" s="8" t="s">
        <v>3612</v>
      </c>
      <c r="I2679" s="9">
        <v>149000.0</v>
      </c>
      <c r="J2679" s="5" t="str">
        <f t="shared" ref="J2679:K2679" si="2679">SUBSTITUTE(H2679, ",", "")</f>
        <v>1</v>
      </c>
      <c r="K2679" s="5" t="str">
        <f t="shared" si="2679"/>
        <v>Rp149000</v>
      </c>
      <c r="L2679" s="5" t="str">
        <f t="shared" si="3"/>
        <v>149000</v>
      </c>
    </row>
    <row r="2680">
      <c r="A2680" s="6" t="s">
        <v>3945</v>
      </c>
      <c r="B2680" s="7" t="str">
        <f>HYPERLINK("https://shopee.co.id/Nivea-Make-Up-Starter-2in1-Day-Serum-SPF33-30-ml-i.186214521.6215937121", "https://shopee.co.id/Nivea-Make-Up-Starter-2in1-Day-Serum-SPF33-30-ml-i.186214521.6215937121")</f>
        <v>https://shopee.co.id/Nivea-Make-Up-Starter-2in1-Day-Serum-SPF33-30-ml-i.186214521.6215937121</v>
      </c>
      <c r="C2680" s="6" t="s">
        <v>1571</v>
      </c>
      <c r="D2680" s="6" t="s">
        <v>2293</v>
      </c>
      <c r="E2680" s="6" t="s">
        <v>12</v>
      </c>
      <c r="F2680" s="6" t="s">
        <v>13</v>
      </c>
      <c r="G2680" s="6" t="s">
        <v>61</v>
      </c>
      <c r="H2680" s="8" t="s">
        <v>3612</v>
      </c>
      <c r="I2680" s="9">
        <v>115500.0</v>
      </c>
      <c r="J2680" s="5" t="str">
        <f t="shared" ref="J2680:K2680" si="2680">SUBSTITUTE(H2680, ",", "")</f>
        <v>1</v>
      </c>
      <c r="K2680" s="5" t="str">
        <f t="shared" si="2680"/>
        <v>Rp115500</v>
      </c>
      <c r="L2680" s="5" t="str">
        <f t="shared" si="3"/>
        <v>115500</v>
      </c>
    </row>
    <row r="2681">
      <c r="A2681" s="6" t="s">
        <v>3946</v>
      </c>
      <c r="B2681" s="7" t="str">
        <f>HYPERLINK("https://shopee.co.id/Wardah-Lightening-Facial-Serum-i.16735262.644743615", "https://shopee.co.id/Wardah-Lightening-Facial-Serum-i.16735262.644743615")</f>
        <v>https://shopee.co.id/Wardah-Lightening-Facial-Serum-i.16735262.644743615</v>
      </c>
      <c r="C2681" s="6" t="s">
        <v>169</v>
      </c>
      <c r="D2681" s="6" t="s">
        <v>3598</v>
      </c>
      <c r="E2681" s="6" t="s">
        <v>12</v>
      </c>
      <c r="F2681" s="6" t="s">
        <v>13</v>
      </c>
      <c r="G2681" s="6" t="s">
        <v>36</v>
      </c>
      <c r="H2681" s="8" t="s">
        <v>3612</v>
      </c>
      <c r="I2681" s="9">
        <v>136000.0</v>
      </c>
      <c r="J2681" s="5" t="str">
        <f t="shared" ref="J2681:K2681" si="2681">SUBSTITUTE(H2681, ",", "")</f>
        <v>1</v>
      </c>
      <c r="K2681" s="5" t="str">
        <f t="shared" si="2681"/>
        <v>Rp136000</v>
      </c>
      <c r="L2681" s="5" t="str">
        <f t="shared" si="3"/>
        <v>136000</v>
      </c>
    </row>
    <row r="2682">
      <c r="A2682" s="6" t="s">
        <v>3947</v>
      </c>
      <c r="B2682" s="7" t="str">
        <f>HYPERLINK("https://shopee.co.id/HUMPHREY-Serum-Vitamin-C-Collagen-Plus-20ml-i.68111.4690754796", "https://shopee.co.id/HUMPHREY-Serum-Vitamin-C-Collagen-Plus-20ml-i.68111.4690754796")</f>
        <v>https://shopee.co.id/HUMPHREY-Serum-Vitamin-C-Collagen-Plus-20ml-i.68111.4690754796</v>
      </c>
      <c r="C2682" s="6" t="s">
        <v>1832</v>
      </c>
      <c r="D2682" s="6" t="s">
        <v>441</v>
      </c>
      <c r="E2682" s="6" t="s">
        <v>12</v>
      </c>
      <c r="F2682" s="6" t="s">
        <v>13</v>
      </c>
      <c r="G2682" s="6" t="s">
        <v>130</v>
      </c>
      <c r="H2682" s="8" t="s">
        <v>3612</v>
      </c>
      <c r="I2682" s="9">
        <v>127500.0</v>
      </c>
      <c r="J2682" s="5" t="str">
        <f t="shared" ref="J2682:K2682" si="2682">SUBSTITUTE(H2682, ",", "")</f>
        <v>1</v>
      </c>
      <c r="K2682" s="5" t="str">
        <f t="shared" si="2682"/>
        <v>Rp127500</v>
      </c>
      <c r="L2682" s="5" t="str">
        <f t="shared" si="3"/>
        <v>127500</v>
      </c>
    </row>
    <row r="2683">
      <c r="A2683" s="6" t="s">
        <v>3948</v>
      </c>
      <c r="B2683" s="7" t="str">
        <f>HYPERLINK("https://shopee.co.id/Safi-Age-Defy-Gold-Water-Essence-30-mL-i.65323877.8179240522", "https://shopee.co.id/Safi-Age-Defy-Gold-Water-Essence-30-mL-i.65323877.8179240522")</f>
        <v>https://shopee.co.id/Safi-Age-Defy-Gold-Water-Essence-30-mL-i.65323877.8179240522</v>
      </c>
      <c r="C2683" s="6" t="s">
        <v>278</v>
      </c>
      <c r="D2683" s="6" t="s">
        <v>1600</v>
      </c>
      <c r="E2683" s="6" t="s">
        <v>12</v>
      </c>
      <c r="F2683" s="6" t="s">
        <v>13</v>
      </c>
      <c r="G2683" s="6" t="s">
        <v>296</v>
      </c>
      <c r="H2683" s="8" t="s">
        <v>3612</v>
      </c>
      <c r="I2683" s="9">
        <v>992000.0</v>
      </c>
      <c r="J2683" s="5" t="str">
        <f t="shared" ref="J2683:K2683" si="2683">SUBSTITUTE(H2683, ",", "")</f>
        <v>1</v>
      </c>
      <c r="K2683" s="5" t="str">
        <f t="shared" si="2683"/>
        <v>Rp992000</v>
      </c>
      <c r="L2683" s="5" t="str">
        <f t="shared" si="3"/>
        <v>992000</v>
      </c>
    </row>
    <row r="2684">
      <c r="A2684" s="6" t="s">
        <v>3949</v>
      </c>
      <c r="B2684" s="7" t="str">
        <f>HYPERLINK("https://shopee.co.id/Mireya-Skin-Booster-Essence-Serum-Bakuchiol-Collagen-The-Retinol-Alternative-i.101578297.11752132982", "https://shopee.co.id/Mireya-Skin-Booster-Essence-Serum-Bakuchiol-Collagen-The-Retinol-Alternative-i.101578297.11752132982")</f>
        <v>https://shopee.co.id/Mireya-Skin-Booster-Essence-Serum-Bakuchiol-Collagen-The-Retinol-Alternative-i.101578297.11752132982</v>
      </c>
      <c r="C2684" s="6" t="s">
        <v>2430</v>
      </c>
      <c r="D2684" s="6" t="s">
        <v>2431</v>
      </c>
      <c r="E2684" s="6" t="s">
        <v>12</v>
      </c>
      <c r="F2684" s="6" t="s">
        <v>13</v>
      </c>
      <c r="G2684" s="6" t="s">
        <v>21</v>
      </c>
      <c r="H2684" s="8" t="s">
        <v>3612</v>
      </c>
      <c r="I2684" s="9">
        <v>336000.0</v>
      </c>
      <c r="J2684" s="5" t="str">
        <f t="shared" ref="J2684:K2684" si="2684">SUBSTITUTE(H2684, ",", "")</f>
        <v>1</v>
      </c>
      <c r="K2684" s="5" t="str">
        <f t="shared" si="2684"/>
        <v>Rp336000</v>
      </c>
      <c r="L2684" s="5" t="str">
        <f t="shared" si="3"/>
        <v>336000</v>
      </c>
    </row>
    <row r="2685">
      <c r="A2685" s="6" t="s">
        <v>3950</v>
      </c>
      <c r="B2685" s="7" t="str">
        <f>HYPERLINK("https://shopee.co.id/WARDAH-Nature-Daily-Aloe-Hydramild-Serum-5-x-5-ML-i.187117294.6558022220", "https://shopee.co.id/WARDAH-Nature-Daily-Aloe-Hydramild-Serum-5-x-5-ML-i.187117294.6558022220")</f>
        <v>https://shopee.co.id/WARDAH-Nature-Daily-Aloe-Hydramild-Serum-5-x-5-ML-i.187117294.6558022220</v>
      </c>
      <c r="C2685" s="6" t="s">
        <v>169</v>
      </c>
      <c r="D2685" s="6" t="s">
        <v>2366</v>
      </c>
      <c r="E2685" s="6" t="s">
        <v>12</v>
      </c>
      <c r="F2685" s="6" t="s">
        <v>13</v>
      </c>
      <c r="G2685" s="6" t="s">
        <v>469</v>
      </c>
      <c r="H2685" s="8" t="s">
        <v>3612</v>
      </c>
      <c r="I2685" s="9">
        <v>89100.0</v>
      </c>
      <c r="J2685" s="5" t="str">
        <f t="shared" ref="J2685:K2685" si="2685">SUBSTITUTE(H2685, ",", "")</f>
        <v>1</v>
      </c>
      <c r="K2685" s="5" t="str">
        <f t="shared" si="2685"/>
        <v>Rp89100</v>
      </c>
      <c r="L2685" s="5" t="str">
        <f t="shared" si="3"/>
        <v>89100</v>
      </c>
    </row>
    <row r="2686">
      <c r="A2686" s="6" t="s">
        <v>3951</v>
      </c>
      <c r="B2686" s="7" t="str">
        <f>HYPERLINK("https://shopee.co.id/Garnier-Sakura-White-Serum-Day-Cream-SPF30-PA-50-mL-i.65323877.10219057530", "https://shopee.co.id/Garnier-Sakura-White-Serum-Day-Cream-SPF30-PA-50-mL-i.65323877.10219057530")</f>
        <v>https://shopee.co.id/Garnier-Sakura-White-Serum-Day-Cream-SPF30-PA-50-mL-i.65323877.10219057530</v>
      </c>
      <c r="C2686" s="6" t="s">
        <v>74</v>
      </c>
      <c r="D2686" s="6" t="s">
        <v>1600</v>
      </c>
      <c r="E2686" s="6" t="s">
        <v>12</v>
      </c>
      <c r="F2686" s="6" t="s">
        <v>13</v>
      </c>
      <c r="G2686" s="6" t="s">
        <v>296</v>
      </c>
      <c r="H2686" s="8" t="s">
        <v>3612</v>
      </c>
      <c r="I2686" s="9">
        <v>84150.0</v>
      </c>
      <c r="J2686" s="5" t="str">
        <f t="shared" ref="J2686:K2686" si="2686">SUBSTITUTE(H2686, ",", "")</f>
        <v>1</v>
      </c>
      <c r="K2686" s="5" t="str">
        <f t="shared" si="2686"/>
        <v>Rp84150</v>
      </c>
      <c r="L2686" s="5" t="str">
        <f t="shared" si="3"/>
        <v>84150</v>
      </c>
    </row>
    <row r="2687">
      <c r="A2687" s="6" t="s">
        <v>3952</v>
      </c>
      <c r="B2687" s="7" t="str">
        <f>HYPERLINK("https://shopee.co.id/Smooto-Egg-Collagen-White-Serum-Mencerahkan-Melembabkan-Mengecilkan-Pori-Pori-i.97148691.11145642746", "https://shopee.co.id/Smooto-Egg-Collagen-White-Serum-Mencerahkan-Melembabkan-Mengecilkan-Pori-Pori-i.97148691.11145642746")</f>
        <v>https://shopee.co.id/Smooto-Egg-Collagen-White-Serum-Mencerahkan-Melembabkan-Mengecilkan-Pori-Pori-i.97148691.11145642746</v>
      </c>
      <c r="C2687" s="6" t="s">
        <v>2779</v>
      </c>
      <c r="D2687" s="6" t="s">
        <v>2855</v>
      </c>
      <c r="E2687" s="6" t="s">
        <v>12</v>
      </c>
      <c r="F2687" s="6" t="s">
        <v>13</v>
      </c>
      <c r="G2687" s="6" t="s">
        <v>85</v>
      </c>
      <c r="H2687" s="8" t="s">
        <v>3612</v>
      </c>
      <c r="I2687" s="9">
        <v>84150.0</v>
      </c>
      <c r="J2687" s="5" t="str">
        <f t="shared" ref="J2687:K2687" si="2687">SUBSTITUTE(H2687, ",", "")</f>
        <v>1</v>
      </c>
      <c r="K2687" s="5" t="str">
        <f t="shared" si="2687"/>
        <v>Rp84150</v>
      </c>
      <c r="L2687" s="5" t="str">
        <f t="shared" si="3"/>
        <v>84150</v>
      </c>
    </row>
    <row r="2688">
      <c r="A2688" s="6" t="s">
        <v>3953</v>
      </c>
      <c r="B2688" s="7" t="str">
        <f>HYPERLINK("https://shopee.co.id/Smooto-Egg-Collagen-White-Serum-Mencerahkan-Mengecilkan-Pori-Pori-i.22660385.12904240953", "https://shopee.co.id/Smooto-Egg-Collagen-White-Serum-Mencerahkan-Mengecilkan-Pori-Pori-i.22660385.12904240953")</f>
        <v>https://shopee.co.id/Smooto-Egg-Collagen-White-Serum-Mencerahkan-Mengecilkan-Pori-Pori-i.22660385.12904240953</v>
      </c>
      <c r="C2688" s="6" t="s">
        <v>2779</v>
      </c>
      <c r="D2688" s="6" t="s">
        <v>3954</v>
      </c>
      <c r="E2688" s="6" t="s">
        <v>12</v>
      </c>
      <c r="F2688" s="6" t="s">
        <v>13</v>
      </c>
      <c r="G2688" s="6" t="s">
        <v>85</v>
      </c>
      <c r="H2688" s="8" t="s">
        <v>3612</v>
      </c>
      <c r="I2688" s="9">
        <v>27083.0</v>
      </c>
      <c r="J2688" s="5" t="str">
        <f t="shared" ref="J2688:K2688" si="2688">SUBSTITUTE(H2688, ",", "")</f>
        <v>1</v>
      </c>
      <c r="K2688" s="5" t="str">
        <f t="shared" si="2688"/>
        <v>Rp27083</v>
      </c>
      <c r="L2688" s="5" t="str">
        <f t="shared" si="3"/>
        <v>27083</v>
      </c>
    </row>
    <row r="2689">
      <c r="A2689" s="6" t="s">
        <v>3955</v>
      </c>
      <c r="B2689" s="7" t="str">
        <f>HYPERLINK("https://shopee.co.id/HANASUI-Serum-Vitamin-C-i.68111.11732658563", "https://shopee.co.id/HANASUI-Serum-Vitamin-C-i.68111.11732658563")</f>
        <v>https://shopee.co.id/HANASUI-Serum-Vitamin-C-i.68111.11732658563</v>
      </c>
      <c r="C2689" s="6" t="s">
        <v>784</v>
      </c>
      <c r="D2689" s="6" t="s">
        <v>441</v>
      </c>
      <c r="E2689" s="6" t="s">
        <v>12</v>
      </c>
      <c r="F2689" s="6" t="s">
        <v>13</v>
      </c>
      <c r="G2689" s="6" t="s">
        <v>130</v>
      </c>
      <c r="H2689" s="8" t="s">
        <v>3612</v>
      </c>
      <c r="I2689" s="9">
        <v>135000.0</v>
      </c>
      <c r="J2689" s="5" t="str">
        <f t="shared" ref="J2689:K2689" si="2689">SUBSTITUTE(H2689, ",", "")</f>
        <v>1</v>
      </c>
      <c r="K2689" s="5" t="str">
        <f t="shared" si="2689"/>
        <v>Rp135000</v>
      </c>
      <c r="L2689" s="5" t="str">
        <f t="shared" si="3"/>
        <v>135000</v>
      </c>
    </row>
    <row r="2690">
      <c r="A2690" s="6" t="s">
        <v>3956</v>
      </c>
      <c r="B2690" s="7" t="str">
        <f>HYPERLINK("https://shopee.co.id/Bundling-3-Hanasui-Vitamin-C-Serum-20Ml-Serum-Wajah-Pelembab-Wajah-Vitamin-Wajah-i.185943783.6814880029", "https://shopee.co.id/Bundling-3-Hanasui-Vitamin-C-Serum-20Ml-Serum-Wajah-Pelembab-Wajah-Vitamin-Wajah-i.185943783.6814880029")</f>
        <v>https://shopee.co.id/Bundling-3-Hanasui-Vitamin-C-Serum-20Ml-Serum-Wajah-Pelembab-Wajah-Vitamin-Wajah-i.185943783.6814880029</v>
      </c>
      <c r="C2690" s="6" t="s">
        <v>784</v>
      </c>
      <c r="D2690" s="6" t="s">
        <v>3429</v>
      </c>
      <c r="E2690" s="6" t="s">
        <v>12</v>
      </c>
      <c r="F2690" s="6" t="s">
        <v>13</v>
      </c>
      <c r="G2690" s="6" t="s">
        <v>36</v>
      </c>
      <c r="H2690" s="8" t="s">
        <v>3612</v>
      </c>
      <c r="I2690" s="9">
        <v>139500.0</v>
      </c>
      <c r="J2690" s="5" t="str">
        <f t="shared" ref="J2690:K2690" si="2690">SUBSTITUTE(H2690, ",", "")</f>
        <v>1</v>
      </c>
      <c r="K2690" s="5" t="str">
        <f t="shared" si="2690"/>
        <v>Rp139500</v>
      </c>
      <c r="L2690" s="5" t="str">
        <f t="shared" si="3"/>
        <v>139500</v>
      </c>
    </row>
    <row r="2691">
      <c r="A2691" s="6" t="s">
        <v>3957</v>
      </c>
      <c r="B2691" s="7" t="str">
        <f>HYPERLINK("https://shopee.co.id/BREYLEE-Serum-Hyaluronic-Acid-Melembabkan-Wajah-17ml-i.68111.9253334980", "https://shopee.co.id/BREYLEE-Serum-Hyaluronic-Acid-Melembabkan-Wajah-17ml-i.68111.9253334980")</f>
        <v>https://shopee.co.id/BREYLEE-Serum-Hyaluronic-Acid-Melembabkan-Wajah-17ml-i.68111.9253334980</v>
      </c>
      <c r="C2691" s="6" t="s">
        <v>852</v>
      </c>
      <c r="D2691" s="6" t="s">
        <v>441</v>
      </c>
      <c r="E2691" s="6" t="s">
        <v>12</v>
      </c>
      <c r="F2691" s="6" t="s">
        <v>13</v>
      </c>
      <c r="G2691" s="6" t="s">
        <v>130</v>
      </c>
      <c r="H2691" s="8" t="s">
        <v>3612</v>
      </c>
      <c r="I2691" s="9">
        <v>495380.0</v>
      </c>
      <c r="J2691" s="5" t="str">
        <f t="shared" ref="J2691:K2691" si="2691">SUBSTITUTE(H2691, ",", "")</f>
        <v>1</v>
      </c>
      <c r="K2691" s="5" t="str">
        <f t="shared" si="2691"/>
        <v>Rp495380</v>
      </c>
      <c r="L2691" s="5" t="str">
        <f t="shared" si="3"/>
        <v>495380</v>
      </c>
    </row>
    <row r="2692">
      <c r="A2692" s="6" t="s">
        <v>3958</v>
      </c>
      <c r="B2692" s="7" t="str">
        <f>HYPERLINK("https://shopee.co.id/BREYLEE-Serum-Rose-Hydrating-Menyegarkan-dan-Melembabkan-17ml-i.68111.8453349062", "https://shopee.co.id/BREYLEE-Serum-Rose-Hydrating-Menyegarkan-dan-Melembabkan-17ml-i.68111.8453349062")</f>
        <v>https://shopee.co.id/BREYLEE-Serum-Rose-Hydrating-Menyegarkan-dan-Melembabkan-17ml-i.68111.8453349062</v>
      </c>
      <c r="C2692" s="6" t="s">
        <v>852</v>
      </c>
      <c r="D2692" s="6" t="s">
        <v>441</v>
      </c>
      <c r="E2692" s="6" t="s">
        <v>12</v>
      </c>
      <c r="F2692" s="6" t="s">
        <v>13</v>
      </c>
      <c r="G2692" s="6" t="s">
        <v>130</v>
      </c>
      <c r="H2692" s="8" t="s">
        <v>3612</v>
      </c>
      <c r="I2692" s="9">
        <v>612000.0</v>
      </c>
      <c r="J2692" s="5" t="str">
        <f t="shared" ref="J2692:K2692" si="2692">SUBSTITUTE(H2692, ",", "")</f>
        <v>1</v>
      </c>
      <c r="K2692" s="5" t="str">
        <f t="shared" si="2692"/>
        <v>Rp612000</v>
      </c>
      <c r="L2692" s="5" t="str">
        <f t="shared" si="3"/>
        <v>612000</v>
      </c>
    </row>
    <row r="2693">
      <c r="A2693" s="6" t="s">
        <v>3959</v>
      </c>
      <c r="B2693" s="7" t="str">
        <f>HYPERLINK("https://shopee.co.id/EMINA-Bright-Stuff-Face-Serum-30ml-i.68111.7986621623", "https://shopee.co.id/EMINA-Bright-Stuff-Face-Serum-30ml-i.68111.7986621623")</f>
        <v>https://shopee.co.id/EMINA-Bright-Stuff-Face-Serum-30ml-i.68111.7986621623</v>
      </c>
      <c r="C2693" s="6" t="s">
        <v>209</v>
      </c>
      <c r="D2693" s="6" t="s">
        <v>441</v>
      </c>
      <c r="E2693" s="6" t="s">
        <v>12</v>
      </c>
      <c r="F2693" s="6" t="s">
        <v>13</v>
      </c>
      <c r="G2693" s="6" t="s">
        <v>130</v>
      </c>
      <c r="H2693" s="8" t="s">
        <v>3612</v>
      </c>
      <c r="I2693" s="9">
        <v>385000.0</v>
      </c>
      <c r="J2693" s="5" t="str">
        <f t="shared" ref="J2693:K2693" si="2693">SUBSTITUTE(H2693, ",", "")</f>
        <v>1</v>
      </c>
      <c r="K2693" s="5" t="str">
        <f t="shared" si="2693"/>
        <v>Rp385000</v>
      </c>
      <c r="L2693" s="5" t="str">
        <f t="shared" si="3"/>
        <v>385000</v>
      </c>
    </row>
    <row r="2694">
      <c r="A2694" s="6" t="s">
        <v>3960</v>
      </c>
      <c r="B2694" s="7" t="str">
        <f>HYPERLINK("https://shopee.co.id/Theraskin-Serum-Pore-Minimizer-8Gr-i.185943783.6934888513", "https://shopee.co.id/Theraskin-Serum-Pore-Minimizer-8Gr-i.185943783.6934888513")</f>
        <v>https://shopee.co.id/Theraskin-Serum-Pore-Minimizer-8Gr-i.185943783.6934888513</v>
      </c>
      <c r="C2694" s="6" t="s">
        <v>3961</v>
      </c>
      <c r="D2694" s="6" t="s">
        <v>3429</v>
      </c>
      <c r="E2694" s="6" t="s">
        <v>12</v>
      </c>
      <c r="F2694" s="6" t="s">
        <v>13</v>
      </c>
      <c r="G2694" s="6" t="s">
        <v>36</v>
      </c>
      <c r="H2694" s="8" t="s">
        <v>3612</v>
      </c>
      <c r="I2694" s="9">
        <v>612000.0</v>
      </c>
      <c r="J2694" s="5" t="str">
        <f t="shared" ref="J2694:K2694" si="2694">SUBSTITUTE(H2694, ",", "")</f>
        <v>1</v>
      </c>
      <c r="K2694" s="5" t="str">
        <f t="shared" si="2694"/>
        <v>Rp612000</v>
      </c>
      <c r="L2694" s="5" t="str">
        <f t="shared" si="3"/>
        <v>612000</v>
      </c>
    </row>
    <row r="2695">
      <c r="A2695" s="6" t="s">
        <v>3962</v>
      </c>
      <c r="B2695" s="7" t="str">
        <f>HYPERLINK("https://shopee.co.id/Nu-Aroma-Sunflower-Oil-Natural-Serum-Wajah-Serum-Kulit-Serum-Rambut--i.262175945.5357195928", "https://shopee.co.id/Nu-Aroma-Sunflower-Oil-Natural-Serum-Wajah-Serum-Kulit-Serum-Rambut--i.262175945.5357195928")</f>
        <v>https://shopee.co.id/Nu-Aroma-Sunflower-Oil-Natural-Serum-Wajah-Serum-Kulit-Serum-Rambut--i.262175945.5357195928</v>
      </c>
      <c r="C2695" s="6" t="s">
        <v>1665</v>
      </c>
      <c r="D2695" s="6" t="s">
        <v>2864</v>
      </c>
      <c r="E2695" s="6" t="s">
        <v>12</v>
      </c>
      <c r="F2695" s="6" t="s">
        <v>13</v>
      </c>
      <c r="G2695" s="6" t="s">
        <v>945</v>
      </c>
      <c r="H2695" s="8" t="s">
        <v>3612</v>
      </c>
      <c r="I2695" s="9">
        <v>182000.0</v>
      </c>
      <c r="J2695" s="5" t="str">
        <f t="shared" ref="J2695:K2695" si="2695">SUBSTITUTE(H2695, ",", "")</f>
        <v>1</v>
      </c>
      <c r="K2695" s="5" t="str">
        <f t="shared" si="2695"/>
        <v>Rp182000</v>
      </c>
      <c r="L2695" s="5" t="str">
        <f t="shared" si="3"/>
        <v>182000</v>
      </c>
    </row>
    <row r="2696">
      <c r="A2696" s="6" t="s">
        <v>3963</v>
      </c>
      <c r="B2696" s="7" t="str">
        <f>HYPERLINK("https://shopee.co.id/Hanasui-Vitamin-C-Body-Serum-Gel-200ml-i.277377659.6540029900", "https://shopee.co.id/Hanasui-Vitamin-C-Body-Serum-Gel-200ml-i.277377659.6540029900")</f>
        <v>https://shopee.co.id/Hanasui-Vitamin-C-Body-Serum-Gel-200ml-i.277377659.6540029900</v>
      </c>
      <c r="C2696" s="6" t="s">
        <v>784</v>
      </c>
      <c r="D2696" s="6" t="s">
        <v>2549</v>
      </c>
      <c r="E2696" s="6" t="s">
        <v>12</v>
      </c>
      <c r="F2696" s="6" t="s">
        <v>13</v>
      </c>
      <c r="G2696" s="6" t="s">
        <v>532</v>
      </c>
      <c r="H2696" s="8" t="s">
        <v>3612</v>
      </c>
      <c r="I2696" s="9">
        <v>185500.0</v>
      </c>
      <c r="J2696" s="5" t="str">
        <f t="shared" ref="J2696:K2696" si="2696">SUBSTITUTE(H2696, ",", "")</f>
        <v>1</v>
      </c>
      <c r="K2696" s="5" t="str">
        <f t="shared" si="2696"/>
        <v>Rp185500</v>
      </c>
      <c r="L2696" s="5" t="str">
        <f t="shared" si="3"/>
        <v>185500</v>
      </c>
    </row>
    <row r="2697">
      <c r="A2697" s="6" t="s">
        <v>3964</v>
      </c>
      <c r="B2697" s="7" t="str">
        <f>HYPERLINK("https://shopee.co.id/WARDAH-Lightening-Serum-Ampoule-8ml-i.187117294.9434967016", "https://shopee.co.id/WARDAH-Lightening-Serum-Ampoule-8ml-i.187117294.9434967016")</f>
        <v>https://shopee.co.id/WARDAH-Lightening-Serum-Ampoule-8ml-i.187117294.9434967016</v>
      </c>
      <c r="C2697" s="6" t="s">
        <v>169</v>
      </c>
      <c r="D2697" s="6" t="s">
        <v>2366</v>
      </c>
      <c r="E2697" s="6" t="s">
        <v>12</v>
      </c>
      <c r="F2697" s="6" t="s">
        <v>13</v>
      </c>
      <c r="G2697" s="6" t="s">
        <v>469</v>
      </c>
      <c r="H2697" s="8" t="s">
        <v>3612</v>
      </c>
      <c r="I2697" s="9">
        <v>225000.0</v>
      </c>
      <c r="J2697" s="5" t="str">
        <f t="shared" ref="J2697:K2697" si="2697">SUBSTITUTE(H2697, ",", "")</f>
        <v>1</v>
      </c>
      <c r="K2697" s="5" t="str">
        <f t="shared" si="2697"/>
        <v>Rp225000</v>
      </c>
      <c r="L2697" s="5" t="str">
        <f t="shared" si="3"/>
        <v>225000</v>
      </c>
    </row>
    <row r="2698">
      <c r="A2698" s="6" t="s">
        <v>3965</v>
      </c>
      <c r="B2698" s="7" t="str">
        <f>HYPERLINK("https://shopee.co.id/Breylee-Serum-Wajah-All-Varian-17ml-i.136011044.8225328126", "https://shopee.co.id/Breylee-Serum-Wajah-All-Varian-17ml-i.136011044.8225328126")</f>
        <v>https://shopee.co.id/Breylee-Serum-Wajah-All-Varian-17ml-i.136011044.8225328126</v>
      </c>
      <c r="C2698" s="6" t="s">
        <v>852</v>
      </c>
      <c r="D2698" s="6" t="s">
        <v>632</v>
      </c>
      <c r="E2698" s="6" t="s">
        <v>12</v>
      </c>
      <c r="F2698" s="6" t="s">
        <v>13</v>
      </c>
      <c r="G2698" s="6" t="s">
        <v>21</v>
      </c>
      <c r="H2698" s="8" t="s">
        <v>3612</v>
      </c>
      <c r="I2698" s="9">
        <v>72210.0</v>
      </c>
      <c r="J2698" s="5" t="str">
        <f t="shared" ref="J2698:K2698" si="2698">SUBSTITUTE(H2698, ",", "")</f>
        <v>1</v>
      </c>
      <c r="K2698" s="5" t="str">
        <f t="shared" si="2698"/>
        <v>Rp72210</v>
      </c>
      <c r="L2698" s="5" t="str">
        <f t="shared" si="3"/>
        <v>72210</v>
      </c>
    </row>
    <row r="2699">
      <c r="A2699" s="6" t="s">
        <v>3966</v>
      </c>
      <c r="B2699" s="7" t="str">
        <f>HYPERLINK("https://shopee.co.id/KKV-Garnier-Light-Complete-Booster-Serum-40ML-i.261911729.7841504910", "https://shopee.co.id/KKV-Garnier-Light-Complete-Booster-Serum-40ML-i.261911729.7841504910")</f>
        <v>https://shopee.co.id/KKV-Garnier-Light-Complete-Booster-Serum-40ML-i.261911729.7841504910</v>
      </c>
      <c r="C2699" s="6" t="s">
        <v>74</v>
      </c>
      <c r="D2699" s="6" t="s">
        <v>1485</v>
      </c>
      <c r="E2699" s="6" t="s">
        <v>12</v>
      </c>
      <c r="F2699" s="6" t="s">
        <v>13</v>
      </c>
      <c r="G2699" s="6" t="s">
        <v>61</v>
      </c>
      <c r="H2699" s="8" t="s">
        <v>3612</v>
      </c>
      <c r="I2699" s="9">
        <v>87000.0</v>
      </c>
      <c r="J2699" s="5" t="str">
        <f t="shared" ref="J2699:K2699" si="2699">SUBSTITUTE(H2699, ",", "")</f>
        <v>1</v>
      </c>
      <c r="K2699" s="5" t="str">
        <f t="shared" si="2699"/>
        <v>Rp87000</v>
      </c>
      <c r="L2699" s="5" t="str">
        <f t="shared" si="3"/>
        <v>87000</v>
      </c>
    </row>
    <row r="2700">
      <c r="A2700" s="6" t="s">
        <v>3967</v>
      </c>
      <c r="B2700" s="7" t="str">
        <f>HYPERLINK("https://shopee.co.id/Wardah-Lightening-Serum-Ampoule-8Ml-i.353463233.8048837072", "https://shopee.co.id/Wardah-Lightening-Serum-Ampoule-8Ml-i.353463233.8048837072")</f>
        <v>https://shopee.co.id/Wardah-Lightening-Serum-Ampoule-8Ml-i.353463233.8048837072</v>
      </c>
      <c r="C2700" s="6" t="s">
        <v>169</v>
      </c>
      <c r="D2700" s="6" t="s">
        <v>3968</v>
      </c>
      <c r="E2700" s="6" t="s">
        <v>12</v>
      </c>
      <c r="F2700" s="6" t="s">
        <v>13</v>
      </c>
      <c r="G2700" s="6" t="s">
        <v>350</v>
      </c>
      <c r="H2700" s="8" t="s">
        <v>3612</v>
      </c>
      <c r="I2700" s="9">
        <v>759900.0</v>
      </c>
      <c r="J2700" s="5" t="str">
        <f t="shared" ref="J2700:K2700" si="2700">SUBSTITUTE(H2700, ",", "")</f>
        <v>1</v>
      </c>
      <c r="K2700" s="5" t="str">
        <f t="shared" si="2700"/>
        <v>Rp759900</v>
      </c>
      <c r="L2700" s="5" t="str">
        <f t="shared" si="3"/>
        <v>759900</v>
      </c>
    </row>
    <row r="2701">
      <c r="A2701" s="6" t="s">
        <v>3969</v>
      </c>
      <c r="B2701" s="7" t="str">
        <f>HYPERLINK("https://shopee.co.id/Garnier-Light-Complete-Vitamin-C-30x-Booster-Serum-Skin-Care-Sachet-Cepat-Cerahkan-Noda-Hitam--i.65323877.13602810423", "https://shopee.co.id/Garnier-Light-Complete-Vitamin-C-30x-Booster-Serum-Skin-Care-Sachet-Cepat-Cerahkan-Noda-Hitam--i.65323877.13602810423")</f>
        <v>https://shopee.co.id/Garnier-Light-Complete-Vitamin-C-30x-Booster-Serum-Skin-Care-Sachet-Cepat-Cerahkan-Noda-Hitam--i.65323877.13602810423</v>
      </c>
      <c r="C2701" s="6" t="s">
        <v>74</v>
      </c>
      <c r="D2701" s="6" t="s">
        <v>1600</v>
      </c>
      <c r="E2701" s="6" t="s">
        <v>12</v>
      </c>
      <c r="F2701" s="6" t="s">
        <v>13</v>
      </c>
      <c r="G2701" s="6" t="s">
        <v>296</v>
      </c>
      <c r="H2701" s="8" t="s">
        <v>3612</v>
      </c>
      <c r="I2701" s="9">
        <v>255000.0</v>
      </c>
      <c r="J2701" s="5" t="str">
        <f t="shared" ref="J2701:K2701" si="2701">SUBSTITUTE(H2701, ",", "")</f>
        <v>1</v>
      </c>
      <c r="K2701" s="5" t="str">
        <f t="shared" si="2701"/>
        <v>Rp255000</v>
      </c>
      <c r="L2701" s="5" t="str">
        <f t="shared" si="3"/>
        <v>255000</v>
      </c>
    </row>
    <row r="2702">
      <c r="A2702" s="6" t="s">
        <v>3970</v>
      </c>
      <c r="B2702" s="7" t="str">
        <f>HYPERLINK("https://shopee.co.id/Mireya-Ultra-Boost-Serum-Hyalu-6-Peptide-3ml-i.101578297.12002390806", "https://shopee.co.id/Mireya-Ultra-Boost-Serum-Hyalu-6-Peptide-3ml-i.101578297.12002390806")</f>
        <v>https://shopee.co.id/Mireya-Ultra-Boost-Serum-Hyalu-6-Peptide-3ml-i.101578297.12002390806</v>
      </c>
      <c r="C2702" s="6" t="s">
        <v>2430</v>
      </c>
      <c r="D2702" s="6" t="s">
        <v>2431</v>
      </c>
      <c r="E2702" s="6" t="s">
        <v>12</v>
      </c>
      <c r="F2702" s="6" t="s">
        <v>13</v>
      </c>
      <c r="G2702" s="6" t="s">
        <v>21</v>
      </c>
      <c r="H2702" s="8" t="s">
        <v>3612</v>
      </c>
      <c r="I2702" s="9">
        <v>56500.0</v>
      </c>
      <c r="J2702" s="5" t="str">
        <f t="shared" ref="J2702:K2702" si="2702">SUBSTITUTE(H2702, ",", "")</f>
        <v>1</v>
      </c>
      <c r="K2702" s="5" t="str">
        <f t="shared" si="2702"/>
        <v>Rp56500</v>
      </c>
      <c r="L2702" s="5" t="str">
        <f t="shared" si="3"/>
        <v>56500</v>
      </c>
    </row>
    <row r="2703">
      <c r="A2703" s="6" t="s">
        <v>3971</v>
      </c>
      <c r="B2703" s="7" t="str">
        <f>HYPERLINK("https://shopee.co.id/Beli-1-Dapat-2-Hanasui-Vitamin-C-Collagen-Serum-20Ml-Vitamin-Wajah-Anti-Aging-i.185943783.4714604380", "https://shopee.co.id/Beli-1-Dapat-2-Hanasui-Vitamin-C-Collagen-Serum-20Ml-Vitamin-Wajah-Anti-Aging-i.185943783.4714604380")</f>
        <v>https://shopee.co.id/Beli-1-Dapat-2-Hanasui-Vitamin-C-Collagen-Serum-20Ml-Vitamin-Wajah-Anti-Aging-i.185943783.4714604380</v>
      </c>
      <c r="C2703" s="6" t="s">
        <v>784</v>
      </c>
      <c r="D2703" s="6" t="s">
        <v>3429</v>
      </c>
      <c r="E2703" s="6" t="s">
        <v>12</v>
      </c>
      <c r="F2703" s="6" t="s">
        <v>13</v>
      </c>
      <c r="G2703" s="6" t="s">
        <v>36</v>
      </c>
      <c r="H2703" s="8" t="s">
        <v>3612</v>
      </c>
      <c r="I2703" s="9">
        <v>52500.0</v>
      </c>
      <c r="J2703" s="5" t="str">
        <f t="shared" ref="J2703:K2703" si="2703">SUBSTITUTE(H2703, ",", "")</f>
        <v>1</v>
      </c>
      <c r="K2703" s="5" t="str">
        <f t="shared" si="2703"/>
        <v>Rp52500</v>
      </c>
      <c r="L2703" s="5" t="str">
        <f t="shared" si="3"/>
        <v>52500</v>
      </c>
    </row>
    <row r="2704">
      <c r="A2704" s="6" t="s">
        <v>1409</v>
      </c>
      <c r="B2704" s="7" t="str">
        <f>HYPERLINK("https://shopee.co.id/Azarine-AHA-BHA-Miraclear-Herbal-Peeling-Serum-20ml-i.187117294.9066866737", "https://shopee.co.id/Azarine-AHA-BHA-Miraclear-Herbal-Peeling-Serum-20ml-i.187117294.9066866737")</f>
        <v>https://shopee.co.id/Azarine-AHA-BHA-Miraclear-Herbal-Peeling-Serum-20ml-i.187117294.9066866737</v>
      </c>
      <c r="C2704" s="6" t="s">
        <v>233</v>
      </c>
      <c r="D2704" s="6" t="s">
        <v>2366</v>
      </c>
      <c r="E2704" s="6" t="s">
        <v>12</v>
      </c>
      <c r="F2704" s="6" t="s">
        <v>13</v>
      </c>
      <c r="G2704" s="6" t="s">
        <v>469</v>
      </c>
      <c r="H2704" s="8" t="s">
        <v>3612</v>
      </c>
      <c r="I2704" s="9">
        <v>70400.0</v>
      </c>
      <c r="J2704" s="5" t="str">
        <f t="shared" ref="J2704:K2704" si="2704">SUBSTITUTE(H2704, ",", "")</f>
        <v>1</v>
      </c>
      <c r="K2704" s="5" t="str">
        <f t="shared" si="2704"/>
        <v>Rp70400</v>
      </c>
      <c r="L2704" s="5" t="str">
        <f t="shared" si="3"/>
        <v>70400</v>
      </c>
    </row>
    <row r="2705">
      <c r="A2705" s="6" t="s">
        <v>3972</v>
      </c>
      <c r="B2705" s="7" t="str">
        <f>HYPERLINK("https://shopee.co.id/THE-POTIONS-Sample-Size-Peptide-Ampoule-1ml-Individual-Pack-Maksimal-Checkout-3-pcs--i.379239733.8334321352", "https://shopee.co.id/THE-POTIONS-Sample-Size-Peptide-Ampoule-1ml-Individual-Pack-Maksimal-Checkout-3-pcs--i.379239733.8334321352")</f>
        <v>https://shopee.co.id/THE-POTIONS-Sample-Size-Peptide-Ampoule-1ml-Individual-Pack-Maksimal-Checkout-3-pcs--i.379239733.8334321352</v>
      </c>
      <c r="C2705" s="6" t="s">
        <v>2245</v>
      </c>
      <c r="D2705" s="6" t="s">
        <v>2246</v>
      </c>
      <c r="E2705" s="6" t="s">
        <v>12</v>
      </c>
      <c r="F2705" s="6" t="s">
        <v>13</v>
      </c>
      <c r="G2705" s="6" t="s">
        <v>130</v>
      </c>
      <c r="H2705" s="8" t="s">
        <v>3612</v>
      </c>
      <c r="I2705" s="9">
        <v>67500.0</v>
      </c>
      <c r="J2705" s="5" t="str">
        <f t="shared" ref="J2705:K2705" si="2705">SUBSTITUTE(H2705, ",", "")</f>
        <v>1</v>
      </c>
      <c r="K2705" s="5" t="str">
        <f t="shared" si="2705"/>
        <v>Rp67500</v>
      </c>
      <c r="L2705" s="5" t="str">
        <f t="shared" si="3"/>
        <v>67500</v>
      </c>
    </row>
    <row r="2706">
      <c r="A2706" s="6" t="s">
        <v>3973</v>
      </c>
      <c r="B2706" s="7" t="str">
        <f>HYPERLINK("https://shopee.co.id/Garnier-Light-Complete-Serum-Cream-Yuzu-410981--i.16735262.6878477327", "https://shopee.co.id/Garnier-Light-Complete-Serum-Cream-Yuzu-410981--i.16735262.6878477327")</f>
        <v>https://shopee.co.id/Garnier-Light-Complete-Serum-Cream-Yuzu-410981--i.16735262.6878477327</v>
      </c>
      <c r="C2706" s="6" t="s">
        <v>74</v>
      </c>
      <c r="D2706" s="6" t="s">
        <v>3598</v>
      </c>
      <c r="E2706" s="6" t="s">
        <v>12</v>
      </c>
      <c r="F2706" s="6" t="s">
        <v>13</v>
      </c>
      <c r="G2706" s="6" t="s">
        <v>36</v>
      </c>
      <c r="H2706" s="8" t="s">
        <v>3612</v>
      </c>
      <c r="I2706" s="9">
        <v>152000.0</v>
      </c>
      <c r="J2706" s="5" t="str">
        <f t="shared" ref="J2706:K2706" si="2706">SUBSTITUTE(H2706, ",", "")</f>
        <v>1</v>
      </c>
      <c r="K2706" s="5" t="str">
        <f t="shared" si="2706"/>
        <v>Rp152000</v>
      </c>
      <c r="L2706" s="5" t="str">
        <f t="shared" si="3"/>
        <v>152000</v>
      </c>
    </row>
    <row r="2707">
      <c r="A2707" s="6" t="s">
        <v>3974</v>
      </c>
      <c r="B2707" s="7" t="str">
        <f>HYPERLINK("https://shopee.co.id/THE-FACE-Temulawak-Whitening-Serum-with-Glutathione-20ml-i.230677444.7417932330", "https://shopee.co.id/THE-FACE-Temulawak-Whitening-Serum-with-Glutathione-20ml-i.230677444.7417932330")</f>
        <v>https://shopee.co.id/THE-FACE-Temulawak-Whitening-Serum-with-Glutathione-20ml-i.230677444.7417932330</v>
      </c>
      <c r="C2707" s="6" t="s">
        <v>3975</v>
      </c>
      <c r="D2707" s="6" t="s">
        <v>1670</v>
      </c>
      <c r="E2707" s="6" t="s">
        <v>12</v>
      </c>
      <c r="F2707" s="6" t="s">
        <v>13</v>
      </c>
      <c r="G2707" s="6" t="s">
        <v>61</v>
      </c>
      <c r="H2707" s="8" t="s">
        <v>3612</v>
      </c>
      <c r="I2707" s="9">
        <v>135000.0</v>
      </c>
      <c r="J2707" s="5" t="str">
        <f t="shared" ref="J2707:K2707" si="2707">SUBSTITUTE(H2707, ",", "")</f>
        <v>1</v>
      </c>
      <c r="K2707" s="5" t="str">
        <f t="shared" si="2707"/>
        <v>Rp135000</v>
      </c>
      <c r="L2707" s="5" t="str">
        <f t="shared" si="3"/>
        <v>135000</v>
      </c>
    </row>
    <row r="2708">
      <c r="A2708" s="6" t="s">
        <v>3976</v>
      </c>
      <c r="B2708" s="7" t="str">
        <f>HYPERLINK("https://shopee.co.id/AZARINE-easy-white-herbal-moisturizer-serum-20ml-i.187117294.9166876343", "https://shopee.co.id/AZARINE-easy-white-herbal-moisturizer-serum-20ml-i.187117294.9166876343")</f>
        <v>https://shopee.co.id/AZARINE-easy-white-herbal-moisturizer-serum-20ml-i.187117294.9166876343</v>
      </c>
      <c r="C2708" s="6" t="s">
        <v>233</v>
      </c>
      <c r="D2708" s="6" t="s">
        <v>2366</v>
      </c>
      <c r="E2708" s="6" t="s">
        <v>12</v>
      </c>
      <c r="F2708" s="6" t="s">
        <v>13</v>
      </c>
      <c r="G2708" s="6" t="s">
        <v>469</v>
      </c>
      <c r="H2708" s="8" t="s">
        <v>3612</v>
      </c>
      <c r="I2708" s="9">
        <v>114000.0</v>
      </c>
      <c r="J2708" s="5" t="str">
        <f t="shared" ref="J2708:K2708" si="2708">SUBSTITUTE(H2708, ",", "")</f>
        <v>1</v>
      </c>
      <c r="K2708" s="5" t="str">
        <f t="shared" si="2708"/>
        <v>Rp114000</v>
      </c>
      <c r="L2708" s="5" t="str">
        <f t="shared" si="3"/>
        <v>114000</v>
      </c>
    </row>
    <row r="2709">
      <c r="A2709" s="6" t="s">
        <v>3977</v>
      </c>
      <c r="B2709" s="7" t="str">
        <f>HYPERLINK("https://shopee.co.id/Smooto-Premiums-Sunscreens-Extra-Whitening-Essence-i.31852945.12408853269", "https://shopee.co.id/Smooto-Premiums-Sunscreens-Extra-Whitening-Essence-i.31852945.12408853269")</f>
        <v>https://shopee.co.id/Smooto-Premiums-Sunscreens-Extra-Whitening-Essence-i.31852945.12408853269</v>
      </c>
      <c r="C2709" s="6" t="s">
        <v>2779</v>
      </c>
      <c r="D2709" s="6" t="s">
        <v>3978</v>
      </c>
      <c r="E2709" s="6" t="s">
        <v>12</v>
      </c>
      <c r="F2709" s="6" t="s">
        <v>13</v>
      </c>
      <c r="G2709" s="6" t="s">
        <v>21</v>
      </c>
      <c r="H2709" s="8" t="s">
        <v>3612</v>
      </c>
      <c r="I2709" s="9">
        <v>89000.0</v>
      </c>
      <c r="J2709" s="5" t="str">
        <f t="shared" ref="J2709:K2709" si="2709">SUBSTITUTE(H2709, ",", "")</f>
        <v>1</v>
      </c>
      <c r="K2709" s="5" t="str">
        <f t="shared" si="2709"/>
        <v>Rp89000</v>
      </c>
      <c r="L2709" s="5" t="str">
        <f t="shared" si="3"/>
        <v>89000</v>
      </c>
    </row>
    <row r="2710">
      <c r="A2710" s="6" t="s">
        <v>3979</v>
      </c>
      <c r="B2710" s="7" t="str">
        <f>HYPERLINK("https://shopee.co.id/Holika-Holika-Pure-Essence-Mugwort-Bubble-Cleansing-Pack-1pc--i.18856010.7756723975", "https://shopee.co.id/Holika-Holika-Pure-Essence-Mugwort-Bubble-Cleansing-Pack-1pc--i.18856010.7756723975")</f>
        <v>https://shopee.co.id/Holika-Holika-Pure-Essence-Mugwort-Bubble-Cleansing-Pack-1pc--i.18856010.7756723975</v>
      </c>
      <c r="C2710" s="6" t="s">
        <v>2265</v>
      </c>
      <c r="D2710" s="6" t="s">
        <v>2266</v>
      </c>
      <c r="E2710" s="6" t="s">
        <v>12</v>
      </c>
      <c r="F2710" s="6" t="s">
        <v>13</v>
      </c>
      <c r="G2710" s="6" t="s">
        <v>21</v>
      </c>
      <c r="H2710" s="8" t="s">
        <v>3612</v>
      </c>
      <c r="I2710" s="9">
        <v>65000.0</v>
      </c>
      <c r="J2710" s="5" t="str">
        <f t="shared" ref="J2710:K2710" si="2710">SUBSTITUTE(H2710, ",", "")</f>
        <v>1</v>
      </c>
      <c r="K2710" s="5" t="str">
        <f t="shared" si="2710"/>
        <v>Rp65000</v>
      </c>
      <c r="L2710" s="5" t="str">
        <f t="shared" si="3"/>
        <v>65000</v>
      </c>
    </row>
    <row r="2711">
      <c r="A2711" s="6" t="s">
        <v>3980</v>
      </c>
      <c r="B2711" s="7" t="str">
        <f>HYPERLINK("https://shopee.co.id/-FREE-GIFT-TIDAK-UNTUK-DI-BELI-Sachet-First-Lab-i.109981258.11813385611", "https://shopee.co.id/-FREE-GIFT-TIDAK-UNTUK-DI-BELI-Sachet-First-Lab-i.109981258.11813385611")</f>
        <v>https://shopee.co.id/-FREE-GIFT-TIDAK-UNTUK-DI-BELI-Sachet-First-Lab-i.109981258.11813385611</v>
      </c>
      <c r="C2711" s="6" t="s">
        <v>1617</v>
      </c>
      <c r="D2711" s="6" t="s">
        <v>2576</v>
      </c>
      <c r="E2711" s="6" t="s">
        <v>12</v>
      </c>
      <c r="F2711" s="6" t="s">
        <v>13</v>
      </c>
      <c r="G2711" s="6" t="s">
        <v>21</v>
      </c>
      <c r="H2711" s="8" t="s">
        <v>3981</v>
      </c>
      <c r="I2711" s="9">
        <v>0.0</v>
      </c>
      <c r="J2711" s="5" t="str">
        <f t="shared" ref="J2711:K2711" si="2711">SUBSTITUTE(H2711, ",", "")</f>
        <v>0</v>
      </c>
      <c r="K2711" s="5" t="str">
        <f t="shared" si="2711"/>
        <v>Rp0</v>
      </c>
      <c r="L2711" s="5" t="str">
        <f t="shared" si="3"/>
        <v>0</v>
      </c>
    </row>
    <row r="2712">
      <c r="A2712" s="6" t="s">
        <v>3982</v>
      </c>
      <c r="B2712" s="7" t="str">
        <f>HYPERLINK("https://shopee.co.id/-Isi-3-Hanasui-Gold-Whitening-Serum-20Ml-Serum-Wajah-Pelembab-Wajah-Vitamin-Wajah-i.185943783.6628162720", "https://shopee.co.id/-Isi-3-Hanasui-Gold-Whitening-Serum-20Ml-Serum-Wajah-Pelembab-Wajah-Vitamin-Wajah-i.185943783.6628162720")</f>
        <v>https://shopee.co.id/-Isi-3-Hanasui-Gold-Whitening-Serum-20Ml-Serum-Wajah-Pelembab-Wajah-Vitamin-Wajah-i.185943783.6628162720</v>
      </c>
      <c r="C2712" s="6" t="s">
        <v>784</v>
      </c>
      <c r="D2712" s="6" t="s">
        <v>3429</v>
      </c>
      <c r="E2712" s="6" t="s">
        <v>12</v>
      </c>
      <c r="F2712" s="6" t="s">
        <v>13</v>
      </c>
      <c r="G2712" s="6" t="s">
        <v>36</v>
      </c>
      <c r="H2712" s="8" t="s">
        <v>3981</v>
      </c>
      <c r="I2712" s="9">
        <v>0.0</v>
      </c>
      <c r="J2712" s="5" t="str">
        <f t="shared" ref="J2712:K2712" si="2712">SUBSTITUTE(H2712, ",", "")</f>
        <v>0</v>
      </c>
      <c r="K2712" s="5" t="str">
        <f t="shared" si="2712"/>
        <v>Rp0</v>
      </c>
      <c r="L2712" s="5" t="str">
        <f t="shared" si="3"/>
        <v>0</v>
      </c>
    </row>
    <row r="2713">
      <c r="A2713" s="6" t="s">
        <v>3983</v>
      </c>
      <c r="B2713" s="7" t="str">
        <f>HYPERLINK("https://shopee.co.id/-ORI-100-Illuminare-Pore-Serum-30ml-Perawatan-Wajah-Serum-Wajah-i.114789399.2650009469", "https://shopee.co.id/-ORI-100-Illuminare-Pore-Serum-30ml-Perawatan-Wajah-Serum-Wajah-i.114789399.2650009469")</f>
        <v>https://shopee.co.id/-ORI-100-Illuminare-Pore-Serum-30ml-Perawatan-Wajah-Serum-Wajah-i.114789399.2650009469</v>
      </c>
      <c r="C2713" s="6" t="s">
        <v>1750</v>
      </c>
      <c r="D2713" s="6" t="s">
        <v>2531</v>
      </c>
      <c r="E2713" s="6" t="s">
        <v>12</v>
      </c>
      <c r="F2713" s="6" t="s">
        <v>13</v>
      </c>
      <c r="G2713" s="6" t="s">
        <v>36</v>
      </c>
      <c r="H2713" s="8" t="s">
        <v>3981</v>
      </c>
      <c r="I2713" s="9">
        <v>0.0</v>
      </c>
      <c r="J2713" s="5" t="str">
        <f t="shared" ref="J2713:K2713" si="2713">SUBSTITUTE(H2713, ",", "")</f>
        <v>0</v>
      </c>
      <c r="K2713" s="5" t="str">
        <f t="shared" si="2713"/>
        <v>Rp0</v>
      </c>
      <c r="L2713" s="5" t="str">
        <f t="shared" si="3"/>
        <v>0</v>
      </c>
    </row>
    <row r="2714">
      <c r="A2714" s="6" t="s">
        <v>3984</v>
      </c>
      <c r="B2714" s="7" t="str">
        <f>HYPERLINK("https://shopee.co.id/-ORI-100-Illuminare-Youth-Serum-30ml-Perawatan-Wajah-Serum-Wajah-i.114789399.2650024552", "https://shopee.co.id/-ORI-100-Illuminare-Youth-Serum-30ml-Perawatan-Wajah-Serum-Wajah-i.114789399.2650024552")</f>
        <v>https://shopee.co.id/-ORI-100-Illuminare-Youth-Serum-30ml-Perawatan-Wajah-Serum-Wajah-i.114789399.2650024552</v>
      </c>
      <c r="C2714" s="6" t="s">
        <v>1750</v>
      </c>
      <c r="D2714" s="6" t="s">
        <v>2531</v>
      </c>
      <c r="E2714" s="6" t="s">
        <v>12</v>
      </c>
      <c r="F2714" s="6" t="s">
        <v>13</v>
      </c>
      <c r="G2714" s="6" t="s">
        <v>36</v>
      </c>
      <c r="H2714" s="8" t="s">
        <v>3981</v>
      </c>
      <c r="I2714" s="9">
        <v>0.0</v>
      </c>
      <c r="J2714" s="5" t="str">
        <f t="shared" ref="J2714:K2714" si="2714">SUBSTITUTE(H2714, ",", "")</f>
        <v>0</v>
      </c>
      <c r="K2714" s="5" t="str">
        <f t="shared" si="2714"/>
        <v>Rp0</v>
      </c>
      <c r="L2714" s="5" t="str">
        <f t="shared" si="3"/>
        <v>0</v>
      </c>
    </row>
    <row r="2715">
      <c r="A2715" s="6" t="s">
        <v>3985</v>
      </c>
      <c r="B2715" s="7" t="str">
        <f>HYPERLINK("https://shopee.co.id/-BUNDLING-Fat-Panda-10-Niacinamide-Collagen-Ampoule-Fight-Acne-Pore-Ampoule-i.206623679.11423191834", "https://shopee.co.id/-BUNDLING-Fat-Panda-10-Niacinamide-Collagen-Ampoule-Fight-Acne-Pore-Ampoule-i.206623679.11423191834")</f>
        <v>https://shopee.co.id/-BUNDLING-Fat-Panda-10-Niacinamide-Collagen-Ampoule-Fight-Acne-Pore-Ampoule-i.206623679.11423191834</v>
      </c>
      <c r="C2715" s="6" t="s">
        <v>2716</v>
      </c>
      <c r="D2715" s="6" t="s">
        <v>2717</v>
      </c>
      <c r="E2715" s="6" t="s">
        <v>12</v>
      </c>
      <c r="F2715" s="6" t="s">
        <v>13</v>
      </c>
      <c r="G2715" s="6" t="s">
        <v>130</v>
      </c>
      <c r="H2715" s="8" t="s">
        <v>3981</v>
      </c>
      <c r="I2715" s="9">
        <v>0.0</v>
      </c>
      <c r="J2715" s="5" t="str">
        <f t="shared" ref="J2715:K2715" si="2715">SUBSTITUTE(H2715, ",", "")</f>
        <v>0</v>
      </c>
      <c r="K2715" s="5" t="str">
        <f t="shared" si="2715"/>
        <v>Rp0</v>
      </c>
      <c r="L2715" s="5" t="str">
        <f t="shared" si="3"/>
        <v>0</v>
      </c>
    </row>
    <row r="2716">
      <c r="A2716" s="6" t="s">
        <v>3986</v>
      </c>
      <c r="B2716" s="7" t="str">
        <f>HYPERLINK("https://shopee.co.id/-BPOM-BREYLEE-Serum-Retinol-Lifting-Anti-aging-17ml--i.324706771.6558156593", "https://shopee.co.id/-BPOM-BREYLEE-Serum-Retinol-Lifting-Anti-aging-17ml--i.324706771.6558156593")</f>
        <v>https://shopee.co.id/-BPOM-BREYLEE-Serum-Retinol-Lifting-Anti-aging-17ml--i.324706771.6558156593</v>
      </c>
      <c r="C2716" s="6" t="s">
        <v>852</v>
      </c>
      <c r="D2716" s="6" t="s">
        <v>853</v>
      </c>
      <c r="E2716" s="6" t="s">
        <v>12</v>
      </c>
      <c r="F2716" s="6" t="s">
        <v>13</v>
      </c>
      <c r="G2716" s="6" t="s">
        <v>532</v>
      </c>
      <c r="H2716" s="8" t="s">
        <v>3981</v>
      </c>
      <c r="I2716" s="9">
        <v>0.0</v>
      </c>
      <c r="J2716" s="5" t="str">
        <f t="shared" ref="J2716:K2716" si="2716">SUBSTITUTE(H2716, ",", "")</f>
        <v>0</v>
      </c>
      <c r="K2716" s="5" t="str">
        <f t="shared" si="2716"/>
        <v>Rp0</v>
      </c>
      <c r="L2716" s="5" t="str">
        <f t="shared" si="3"/>
        <v>0</v>
      </c>
    </row>
    <row r="2717">
      <c r="A2717" s="6" t="s">
        <v>3987</v>
      </c>
      <c r="B2717" s="7" t="str">
        <f>HYPERLINK("https://shopee.co.id/-BPOM-COSRX-Advanced-Snail-96-Mucin-Power-Essence-100ml-Serum-Wajah-Nutrisi-Wajah-i.261911729.4441550608", "https://shopee.co.id/-BPOM-COSRX-Advanced-Snail-96-Mucin-Power-Essence-100ml-Serum-Wajah-Nutrisi-Wajah-i.261911729.4441550608")</f>
        <v>https://shopee.co.id/-BPOM-COSRX-Advanced-Snail-96-Mucin-Power-Essence-100ml-Serum-Wajah-Nutrisi-Wajah-i.261911729.4441550608</v>
      </c>
      <c r="C2717" s="6" t="s">
        <v>305</v>
      </c>
      <c r="D2717" s="6" t="s">
        <v>1485</v>
      </c>
      <c r="E2717" s="6" t="s">
        <v>12</v>
      </c>
      <c r="F2717" s="6" t="s">
        <v>13</v>
      </c>
      <c r="G2717" s="6" t="s">
        <v>61</v>
      </c>
      <c r="H2717" s="8" t="s">
        <v>3981</v>
      </c>
      <c r="I2717" s="9">
        <v>0.0</v>
      </c>
      <c r="J2717" s="5" t="str">
        <f t="shared" ref="J2717:K2717" si="2717">SUBSTITUTE(H2717, ",", "")</f>
        <v>0</v>
      </c>
      <c r="K2717" s="5" t="str">
        <f t="shared" si="2717"/>
        <v>Rp0</v>
      </c>
      <c r="L2717" s="5" t="str">
        <f t="shared" si="3"/>
        <v>0</v>
      </c>
    </row>
    <row r="2718">
      <c r="A2718" s="6" t="s">
        <v>3988</v>
      </c>
      <c r="B2718" s="7" t="str">
        <f>HYPERLINK("https://shopee.co.id/Hiqween-Face-Essence-Preparing-Serum-60ml-i.50948181.8925403317", "https://shopee.co.id/Hiqween-Face-Essence-Preparing-Serum-60ml-i.50948181.8925403317")</f>
        <v>https://shopee.co.id/Hiqween-Face-Essence-Preparing-Serum-60ml-i.50948181.8925403317</v>
      </c>
      <c r="C2718" s="6" t="s">
        <v>2270</v>
      </c>
      <c r="D2718" s="6" t="s">
        <v>1129</v>
      </c>
      <c r="E2718" s="6" t="s">
        <v>12</v>
      </c>
      <c r="F2718" s="6" t="s">
        <v>13</v>
      </c>
      <c r="G2718" s="6" t="s">
        <v>1130</v>
      </c>
      <c r="H2718" s="8" t="s">
        <v>3981</v>
      </c>
      <c r="I2718" s="9">
        <v>0.0</v>
      </c>
      <c r="J2718" s="5" t="str">
        <f t="shared" ref="J2718:K2718" si="2718">SUBSTITUTE(H2718, ",", "")</f>
        <v>0</v>
      </c>
      <c r="K2718" s="5" t="str">
        <f t="shared" si="2718"/>
        <v>Rp0</v>
      </c>
      <c r="L2718" s="5" t="str">
        <f t="shared" si="3"/>
        <v>0</v>
      </c>
    </row>
    <row r="2719">
      <c r="A2719" s="6" t="s">
        <v>3989</v>
      </c>
      <c r="B2719" s="7" t="str">
        <f>HYPERLINK("https://shopee.co.id/-BUY-1-GET-1-FREE-Aizen-Carnosine-Astaxanthin-4-Ultra-Ampoule-Serum-Anti-Aging-Kulit-Wajah-i.89939211.8570192285", "https://shopee.co.id/-BUY-1-GET-1-FREE-Aizen-Carnosine-Astaxanthin-4-Ultra-Ampoule-Serum-Anti-Aging-Kulit-Wajah-i.89939211.8570192285")</f>
        <v>https://shopee.co.id/-BUY-1-GET-1-FREE-Aizen-Carnosine-Astaxanthin-4-Ultra-Ampoule-Serum-Anti-Aging-Kulit-Wajah-i.89939211.8570192285</v>
      </c>
      <c r="C2719" s="6" t="s">
        <v>1325</v>
      </c>
      <c r="D2719" s="6" t="s">
        <v>1326</v>
      </c>
      <c r="E2719" s="6" t="s">
        <v>12</v>
      </c>
      <c r="F2719" s="6" t="s">
        <v>13</v>
      </c>
      <c r="G2719" s="6" t="s">
        <v>14</v>
      </c>
      <c r="H2719" s="8" t="s">
        <v>3981</v>
      </c>
      <c r="I2719" s="9">
        <v>0.0</v>
      </c>
      <c r="J2719" s="5" t="str">
        <f t="shared" ref="J2719:K2719" si="2719">SUBSTITUTE(H2719, ",", "")</f>
        <v>0</v>
      </c>
      <c r="K2719" s="5" t="str">
        <f t="shared" si="2719"/>
        <v>Rp0</v>
      </c>
      <c r="L2719" s="5" t="str">
        <f t="shared" si="3"/>
        <v>0</v>
      </c>
    </row>
    <row r="2720">
      <c r="A2720" s="6" t="s">
        <v>3990</v>
      </c>
      <c r="B2720" s="7" t="str">
        <f>HYPERLINK("https://shopee.co.id/-BUY-1-GET-1-FREE-Aizen-L-Glutathione-10-Ultra-Ampoule-Serum-Pemutih-Antioxidant-Kulit-Wajah-i.89939211.3066049661", "https://shopee.co.id/-BUY-1-GET-1-FREE-Aizen-L-Glutathione-10-Ultra-Ampoule-Serum-Pemutih-Antioxidant-Kulit-Wajah-i.89939211.3066049661")</f>
        <v>https://shopee.co.id/-BUY-1-GET-1-FREE-Aizen-L-Glutathione-10-Ultra-Ampoule-Serum-Pemutih-Antioxidant-Kulit-Wajah-i.89939211.3066049661</v>
      </c>
      <c r="C2720" s="6" t="s">
        <v>3991</v>
      </c>
      <c r="D2720" s="6" t="s">
        <v>1326</v>
      </c>
      <c r="E2720" s="6" t="s">
        <v>12</v>
      </c>
      <c r="F2720" s="6" t="s">
        <v>13</v>
      </c>
      <c r="G2720" s="6" t="s">
        <v>14</v>
      </c>
      <c r="H2720" s="8" t="s">
        <v>3981</v>
      </c>
      <c r="I2720" s="9">
        <v>0.0</v>
      </c>
      <c r="J2720" s="5" t="str">
        <f t="shared" ref="J2720:K2720" si="2720">SUBSTITUTE(H2720, ",", "")</f>
        <v>0</v>
      </c>
      <c r="K2720" s="5" t="str">
        <f t="shared" si="2720"/>
        <v>Rp0</v>
      </c>
      <c r="L2720" s="5" t="str">
        <f t="shared" si="3"/>
        <v>0</v>
      </c>
    </row>
    <row r="2721">
      <c r="A2721" s="6" t="s">
        <v>3992</v>
      </c>
      <c r="B2721" s="7" t="str">
        <f>HYPERLINK("https://shopee.co.id/-BUY-1-GET-1-FREE-Aizen-Polyglutamic-Acid-5-Ultra-Ampoule-Serum-Pelembab-Hidrasi-Kulit-Wajah-i.89939211.2971141076", "https://shopee.co.id/-BUY-1-GET-1-FREE-Aizen-Polyglutamic-Acid-5-Ultra-Ampoule-Serum-Pelembab-Hidrasi-Kulit-Wajah-i.89939211.2971141076")</f>
        <v>https://shopee.co.id/-BUY-1-GET-1-FREE-Aizen-Polyglutamic-Acid-5-Ultra-Ampoule-Serum-Pelembab-Hidrasi-Kulit-Wajah-i.89939211.2971141076</v>
      </c>
      <c r="C2721" s="6" t="s">
        <v>1325</v>
      </c>
      <c r="D2721" s="6" t="s">
        <v>1326</v>
      </c>
      <c r="E2721" s="6" t="s">
        <v>12</v>
      </c>
      <c r="F2721" s="6" t="s">
        <v>13</v>
      </c>
      <c r="G2721" s="6" t="s">
        <v>14</v>
      </c>
      <c r="H2721" s="8" t="s">
        <v>3981</v>
      </c>
      <c r="I2721" s="9">
        <v>0.0</v>
      </c>
      <c r="J2721" s="5" t="str">
        <f t="shared" ref="J2721:K2721" si="2721">SUBSTITUTE(H2721, ",", "")</f>
        <v>0</v>
      </c>
      <c r="K2721" s="5" t="str">
        <f t="shared" si="2721"/>
        <v>Rp0</v>
      </c>
      <c r="L2721" s="5" t="str">
        <f t="shared" si="3"/>
        <v>0</v>
      </c>
    </row>
    <row r="2722">
      <c r="A2722" s="6" t="s">
        <v>3993</v>
      </c>
      <c r="B2722" s="7" t="str">
        <f>HYPERLINK("https://shopee.co.id/-BUY-1-GET-1-FREE-Aizen-SepiWhite-MSH-3-Ultra-Ampoule-Serum-Pemutih-Pencerah-Kulit-Wajah-i.89939211.5792596429", "https://shopee.co.id/-BUY-1-GET-1-FREE-Aizen-SepiWhite-MSH-3-Ultra-Ampoule-Serum-Pemutih-Pencerah-Kulit-Wajah-i.89939211.5792596429")</f>
        <v>https://shopee.co.id/-BUY-1-GET-1-FREE-Aizen-SepiWhite-MSH-3-Ultra-Ampoule-Serum-Pemutih-Pencerah-Kulit-Wajah-i.89939211.5792596429</v>
      </c>
      <c r="C2722" s="6" t="s">
        <v>3994</v>
      </c>
      <c r="D2722" s="6" t="s">
        <v>1326</v>
      </c>
      <c r="E2722" s="6" t="s">
        <v>12</v>
      </c>
      <c r="F2722" s="6" t="s">
        <v>13</v>
      </c>
      <c r="G2722" s="6" t="s">
        <v>14</v>
      </c>
      <c r="H2722" s="8" t="s">
        <v>3981</v>
      </c>
      <c r="I2722" s="9">
        <v>0.0</v>
      </c>
      <c r="J2722" s="5" t="str">
        <f t="shared" ref="J2722:K2722" si="2722">SUBSTITUTE(H2722, ",", "")</f>
        <v>0</v>
      </c>
      <c r="K2722" s="5" t="str">
        <f t="shared" si="2722"/>
        <v>Rp0</v>
      </c>
      <c r="L2722" s="5" t="str">
        <f t="shared" si="3"/>
        <v>0</v>
      </c>
    </row>
    <row r="2723">
      <c r="A2723" s="6" t="s">
        <v>3995</v>
      </c>
      <c r="B2723" s="7" t="str">
        <f>HYPERLINK("https://shopee.co.id/-Buy-1-Gett-1-Swissvita-Mandelic-Acid-Complex-Serum-AHA--i.29252724.3294209848", "https://shopee.co.id/-Buy-1-Gett-1-Swissvita-Mandelic-Acid-Complex-Serum-AHA--i.29252724.3294209848")</f>
        <v>https://shopee.co.id/-Buy-1-Gett-1-Swissvita-Mandelic-Acid-Complex-Serum-AHA--i.29252724.3294209848</v>
      </c>
      <c r="C2723" s="6" t="s">
        <v>2536</v>
      </c>
      <c r="D2723" s="6" t="s">
        <v>2537</v>
      </c>
      <c r="E2723" s="6" t="s">
        <v>12</v>
      </c>
      <c r="F2723" s="6" t="s">
        <v>13</v>
      </c>
      <c r="G2723" s="6" t="s">
        <v>61</v>
      </c>
      <c r="H2723" s="8" t="s">
        <v>3981</v>
      </c>
      <c r="I2723" s="9">
        <v>0.0</v>
      </c>
      <c r="J2723" s="5" t="str">
        <f t="shared" ref="J2723:K2723" si="2723">SUBSTITUTE(H2723, ",", "")</f>
        <v>0</v>
      </c>
      <c r="K2723" s="5" t="str">
        <f t="shared" si="2723"/>
        <v>Rp0</v>
      </c>
      <c r="L2723" s="5" t="str">
        <f t="shared" si="3"/>
        <v>0</v>
      </c>
    </row>
    <row r="2724">
      <c r="A2724" s="6" t="s">
        <v>3996</v>
      </c>
      <c r="B2724" s="7" t="str">
        <f>HYPERLINK("https://shopee.co.id/-CLEARANCE-SALE-JINGCHENG-60-Actives-Youth-Activating-Enhancer-EX-200-ML-i.70505220.2411507592", "https://shopee.co.id/-CLEARANCE-SALE-JINGCHENG-60-Actives-Youth-Activating-Enhancer-EX-200-ML-i.70505220.2411507592")</f>
        <v>https://shopee.co.id/-CLEARANCE-SALE-JINGCHENG-60-Actives-Youth-Activating-Enhancer-EX-200-ML-i.70505220.2411507592</v>
      </c>
      <c r="C2724" s="6" t="s">
        <v>3997</v>
      </c>
      <c r="D2724" s="6" t="s">
        <v>2737</v>
      </c>
      <c r="E2724" s="6" t="s">
        <v>12</v>
      </c>
      <c r="F2724" s="6" t="s">
        <v>13</v>
      </c>
      <c r="G2724" s="6" t="s">
        <v>21</v>
      </c>
      <c r="H2724" s="8" t="s">
        <v>3981</v>
      </c>
      <c r="I2724" s="9">
        <v>0.0</v>
      </c>
      <c r="J2724" s="5" t="str">
        <f t="shared" ref="J2724:K2724" si="2724">SUBSTITUTE(H2724, ",", "")</f>
        <v>0</v>
      </c>
      <c r="K2724" s="5" t="str">
        <f t="shared" si="2724"/>
        <v>Rp0</v>
      </c>
      <c r="L2724" s="5" t="str">
        <f t="shared" si="3"/>
        <v>0</v>
      </c>
    </row>
    <row r="2725">
      <c r="A2725" s="6" t="s">
        <v>3998</v>
      </c>
      <c r="B2725" s="7" t="str">
        <f>HYPERLINK("https://shopee.co.id/-DOUBLE-LORE-Brightamin-C-Serum-30-ml-2-pcs-i.68740273.7584043269", "https://shopee.co.id/-DOUBLE-LORE-Brightamin-C-Serum-30-ml-2-pcs-i.68740273.7584043269")</f>
        <v>https://shopee.co.id/-DOUBLE-LORE-Brightamin-C-Serum-30-ml-2-pcs-i.68740273.7584043269</v>
      </c>
      <c r="C2725" s="6" t="s">
        <v>2565</v>
      </c>
      <c r="D2725" s="6" t="s">
        <v>2566</v>
      </c>
      <c r="E2725" s="6" t="s">
        <v>12</v>
      </c>
      <c r="F2725" s="6" t="s">
        <v>13</v>
      </c>
      <c r="G2725" s="6" t="s">
        <v>409</v>
      </c>
      <c r="H2725" s="8" t="s">
        <v>3981</v>
      </c>
      <c r="I2725" s="9">
        <v>0.0</v>
      </c>
      <c r="J2725" s="5" t="str">
        <f t="shared" ref="J2725:K2725" si="2725">SUBSTITUTE(H2725, ",", "")</f>
        <v>0</v>
      </c>
      <c r="K2725" s="5" t="str">
        <f t="shared" si="2725"/>
        <v>Rp0</v>
      </c>
      <c r="L2725" s="5" t="str">
        <f t="shared" si="3"/>
        <v>0</v>
      </c>
    </row>
    <row r="2726">
      <c r="A2726" s="6" t="s">
        <v>3999</v>
      </c>
      <c r="B2726" s="7" t="str">
        <f>HYPERLINK("https://shopee.co.id/-FREE-GIFT-JANGAN-DIBELI-Vitamin-C-Serum-30ml--i.397732085.4996725351", "https://shopee.co.id/-FREE-GIFT-JANGAN-DIBELI-Vitamin-C-Serum-30ml--i.397732085.4996725351")</f>
        <v>https://shopee.co.id/-FREE-GIFT-JANGAN-DIBELI-Vitamin-C-Serum-30ml--i.397732085.4996725351</v>
      </c>
      <c r="C2726" s="6" t="s">
        <v>1427</v>
      </c>
      <c r="D2726" s="6" t="s">
        <v>1428</v>
      </c>
      <c r="E2726" s="6" t="s">
        <v>12</v>
      </c>
      <c r="F2726" s="6" t="s">
        <v>13</v>
      </c>
      <c r="G2726" s="6" t="s">
        <v>532</v>
      </c>
      <c r="H2726" s="8" t="s">
        <v>3981</v>
      </c>
      <c r="I2726" s="9">
        <v>0.0</v>
      </c>
      <c r="J2726" s="5" t="str">
        <f t="shared" ref="J2726:K2726" si="2726">SUBSTITUTE(H2726, ",", "")</f>
        <v>0</v>
      </c>
      <c r="K2726" s="5" t="str">
        <f t="shared" si="2726"/>
        <v>Rp0</v>
      </c>
      <c r="L2726" s="5" t="str">
        <f t="shared" si="3"/>
        <v>0</v>
      </c>
    </row>
    <row r="2727">
      <c r="A2727" s="6" t="s">
        <v>4000</v>
      </c>
      <c r="B2727" s="7" t="str">
        <f>HYPERLINK("https://shopee.co.id/-FREE-PRODUCT-CLINELLE-WhitenUp-Brightening-Spot-Essence-15-ML-i.173963911.9487010873", "https://shopee.co.id/-FREE-PRODUCT-CLINELLE-WhitenUp-Brightening-Spot-Essence-15-ML-i.173963911.9487010873")</f>
        <v>https://shopee.co.id/-FREE-PRODUCT-CLINELLE-WhitenUp-Brightening-Spot-Essence-15-ML-i.173963911.9487010873</v>
      </c>
      <c r="C2727" s="6" t="s">
        <v>1456</v>
      </c>
      <c r="D2727" s="6" t="s">
        <v>1457</v>
      </c>
      <c r="E2727" s="6" t="s">
        <v>12</v>
      </c>
      <c r="F2727" s="6" t="s">
        <v>13</v>
      </c>
      <c r="G2727" s="6" t="s">
        <v>21</v>
      </c>
      <c r="H2727" s="8" t="s">
        <v>3981</v>
      </c>
      <c r="I2727" s="9">
        <v>0.0</v>
      </c>
      <c r="J2727" s="5" t="str">
        <f t="shared" ref="J2727:K2727" si="2727">SUBSTITUTE(H2727, ",", "")</f>
        <v>0</v>
      </c>
      <c r="K2727" s="5" t="str">
        <f t="shared" si="2727"/>
        <v>Rp0</v>
      </c>
      <c r="L2727" s="5" t="str">
        <f t="shared" si="3"/>
        <v>0</v>
      </c>
    </row>
    <row r="2728">
      <c r="A2728" s="6" t="s">
        <v>4001</v>
      </c>
      <c r="B2728" s="7" t="str">
        <f>HYPERLINK("https://shopee.co.id/-GIFT-CICA-Care-Ampoule-5ml-i.40861383.11915769159", "https://shopee.co.id/-GIFT-CICA-Care-Ampoule-5ml-i.40861383.11915769159")</f>
        <v>https://shopee.co.id/-GIFT-CICA-Care-Ampoule-5ml-i.40861383.11915769159</v>
      </c>
      <c r="C2728" s="6" t="s">
        <v>4002</v>
      </c>
      <c r="D2728" s="6" t="s">
        <v>4003</v>
      </c>
      <c r="E2728" s="6" t="s">
        <v>12</v>
      </c>
      <c r="F2728" s="6" t="s">
        <v>13</v>
      </c>
      <c r="G2728" s="6" t="s">
        <v>21</v>
      </c>
      <c r="H2728" s="8" t="s">
        <v>3981</v>
      </c>
      <c r="I2728" s="9">
        <v>0.0</v>
      </c>
      <c r="J2728" s="5" t="str">
        <f t="shared" ref="J2728:K2728" si="2728">SUBSTITUTE(H2728, ",", "")</f>
        <v>0</v>
      </c>
      <c r="K2728" s="5" t="str">
        <f t="shared" si="2728"/>
        <v>Rp0</v>
      </c>
      <c r="L2728" s="5" t="str">
        <f t="shared" si="3"/>
        <v>0</v>
      </c>
    </row>
    <row r="2729">
      <c r="A2729" s="6" t="s">
        <v>4004</v>
      </c>
      <c r="B2729" s="7" t="str">
        <f>HYPERLINK("https://shopee.co.id/-GIFT-COSRX-Advanced-Snail-96-Mucin-Power-Essence-Mini-Size-20ml-DO-NOT-BUY-i.404429429.8570608511", "https://shopee.co.id/-GIFT-COSRX-Advanced-Snail-96-Mucin-Power-Essence-Mini-Size-20ml-DO-NOT-BUY-i.404429429.8570608511")</f>
        <v>https://shopee.co.id/-GIFT-COSRX-Advanced-Snail-96-Mucin-Power-Essence-Mini-Size-20ml-DO-NOT-BUY-i.404429429.8570608511</v>
      </c>
      <c r="C2729" s="6" t="s">
        <v>305</v>
      </c>
      <c r="D2729" s="6" t="s">
        <v>306</v>
      </c>
      <c r="E2729" s="6" t="s">
        <v>12</v>
      </c>
      <c r="F2729" s="6" t="s">
        <v>13</v>
      </c>
      <c r="G2729" s="6" t="s">
        <v>21</v>
      </c>
      <c r="H2729" s="8" t="s">
        <v>3981</v>
      </c>
      <c r="I2729" s="9">
        <v>0.0</v>
      </c>
      <c r="J2729" s="5" t="str">
        <f t="shared" ref="J2729:K2729" si="2729">SUBSTITUTE(H2729, ",", "")</f>
        <v>0</v>
      </c>
      <c r="K2729" s="5" t="str">
        <f t="shared" si="2729"/>
        <v>Rp0</v>
      </c>
      <c r="L2729" s="5" t="str">
        <f t="shared" si="3"/>
        <v>0</v>
      </c>
    </row>
    <row r="2730">
      <c r="A2730" s="6" t="s">
        <v>4005</v>
      </c>
      <c r="B2730" s="7" t="str">
        <f>HYPERLINK("https://shopee.co.id/-GIFT-SPECIAL-MAMONDE-SBD-SET-3-i.160417197.9740776752", "https://shopee.co.id/-GIFT-SPECIAL-MAMONDE-SBD-SET-3-i.160417197.9740776752")</f>
        <v>https://shopee.co.id/-GIFT-SPECIAL-MAMONDE-SBD-SET-3-i.160417197.9740776752</v>
      </c>
      <c r="C2730" s="6" t="s">
        <v>447</v>
      </c>
      <c r="D2730" s="6" t="s">
        <v>448</v>
      </c>
      <c r="E2730" s="6" t="s">
        <v>12</v>
      </c>
      <c r="F2730" s="6" t="s">
        <v>13</v>
      </c>
      <c r="G2730" s="6" t="s">
        <v>61</v>
      </c>
      <c r="H2730" s="8" t="s">
        <v>3981</v>
      </c>
      <c r="I2730" s="9">
        <v>0.0</v>
      </c>
      <c r="J2730" s="5" t="str">
        <f t="shared" ref="J2730:K2730" si="2730">SUBSTITUTE(H2730, ",", "")</f>
        <v>0</v>
      </c>
      <c r="K2730" s="5" t="str">
        <f t="shared" si="2730"/>
        <v>Rp0</v>
      </c>
      <c r="L2730" s="5" t="str">
        <f t="shared" si="3"/>
        <v>0</v>
      </c>
    </row>
    <row r="2731">
      <c r="A2731" s="6" t="s">
        <v>4006</v>
      </c>
      <c r="B2731" s="7" t="str">
        <f>HYPERLINK("https://shopee.co.id/-Gimmick-Garnier-Light-Complete-Serum-Cream-Sachet-i.62583853.7976338712", "https://shopee.co.id/-Gimmick-Garnier-Light-Complete-Serum-Cream-Sachet-i.62583853.7976338712")</f>
        <v>https://shopee.co.id/-Gimmick-Garnier-Light-Complete-Serum-Cream-Sachet-i.62583853.7976338712</v>
      </c>
      <c r="C2731" s="6" t="s">
        <v>74</v>
      </c>
      <c r="D2731" s="6" t="s">
        <v>75</v>
      </c>
      <c r="E2731" s="6" t="s">
        <v>12</v>
      </c>
      <c r="F2731" s="6" t="s">
        <v>13</v>
      </c>
      <c r="G2731" s="6" t="s">
        <v>61</v>
      </c>
      <c r="H2731" s="8" t="s">
        <v>3981</v>
      </c>
      <c r="I2731" s="9">
        <v>0.0</v>
      </c>
      <c r="J2731" s="5" t="str">
        <f t="shared" ref="J2731:K2731" si="2731">SUBSTITUTE(H2731, ",", "")</f>
        <v>0</v>
      </c>
      <c r="K2731" s="5" t="str">
        <f t="shared" si="2731"/>
        <v>Rp0</v>
      </c>
      <c r="L2731" s="5" t="str">
        <f t="shared" si="3"/>
        <v>0</v>
      </c>
    </row>
    <row r="2732">
      <c r="A2732" s="6" t="s">
        <v>4007</v>
      </c>
      <c r="B2732" s="7" t="str">
        <f>HYPERLINK("https://shopee.co.id/-innisfree-Black-Green-Tea-Serum-50ML-Serum-Wajah-Perawatan-Wajah-i.61504589.2152672095", "https://shopee.co.id/-innisfree-Black-Green-Tea-Serum-50ML-Serum-Wajah-Perawatan-Wajah-i.61504589.2152672095")</f>
        <v>https://shopee.co.id/-innisfree-Black-Green-Tea-Serum-50ML-Serum-Wajah-Perawatan-Wajah-i.61504589.2152672095</v>
      </c>
      <c r="C2732" s="6" t="s">
        <v>294</v>
      </c>
      <c r="D2732" s="6" t="s">
        <v>295</v>
      </c>
      <c r="E2732" s="6" t="s">
        <v>12</v>
      </c>
      <c r="F2732" s="6" t="s">
        <v>13</v>
      </c>
      <c r="G2732" s="6" t="s">
        <v>296</v>
      </c>
      <c r="H2732" s="8" t="s">
        <v>3981</v>
      </c>
      <c r="I2732" s="9">
        <v>0.0</v>
      </c>
      <c r="J2732" s="5" t="str">
        <f t="shared" ref="J2732:K2732" si="2732">SUBSTITUTE(H2732, ",", "")</f>
        <v>0</v>
      </c>
      <c r="K2732" s="5" t="str">
        <f t="shared" si="2732"/>
        <v>Rp0</v>
      </c>
      <c r="L2732" s="5" t="str">
        <f t="shared" si="3"/>
        <v>0</v>
      </c>
    </row>
    <row r="2733">
      <c r="A2733" s="6" t="s">
        <v>4008</v>
      </c>
      <c r="B2733" s="7" t="str">
        <f>HYPERLINK("https://shopee.co.id/-innisfree-Black-Tea-Youth-Enhancing-Ampoule-50ml-i.61504589.8688929008", "https://shopee.co.id/-innisfree-Black-Tea-Youth-Enhancing-Ampoule-50ml-i.61504589.8688929008")</f>
        <v>https://shopee.co.id/-innisfree-Black-Tea-Youth-Enhancing-Ampoule-50ml-i.61504589.8688929008</v>
      </c>
      <c r="C2733" s="6" t="s">
        <v>294</v>
      </c>
      <c r="D2733" s="6" t="s">
        <v>295</v>
      </c>
      <c r="E2733" s="6" t="s">
        <v>12</v>
      </c>
      <c r="F2733" s="6" t="s">
        <v>13</v>
      </c>
      <c r="G2733" s="6" t="s">
        <v>296</v>
      </c>
      <c r="H2733" s="8" t="s">
        <v>3981</v>
      </c>
      <c r="I2733" s="9">
        <v>0.0</v>
      </c>
      <c r="J2733" s="5" t="str">
        <f t="shared" ref="J2733:K2733" si="2733">SUBSTITUTE(H2733, ",", "")</f>
        <v>0</v>
      </c>
      <c r="K2733" s="5" t="str">
        <f t="shared" si="2733"/>
        <v>Rp0</v>
      </c>
      <c r="L2733" s="5" t="str">
        <f t="shared" si="3"/>
        <v>0</v>
      </c>
    </row>
    <row r="2734">
      <c r="A2734" s="6" t="s">
        <v>4009</v>
      </c>
      <c r="B2734" s="7" t="str">
        <f>HYPERLINK("https://shopee.co.id/-innisfree-Green-Barley-Peeling-Essence-50ML-Serum-Wajah-Perawatan-Wajah-i.61504589.2717391818", "https://shopee.co.id/-innisfree-Green-Barley-Peeling-Essence-50ML-Serum-Wajah-Perawatan-Wajah-i.61504589.2717391818")</f>
        <v>https://shopee.co.id/-innisfree-Green-Barley-Peeling-Essence-50ML-Serum-Wajah-Perawatan-Wajah-i.61504589.2717391818</v>
      </c>
      <c r="C2734" s="6" t="s">
        <v>294</v>
      </c>
      <c r="D2734" s="6" t="s">
        <v>295</v>
      </c>
      <c r="E2734" s="6" t="s">
        <v>12</v>
      </c>
      <c r="F2734" s="6" t="s">
        <v>13</v>
      </c>
      <c r="G2734" s="6" t="s">
        <v>296</v>
      </c>
      <c r="H2734" s="8" t="s">
        <v>3981</v>
      </c>
      <c r="I2734" s="9">
        <v>0.0</v>
      </c>
      <c r="J2734" s="5" t="str">
        <f t="shared" ref="J2734:K2734" si="2734">SUBSTITUTE(H2734, ",", "")</f>
        <v>0</v>
      </c>
      <c r="K2734" s="5" t="str">
        <f t="shared" si="2734"/>
        <v>Rp0</v>
      </c>
      <c r="L2734" s="5" t="str">
        <f t="shared" si="3"/>
        <v>0</v>
      </c>
    </row>
    <row r="2735">
      <c r="A2735" s="6" t="s">
        <v>4010</v>
      </c>
      <c r="B2735" s="7" t="str">
        <f>HYPERLINK("https://shopee.co.id/-innisfree-Green-Tea-Seed-Serum-Jumbo-with-Cream-Foam-Cleanser-FREE-Starbucks-Tumbler-Bundle-i.61504589.3073811633", "https://shopee.co.id/-innisfree-Green-Tea-Seed-Serum-Jumbo-with-Cream-Foam-Cleanser-FREE-Starbucks-Tumbler-Bundle-i.61504589.3073811633")</f>
        <v>https://shopee.co.id/-innisfree-Green-Tea-Seed-Serum-Jumbo-with-Cream-Foam-Cleanser-FREE-Starbucks-Tumbler-Bundle-i.61504589.3073811633</v>
      </c>
      <c r="C2735" s="6" t="s">
        <v>294</v>
      </c>
      <c r="D2735" s="6" t="s">
        <v>295</v>
      </c>
      <c r="E2735" s="6" t="s">
        <v>12</v>
      </c>
      <c r="F2735" s="6" t="s">
        <v>13</v>
      </c>
      <c r="G2735" s="6" t="s">
        <v>296</v>
      </c>
      <c r="H2735" s="8" t="s">
        <v>3981</v>
      </c>
      <c r="I2735" s="9">
        <v>0.0</v>
      </c>
      <c r="J2735" s="5" t="str">
        <f t="shared" ref="J2735:K2735" si="2735">SUBSTITUTE(H2735, ",", "")</f>
        <v>0</v>
      </c>
      <c r="K2735" s="5" t="str">
        <f t="shared" si="2735"/>
        <v>Rp0</v>
      </c>
      <c r="L2735" s="5" t="str">
        <f t="shared" si="3"/>
        <v>0</v>
      </c>
    </row>
    <row r="2736">
      <c r="A2736" s="6" t="s">
        <v>4011</v>
      </c>
      <c r="B2736" s="7" t="str">
        <f>HYPERLINK("https://shopee.co.id/-innisfree-Green-Tea-Seed-Serum-With-Green-Tea-Line-Bundle-i.61504589.8465906215", "https://shopee.co.id/-innisfree-Green-Tea-Seed-Serum-With-Green-Tea-Line-Bundle-i.61504589.8465906215")</f>
        <v>https://shopee.co.id/-innisfree-Green-Tea-Seed-Serum-With-Green-Tea-Line-Bundle-i.61504589.8465906215</v>
      </c>
      <c r="C2736" s="6" t="s">
        <v>294</v>
      </c>
      <c r="D2736" s="6" t="s">
        <v>295</v>
      </c>
      <c r="E2736" s="6" t="s">
        <v>12</v>
      </c>
      <c r="F2736" s="6" t="s">
        <v>13</v>
      </c>
      <c r="G2736" s="6" t="s">
        <v>296</v>
      </c>
      <c r="H2736" s="8" t="s">
        <v>3981</v>
      </c>
      <c r="I2736" s="9">
        <v>0.0</v>
      </c>
      <c r="J2736" s="5" t="str">
        <f t="shared" ref="J2736:K2736" si="2736">SUBSTITUTE(H2736, ",", "")</f>
        <v>0</v>
      </c>
      <c r="K2736" s="5" t="str">
        <f t="shared" si="2736"/>
        <v>Rp0</v>
      </c>
      <c r="L2736" s="5" t="str">
        <f t="shared" si="3"/>
        <v>0</v>
      </c>
    </row>
    <row r="2737">
      <c r="A2737" s="6" t="s">
        <v>4012</v>
      </c>
      <c r="B2737" s="7" t="str">
        <f>HYPERLINK("https://shopee.co.id/-innisfree-Jeju-Orchid-Essence-Bundle-i.61504589.7721350846", "https://shopee.co.id/-innisfree-Jeju-Orchid-Essence-Bundle-i.61504589.7721350846")</f>
        <v>https://shopee.co.id/-innisfree-Jeju-Orchid-Essence-Bundle-i.61504589.7721350846</v>
      </c>
      <c r="C2737" s="6" t="s">
        <v>294</v>
      </c>
      <c r="D2737" s="6" t="s">
        <v>295</v>
      </c>
      <c r="E2737" s="6" t="s">
        <v>12</v>
      </c>
      <c r="F2737" s="6" t="s">
        <v>13</v>
      </c>
      <c r="G2737" s="6" t="s">
        <v>296</v>
      </c>
      <c r="H2737" s="8" t="s">
        <v>3981</v>
      </c>
      <c r="I2737" s="9">
        <v>0.0</v>
      </c>
      <c r="J2737" s="5" t="str">
        <f t="shared" ref="J2737:K2737" si="2737">SUBSTITUTE(H2737, ",", "")</f>
        <v>0</v>
      </c>
      <c r="K2737" s="5" t="str">
        <f t="shared" si="2737"/>
        <v>Rp0</v>
      </c>
      <c r="L2737" s="5" t="str">
        <f t="shared" si="3"/>
        <v>0</v>
      </c>
    </row>
    <row r="2738">
      <c r="A2738" s="6" t="s">
        <v>4013</v>
      </c>
      <c r="B2738" s="7" t="str">
        <f>HYPERLINK("https://shopee.co.id/-PROMO-Aquila-Best-Duo-Package-Cleansing-Balm-Serum-Membersihkan-Mencerahkan-i.268493582.9983680821", "https://shopee.co.id/-PROMO-Aquila-Best-Duo-Package-Cleansing-Balm-Serum-Membersihkan-Mencerahkan-i.268493582.9983680821")</f>
        <v>https://shopee.co.id/-PROMO-Aquila-Best-Duo-Package-Cleansing-Balm-Serum-Membersihkan-Mencerahkan-i.268493582.9983680821</v>
      </c>
      <c r="C2738" s="6" t="s">
        <v>4014</v>
      </c>
      <c r="D2738" s="6" t="s">
        <v>2203</v>
      </c>
      <c r="E2738" s="6" t="s">
        <v>12</v>
      </c>
      <c r="F2738" s="6" t="s">
        <v>13</v>
      </c>
      <c r="G2738" s="6" t="s">
        <v>2204</v>
      </c>
      <c r="H2738" s="8" t="s">
        <v>3981</v>
      </c>
      <c r="I2738" s="9">
        <v>0.0</v>
      </c>
      <c r="J2738" s="5" t="str">
        <f t="shared" ref="J2738:K2738" si="2738">SUBSTITUTE(H2738, ",", "")</f>
        <v>0</v>
      </c>
      <c r="K2738" s="5" t="str">
        <f t="shared" si="2738"/>
        <v>Rp0</v>
      </c>
      <c r="L2738" s="5" t="str">
        <f t="shared" si="3"/>
        <v>0</v>
      </c>
    </row>
    <row r="2739">
      <c r="A2739" s="6" t="s">
        <v>4015</v>
      </c>
      <c r="B2739" s="7" t="str">
        <f>HYPERLINK("https://shopee.co.id/-SPESIAL-SET-Nacific-Lip-Tint-Fresh-Cica-Plus-Clear-Serum-i.238379974.10715341889", "https://shopee.co.id/-SPESIAL-SET-Nacific-Lip-Tint-Fresh-Cica-Plus-Clear-Serum-i.238379974.10715341889")</f>
        <v>https://shopee.co.id/-SPESIAL-SET-Nacific-Lip-Tint-Fresh-Cica-Plus-Clear-Serum-i.238379974.10715341889</v>
      </c>
      <c r="C2739" s="6" t="s">
        <v>344</v>
      </c>
      <c r="D2739" s="6" t="s">
        <v>345</v>
      </c>
      <c r="E2739" s="6" t="s">
        <v>12</v>
      </c>
      <c r="F2739" s="6" t="s">
        <v>13</v>
      </c>
      <c r="G2739" s="6" t="s">
        <v>130</v>
      </c>
      <c r="H2739" s="8" t="s">
        <v>3981</v>
      </c>
      <c r="I2739" s="9">
        <v>0.0</v>
      </c>
      <c r="J2739" s="5" t="str">
        <f t="shared" ref="J2739:K2739" si="2739">SUBSTITUTE(H2739, ",", "")</f>
        <v>0</v>
      </c>
      <c r="K2739" s="5" t="str">
        <f t="shared" si="2739"/>
        <v>Rp0</v>
      </c>
      <c r="L2739" s="5" t="str">
        <f t="shared" si="3"/>
        <v>0</v>
      </c>
    </row>
    <row r="2740">
      <c r="A2740" s="6" t="s">
        <v>4016</v>
      </c>
      <c r="B2740" s="7" t="str">
        <f>HYPERLINK("https://shopee.co.id/-The-Face-Shop-Green-Natural-Seed-Anti-Oxid-Serum-50ml-Original-i.34671748.6775303894", "https://shopee.co.id/-The-Face-Shop-Green-Natural-Seed-Anti-Oxid-Serum-50ml-Original-i.34671748.6775303894")</f>
        <v>https://shopee.co.id/-The-Face-Shop-Green-Natural-Seed-Anti-Oxid-Serum-50ml-Original-i.34671748.6775303894</v>
      </c>
      <c r="C2740" s="6" t="s">
        <v>1217</v>
      </c>
      <c r="D2740" s="6" t="s">
        <v>1218</v>
      </c>
      <c r="E2740" s="6" t="s">
        <v>12</v>
      </c>
      <c r="F2740" s="6" t="s">
        <v>13</v>
      </c>
      <c r="G2740" s="6" t="s">
        <v>61</v>
      </c>
      <c r="H2740" s="8" t="s">
        <v>3981</v>
      </c>
      <c r="I2740" s="9">
        <v>0.0</v>
      </c>
      <c r="J2740" s="5" t="str">
        <f t="shared" ref="J2740:K2740" si="2740">SUBSTITUTE(H2740, ",", "")</f>
        <v>0</v>
      </c>
      <c r="K2740" s="5" t="str">
        <f t="shared" si="2740"/>
        <v>Rp0</v>
      </c>
      <c r="L2740" s="5" t="str">
        <f t="shared" si="3"/>
        <v>0</v>
      </c>
    </row>
    <row r="2741">
      <c r="A2741" s="6" t="s">
        <v>4017</v>
      </c>
      <c r="B2741" s="7" t="str">
        <f>HYPERLINK("https://shopee.co.id/-The-Face-Shop-Yehwadam-Hwansaenggo-Ultimate-Rejuvenating-Emulsion-i.34671748.9814515427", "https://shopee.co.id/-The-Face-Shop-Yehwadam-Hwansaenggo-Ultimate-Rejuvenating-Emulsion-i.34671748.9814515427")</f>
        <v>https://shopee.co.id/-The-Face-Shop-Yehwadam-Hwansaenggo-Ultimate-Rejuvenating-Emulsion-i.34671748.9814515427</v>
      </c>
      <c r="C2741" s="6" t="s">
        <v>1217</v>
      </c>
      <c r="D2741" s="6" t="s">
        <v>1218</v>
      </c>
      <c r="E2741" s="6" t="s">
        <v>12</v>
      </c>
      <c r="F2741" s="6" t="s">
        <v>13</v>
      </c>
      <c r="G2741" s="6" t="s">
        <v>61</v>
      </c>
      <c r="H2741" s="8" t="s">
        <v>3981</v>
      </c>
      <c r="I2741" s="9">
        <v>0.0</v>
      </c>
      <c r="J2741" s="5" t="str">
        <f t="shared" ref="J2741:K2741" si="2741">SUBSTITUTE(H2741, ",", "")</f>
        <v>0</v>
      </c>
      <c r="K2741" s="5" t="str">
        <f t="shared" si="2741"/>
        <v>Rp0</v>
      </c>
      <c r="L2741" s="5" t="str">
        <f t="shared" si="3"/>
        <v>0</v>
      </c>
    </row>
    <row r="2742">
      <c r="A2742" s="6" t="s">
        <v>4018</v>
      </c>
      <c r="B2742" s="7" t="str">
        <f>HYPERLINK("https://shopee.co.id/-The-Face-Shop-Yehwadam-Revitalizing-Serum-45ml-Original-i.34671748.553439195", "https://shopee.co.id/-The-Face-Shop-Yehwadam-Revitalizing-Serum-45ml-Original-i.34671748.553439195")</f>
        <v>https://shopee.co.id/-The-Face-Shop-Yehwadam-Revitalizing-Serum-45ml-Original-i.34671748.553439195</v>
      </c>
      <c r="C2742" s="6" t="s">
        <v>1217</v>
      </c>
      <c r="D2742" s="6" t="s">
        <v>1218</v>
      </c>
      <c r="E2742" s="6" t="s">
        <v>12</v>
      </c>
      <c r="F2742" s="6" t="s">
        <v>13</v>
      </c>
      <c r="G2742" s="6" t="s">
        <v>61</v>
      </c>
      <c r="H2742" s="8" t="s">
        <v>3981</v>
      </c>
      <c r="I2742" s="9">
        <v>0.0</v>
      </c>
      <c r="J2742" s="5" t="str">
        <f t="shared" ref="J2742:K2742" si="2742">SUBSTITUTE(H2742, ",", "")</f>
        <v>0</v>
      </c>
      <c r="K2742" s="5" t="str">
        <f t="shared" si="2742"/>
        <v>Rp0</v>
      </c>
      <c r="L2742" s="5" t="str">
        <f t="shared" si="3"/>
        <v>0</v>
      </c>
    </row>
    <row r="2743">
      <c r="A2743" s="6" t="s">
        <v>4019</v>
      </c>
      <c r="B2743" s="7" t="str">
        <f>HYPERLINK("https://shopee.co.id/10-Niacinamide-Moisture-Sabi-Beet-Max-Brightening-Serum-5-ml-LIMITED--i.195455930.4592539644", "https://shopee.co.id/10-Niacinamide-Moisture-Sabi-Beet-Max-Brightening-Serum-5-ml-LIMITED--i.195455930.4592539644")</f>
        <v>https://shopee.co.id/10-Niacinamide-Moisture-Sabi-Beet-Max-Brightening-Serum-5-ml-LIMITED--i.195455930.4592539644</v>
      </c>
      <c r="C2743" s="6" t="s">
        <v>45</v>
      </c>
      <c r="D2743" s="6" t="s">
        <v>46</v>
      </c>
      <c r="E2743" s="6" t="s">
        <v>12</v>
      </c>
      <c r="F2743" s="6" t="s">
        <v>13</v>
      </c>
      <c r="G2743" s="6" t="s">
        <v>21</v>
      </c>
      <c r="H2743" s="8" t="s">
        <v>3981</v>
      </c>
      <c r="I2743" s="9">
        <v>0.0</v>
      </c>
      <c r="J2743" s="5" t="str">
        <f t="shared" ref="J2743:K2743" si="2743">SUBSTITUTE(H2743, ",", "")</f>
        <v>0</v>
      </c>
      <c r="K2743" s="5" t="str">
        <f t="shared" si="2743"/>
        <v>Rp0</v>
      </c>
      <c r="L2743" s="5" t="str">
        <f t="shared" si="3"/>
        <v>0</v>
      </c>
    </row>
    <row r="2744">
      <c r="A2744" s="6" t="s">
        <v>4020</v>
      </c>
      <c r="B2744" s="7" t="str">
        <f>HYPERLINK("https://shopee.co.id/a-Wrinkle-in-Time-MTI-PB--i.120304226.2047437608", "https://shopee.co.id/a-Wrinkle-in-Time-MTI-PB--i.120304226.2047437608")</f>
        <v>https://shopee.co.id/a-Wrinkle-in-Time-MTI-PB--i.120304226.2047437608</v>
      </c>
      <c r="C2744" s="10" t="s">
        <v>3981</v>
      </c>
      <c r="D2744" s="6" t="s">
        <v>4021</v>
      </c>
      <c r="E2744" s="6" t="s">
        <v>12</v>
      </c>
      <c r="F2744" s="6" t="s">
        <v>13</v>
      </c>
      <c r="G2744" s="6" t="s">
        <v>130</v>
      </c>
      <c r="H2744" s="8" t="s">
        <v>3981</v>
      </c>
      <c r="I2744" s="9">
        <v>0.0</v>
      </c>
      <c r="J2744" s="5" t="str">
        <f t="shared" ref="J2744:K2744" si="2744">SUBSTITUTE(H2744, ",", "")</f>
        <v>0</v>
      </c>
      <c r="K2744" s="5" t="str">
        <f t="shared" si="2744"/>
        <v>Rp0</v>
      </c>
      <c r="L2744" s="5" t="str">
        <f t="shared" si="3"/>
        <v>0</v>
      </c>
    </row>
    <row r="2745">
      <c r="A2745" s="6" t="s">
        <v>4022</v>
      </c>
      <c r="B2745" s="7" t="str">
        <f>HYPERLINK("https://shopee.co.id/AAG-CORRECTING-SUPRA-ESSENCE-5ML-TUBE-i.70687187.9405878519", "https://shopee.co.id/AAG-CORRECTING-SUPRA-ESSENCE-5ML-TUBE-i.70687187.9405878519")</f>
        <v>https://shopee.co.id/AAG-CORRECTING-SUPRA-ESSENCE-5ML-TUBE-i.70687187.9405878519</v>
      </c>
      <c r="C2745" s="6" t="s">
        <v>1672</v>
      </c>
      <c r="D2745" s="6" t="s">
        <v>1673</v>
      </c>
      <c r="E2745" s="6" t="s">
        <v>12</v>
      </c>
      <c r="F2745" s="6" t="s">
        <v>13</v>
      </c>
      <c r="G2745" s="6" t="s">
        <v>61</v>
      </c>
      <c r="H2745" s="8" t="s">
        <v>3981</v>
      </c>
      <c r="I2745" s="9">
        <v>0.0</v>
      </c>
      <c r="J2745" s="5" t="str">
        <f t="shared" ref="J2745:K2745" si="2745">SUBSTITUTE(H2745, ",", "")</f>
        <v>0</v>
      </c>
      <c r="K2745" s="5" t="str">
        <f t="shared" si="2745"/>
        <v>Rp0</v>
      </c>
      <c r="L2745" s="5" t="str">
        <f t="shared" si="3"/>
        <v>0</v>
      </c>
    </row>
    <row r="2746">
      <c r="A2746" s="6" t="s">
        <v>4023</v>
      </c>
      <c r="B2746" s="7" t="str">
        <f>HYPERLINK("https://shopee.co.id/Acne-Essence-15-ML-With-Centella-Asiatica-Hyaluronic--i.108311902.5541176575", "https://shopee.co.id/Acne-Essence-15-ML-With-Centella-Asiatica-Hyaluronic--i.108311902.5541176575")</f>
        <v>https://shopee.co.id/Acne-Essence-15-ML-With-Centella-Asiatica-Hyaluronic--i.108311902.5541176575</v>
      </c>
      <c r="C2746" s="6" t="s">
        <v>3473</v>
      </c>
      <c r="D2746" s="6" t="s">
        <v>3474</v>
      </c>
      <c r="E2746" s="6" t="s">
        <v>12</v>
      </c>
      <c r="F2746" s="6" t="s">
        <v>13</v>
      </c>
      <c r="G2746" s="6" t="s">
        <v>350</v>
      </c>
      <c r="H2746" s="8" t="s">
        <v>3981</v>
      </c>
      <c r="I2746" s="9">
        <v>0.0</v>
      </c>
      <c r="J2746" s="5" t="str">
        <f t="shared" ref="J2746:K2746" si="2746">SUBSTITUTE(H2746, ",", "")</f>
        <v>0</v>
      </c>
      <c r="K2746" s="5" t="str">
        <f t="shared" si="2746"/>
        <v>Rp0</v>
      </c>
      <c r="L2746" s="5" t="str">
        <f t="shared" si="3"/>
        <v>0</v>
      </c>
    </row>
    <row r="2747">
      <c r="A2747" s="6" t="s">
        <v>4024</v>
      </c>
      <c r="B2747" s="7" t="str">
        <f>HYPERLINK("https://shopee.co.id/Acnes-Derma-Care-Anti-Blemish-Essence-20ml-i.825870.4991363410", "https://shopee.co.id/Acnes-Derma-Care-Anti-Blemish-Essence-20ml-i.825870.4991363410")</f>
        <v>https://shopee.co.id/Acnes-Derma-Care-Anti-Blemish-Essence-20ml-i.825870.4991363410</v>
      </c>
      <c r="C2747" s="6" t="s">
        <v>1162</v>
      </c>
      <c r="D2747" s="6" t="s">
        <v>1184</v>
      </c>
      <c r="E2747" s="6" t="s">
        <v>12</v>
      </c>
      <c r="F2747" s="6" t="s">
        <v>13</v>
      </c>
      <c r="G2747" s="6" t="s">
        <v>21</v>
      </c>
      <c r="H2747" s="8" t="s">
        <v>3981</v>
      </c>
      <c r="I2747" s="9">
        <v>0.0</v>
      </c>
      <c r="J2747" s="5" t="str">
        <f t="shared" ref="J2747:K2747" si="2747">SUBSTITUTE(H2747, ",", "")</f>
        <v>0</v>
      </c>
      <c r="K2747" s="5" t="str">
        <f t="shared" si="2747"/>
        <v>Rp0</v>
      </c>
      <c r="L2747" s="5" t="str">
        <f t="shared" si="3"/>
        <v>0</v>
      </c>
    </row>
    <row r="2748">
      <c r="A2748" s="6" t="s">
        <v>4025</v>
      </c>
      <c r="B2748" s="7" t="str">
        <f>HYPERLINK("https://shopee.co.id/ACNOC-All-Hybrid-Essence-MINI-3gr-i.97148691.5933295174", "https://shopee.co.id/ACNOC-All-Hybrid-Essence-MINI-3gr-i.97148691.5933295174")</f>
        <v>https://shopee.co.id/ACNOC-All-Hybrid-Essence-MINI-3gr-i.97148691.5933295174</v>
      </c>
      <c r="C2748" s="6" t="s">
        <v>2854</v>
      </c>
      <c r="D2748" s="6" t="s">
        <v>2855</v>
      </c>
      <c r="E2748" s="6" t="s">
        <v>12</v>
      </c>
      <c r="F2748" s="6" t="s">
        <v>13</v>
      </c>
      <c r="G2748" s="6" t="s">
        <v>85</v>
      </c>
      <c r="H2748" s="8" t="s">
        <v>3981</v>
      </c>
      <c r="I2748" s="9">
        <v>0.0</v>
      </c>
      <c r="J2748" s="5" t="str">
        <f t="shared" ref="J2748:K2748" si="2748">SUBSTITUTE(H2748, ",", "")</f>
        <v>0</v>
      </c>
      <c r="K2748" s="5" t="str">
        <f t="shared" si="2748"/>
        <v>Rp0</v>
      </c>
      <c r="L2748" s="5" t="str">
        <f t="shared" si="3"/>
        <v>0</v>
      </c>
    </row>
    <row r="2749">
      <c r="A2749" s="6" t="s">
        <v>4026</v>
      </c>
      <c r="B2749" s="7" t="str">
        <f>HYPERLINK("https://shopee.co.id/Acwell-Licorice-pH-Balancing-Advance-Serum-size-30-ml-i.224957239.9451345176", "https://shopee.co.id/Acwell-Licorice-pH-Balancing-Advance-Serum-size-30-ml-i.224957239.9451345176")</f>
        <v>https://shopee.co.id/Acwell-Licorice-pH-Balancing-Advance-Serum-size-30-ml-i.224957239.9451345176</v>
      </c>
      <c r="C2749" s="6" t="s">
        <v>3727</v>
      </c>
      <c r="D2749" s="6" t="s">
        <v>492</v>
      </c>
      <c r="E2749" s="6" t="s">
        <v>12</v>
      </c>
      <c r="F2749" s="6" t="s">
        <v>13</v>
      </c>
      <c r="G2749" s="6" t="s">
        <v>21</v>
      </c>
      <c r="H2749" s="8" t="s">
        <v>3981</v>
      </c>
      <c r="I2749" s="9">
        <v>0.0</v>
      </c>
      <c r="J2749" s="5" t="str">
        <f t="shared" ref="J2749:K2749" si="2749">SUBSTITUTE(H2749, ",", "")</f>
        <v>0</v>
      </c>
      <c r="K2749" s="5" t="str">
        <f t="shared" si="2749"/>
        <v>Rp0</v>
      </c>
      <c r="L2749" s="5" t="str">
        <f t="shared" si="3"/>
        <v>0</v>
      </c>
    </row>
    <row r="2750">
      <c r="A2750" s="6" t="s">
        <v>4027</v>
      </c>
      <c r="B2750" s="7" t="str">
        <f>HYPERLINK("https://shopee.co.id/ADARA-Bundle-C-Bright-Serum-Ultra-Moist-i.122156323.4039258873", "https://shopee.co.id/ADARA-Bundle-C-Bright-Serum-Ultra-Moist-i.122156323.4039258873")</f>
        <v>https://shopee.co.id/ADARA-Bundle-C-Bright-Serum-Ultra-Moist-i.122156323.4039258873</v>
      </c>
      <c r="C2750" s="6" t="s">
        <v>2240</v>
      </c>
      <c r="D2750" s="6" t="s">
        <v>2013</v>
      </c>
      <c r="E2750" s="6" t="s">
        <v>12</v>
      </c>
      <c r="F2750" s="6" t="s">
        <v>13</v>
      </c>
      <c r="G2750" s="6" t="s">
        <v>61</v>
      </c>
      <c r="H2750" s="8" t="s">
        <v>3981</v>
      </c>
      <c r="I2750" s="9">
        <v>0.0</v>
      </c>
      <c r="J2750" s="5" t="str">
        <f t="shared" ref="J2750:K2750" si="2750">SUBSTITUTE(H2750, ",", "")</f>
        <v>0</v>
      </c>
      <c r="K2750" s="5" t="str">
        <f t="shared" si="2750"/>
        <v>Rp0</v>
      </c>
      <c r="L2750" s="5" t="str">
        <f t="shared" si="3"/>
        <v>0</v>
      </c>
    </row>
    <row r="2751">
      <c r="A2751" s="6" t="s">
        <v>4028</v>
      </c>
      <c r="B2751" s="7" t="str">
        <f>HYPERLINK("https://shopee.co.id/Aesthetic-Bluepin-AHA-BHA-White-Glow-Serum-i.54874680.9871988829", "https://shopee.co.id/Aesthetic-Bluepin-AHA-BHA-White-Glow-Serum-i.54874680.9871988829")</f>
        <v>https://shopee.co.id/Aesthetic-Bluepin-AHA-BHA-White-Glow-Serum-i.54874680.9871988829</v>
      </c>
      <c r="C2751" s="6" t="s">
        <v>2026</v>
      </c>
      <c r="D2751" s="6" t="s">
        <v>4029</v>
      </c>
      <c r="E2751" s="6" t="s">
        <v>12</v>
      </c>
      <c r="F2751" s="6" t="s">
        <v>13</v>
      </c>
      <c r="G2751" s="6" t="s">
        <v>241</v>
      </c>
      <c r="H2751" s="8" t="s">
        <v>3981</v>
      </c>
      <c r="I2751" s="9">
        <v>0.0</v>
      </c>
      <c r="J2751" s="5" t="str">
        <f t="shared" ref="J2751:K2751" si="2751">SUBSTITUTE(H2751, ",", "")</f>
        <v>0</v>
      </c>
      <c r="K2751" s="5" t="str">
        <f t="shared" si="2751"/>
        <v>Rp0</v>
      </c>
      <c r="L2751" s="5" t="str">
        <f t="shared" si="3"/>
        <v>0</v>
      </c>
    </row>
    <row r="2752">
      <c r="A2752" s="6" t="s">
        <v>4030</v>
      </c>
      <c r="B2752" s="7" t="str">
        <f>HYPERLINK("https://shopee.co.id/Aesthetic-Bluepin-Excellen-C-Face-Serum-White-Glow-i.54874680.9971988416", "https://shopee.co.id/Aesthetic-Bluepin-Excellen-C-Face-Serum-White-Glow-i.54874680.9971988416")</f>
        <v>https://shopee.co.id/Aesthetic-Bluepin-Excellen-C-Face-Serum-White-Glow-i.54874680.9971988416</v>
      </c>
      <c r="C2752" s="6" t="s">
        <v>1424</v>
      </c>
      <c r="D2752" s="6" t="s">
        <v>4029</v>
      </c>
      <c r="E2752" s="6" t="s">
        <v>12</v>
      </c>
      <c r="F2752" s="6" t="s">
        <v>13</v>
      </c>
      <c r="G2752" s="6" t="s">
        <v>241</v>
      </c>
      <c r="H2752" s="8" t="s">
        <v>3981</v>
      </c>
      <c r="I2752" s="9">
        <v>0.0</v>
      </c>
      <c r="J2752" s="5" t="str">
        <f t="shared" ref="J2752:K2752" si="2752">SUBSTITUTE(H2752, ",", "")</f>
        <v>0</v>
      </c>
      <c r="K2752" s="5" t="str">
        <f t="shared" si="2752"/>
        <v>Rp0</v>
      </c>
      <c r="L2752" s="5" t="str">
        <f t="shared" si="3"/>
        <v>0</v>
      </c>
    </row>
    <row r="2753">
      <c r="A2753" s="6" t="s">
        <v>4031</v>
      </c>
      <c r="B2753" s="7" t="str">
        <f>HYPERLINK("https://shopee.co.id/Aesthetic-Bluepin-White-Glow-Serum-i.54874680.3892751125", "https://shopee.co.id/Aesthetic-Bluepin-White-Glow-Serum-i.54874680.3892751125")</f>
        <v>https://shopee.co.id/Aesthetic-Bluepin-White-Glow-Serum-i.54874680.3892751125</v>
      </c>
      <c r="C2753" s="6" t="s">
        <v>1424</v>
      </c>
      <c r="D2753" s="6" t="s">
        <v>4029</v>
      </c>
      <c r="E2753" s="6" t="s">
        <v>12</v>
      </c>
      <c r="F2753" s="6" t="s">
        <v>13</v>
      </c>
      <c r="G2753" s="6" t="s">
        <v>241</v>
      </c>
      <c r="H2753" s="8" t="s">
        <v>3981</v>
      </c>
      <c r="I2753" s="9">
        <v>0.0</v>
      </c>
      <c r="J2753" s="5" t="str">
        <f t="shared" ref="J2753:K2753" si="2753">SUBSTITUTE(H2753, ",", "")</f>
        <v>0</v>
      </c>
      <c r="K2753" s="5" t="str">
        <f t="shared" si="2753"/>
        <v>Rp0</v>
      </c>
      <c r="L2753" s="5" t="str">
        <f t="shared" si="3"/>
        <v>0</v>
      </c>
    </row>
    <row r="2754">
      <c r="A2754" s="6" t="s">
        <v>4032</v>
      </c>
      <c r="B2754" s="7" t="str">
        <f>HYPERLINK("https://shopee.co.id/Aesthetic-Excellen-C-Face-Serum-18ml-i.10689.5040965443", "https://shopee.co.id/Aesthetic-Excellen-C-Face-Serum-18ml-i.10689.5040965443")</f>
        <v>https://shopee.co.id/Aesthetic-Excellen-C-Face-Serum-18ml-i.10689.5040965443</v>
      </c>
      <c r="C2754" s="6" t="s">
        <v>1424</v>
      </c>
      <c r="D2754" s="6" t="s">
        <v>745</v>
      </c>
      <c r="E2754" s="6" t="s">
        <v>12</v>
      </c>
      <c r="F2754" s="6" t="s">
        <v>13</v>
      </c>
      <c r="G2754" s="6" t="s">
        <v>61</v>
      </c>
      <c r="H2754" s="8" t="s">
        <v>3981</v>
      </c>
      <c r="I2754" s="9">
        <v>0.0</v>
      </c>
      <c r="J2754" s="5" t="str">
        <f t="shared" ref="J2754:K2754" si="2754">SUBSTITUTE(H2754, ",", "")</f>
        <v>0</v>
      </c>
      <c r="K2754" s="5" t="str">
        <f t="shared" si="2754"/>
        <v>Rp0</v>
      </c>
      <c r="L2754" s="5" t="str">
        <f t="shared" si="3"/>
        <v>0</v>
      </c>
    </row>
    <row r="2755">
      <c r="A2755" s="6" t="s">
        <v>4033</v>
      </c>
      <c r="B2755" s="7" t="str">
        <f>HYPERLINK("https://shopee.co.id/AGE-20-s-Jericho-Rose-Sheer-Serum-Base-i.227589586.11310543880", "https://shopee.co.id/AGE-20-s-Jericho-Rose-Sheer-Serum-Base-i.227589586.11310543880")</f>
        <v>https://shopee.co.id/AGE-20-s-Jericho-Rose-Sheer-Serum-Base-i.227589586.11310543880</v>
      </c>
      <c r="C2755" s="6" t="s">
        <v>3200</v>
      </c>
      <c r="D2755" s="6" t="s">
        <v>3201</v>
      </c>
      <c r="E2755" s="6" t="s">
        <v>12</v>
      </c>
      <c r="F2755" s="6" t="s">
        <v>13</v>
      </c>
      <c r="G2755" s="6" t="s">
        <v>98</v>
      </c>
      <c r="H2755" s="8" t="s">
        <v>3981</v>
      </c>
      <c r="I2755" s="9">
        <v>0.0</v>
      </c>
      <c r="J2755" s="5" t="str">
        <f t="shared" ref="J2755:K2755" si="2755">SUBSTITUTE(H2755, ",", "")</f>
        <v>0</v>
      </c>
      <c r="K2755" s="5" t="str">
        <f t="shared" si="2755"/>
        <v>Rp0</v>
      </c>
      <c r="L2755" s="5" t="str">
        <f t="shared" si="3"/>
        <v>0</v>
      </c>
    </row>
    <row r="2756">
      <c r="A2756" s="6" t="s">
        <v>4034</v>
      </c>
      <c r="B2756" s="7" t="str">
        <f>HYPERLINK("https://shopee.co.id/AHC-Peony-Bright-Luminous-Serum-i.68111.7582399217", "https://shopee.co.id/AHC-Peony-Bright-Luminous-Serum-i.68111.7582399217")</f>
        <v>https://shopee.co.id/AHC-Peony-Bright-Luminous-Serum-i.68111.7582399217</v>
      </c>
      <c r="C2756" s="6" t="s">
        <v>2053</v>
      </c>
      <c r="D2756" s="6" t="s">
        <v>441</v>
      </c>
      <c r="E2756" s="6" t="s">
        <v>12</v>
      </c>
      <c r="F2756" s="6" t="s">
        <v>13</v>
      </c>
      <c r="G2756" s="6" t="s">
        <v>130</v>
      </c>
      <c r="H2756" s="8" t="s">
        <v>3981</v>
      </c>
      <c r="I2756" s="9">
        <v>0.0</v>
      </c>
      <c r="J2756" s="5" t="str">
        <f t="shared" ref="J2756:K2756" si="2756">SUBSTITUTE(H2756, ",", "")</f>
        <v>0</v>
      </c>
      <c r="K2756" s="5" t="str">
        <f t="shared" si="2756"/>
        <v>Rp0</v>
      </c>
      <c r="L2756" s="5" t="str">
        <f t="shared" si="3"/>
        <v>0</v>
      </c>
    </row>
    <row r="2757">
      <c r="A2757" s="6" t="s">
        <v>4035</v>
      </c>
      <c r="B2757" s="7" t="str">
        <f>HYPERLINK("https://shopee.co.id/Ahc-Peony-Bright-Luminous-Serum-40ml-i.30736001.6587749325", "https://shopee.co.id/Ahc-Peony-Bright-Luminous-Serum-40ml-i.30736001.6587749325")</f>
        <v>https://shopee.co.id/Ahc-Peony-Bright-Luminous-Serum-40ml-i.30736001.6587749325</v>
      </c>
      <c r="C2757" s="6" t="s">
        <v>2053</v>
      </c>
      <c r="D2757" s="6" t="s">
        <v>335</v>
      </c>
      <c r="E2757" s="6" t="s">
        <v>12</v>
      </c>
      <c r="F2757" s="6" t="s">
        <v>13</v>
      </c>
      <c r="G2757" s="6" t="s">
        <v>36</v>
      </c>
      <c r="H2757" s="8" t="s">
        <v>3981</v>
      </c>
      <c r="I2757" s="9">
        <v>0.0</v>
      </c>
      <c r="J2757" s="5" t="str">
        <f t="shared" ref="J2757:K2757" si="2757">SUBSTITUTE(H2757, ",", "")</f>
        <v>0</v>
      </c>
      <c r="K2757" s="5" t="str">
        <f t="shared" si="2757"/>
        <v>Rp0</v>
      </c>
      <c r="L2757" s="5" t="str">
        <f t="shared" si="3"/>
        <v>0</v>
      </c>
    </row>
    <row r="2758">
      <c r="A2758" s="6" t="s">
        <v>4036</v>
      </c>
      <c r="B2758" s="7" t="str">
        <f>HYPERLINK("https://shopee.co.id/AHC-The-Aesthe-Youth-Serum-size-30ml-Edit-by-Sociolla-i.224957239.3731646527", "https://shopee.co.id/AHC-The-Aesthe-Youth-Serum-size-30ml-Edit-by-Sociolla-i.224957239.3731646527")</f>
        <v>https://shopee.co.id/AHC-The-Aesthe-Youth-Serum-size-30ml-Edit-by-Sociolla-i.224957239.3731646527</v>
      </c>
      <c r="C2758" s="6" t="s">
        <v>2053</v>
      </c>
      <c r="D2758" s="6" t="s">
        <v>492</v>
      </c>
      <c r="E2758" s="6" t="s">
        <v>12</v>
      </c>
      <c r="F2758" s="6" t="s">
        <v>13</v>
      </c>
      <c r="G2758" s="6" t="s">
        <v>21</v>
      </c>
      <c r="H2758" s="8" t="s">
        <v>3981</v>
      </c>
      <c r="I2758" s="9">
        <v>0.0</v>
      </c>
      <c r="J2758" s="5" t="str">
        <f t="shared" ref="J2758:K2758" si="2758">SUBSTITUTE(H2758, ",", "")</f>
        <v>0</v>
      </c>
      <c r="K2758" s="5" t="str">
        <f t="shared" si="2758"/>
        <v>Rp0</v>
      </c>
      <c r="L2758" s="5" t="str">
        <f t="shared" si="3"/>
        <v>0</v>
      </c>
    </row>
    <row r="2759">
      <c r="A2759" s="6" t="s">
        <v>4037</v>
      </c>
      <c r="B2759" s="7" t="str">
        <f>HYPERLINK("https://shopee.co.id/Aish-Acne-Serum-Penghilang-Jerawat-Pencerah-Wajah-BPOM-Merawat-Kulit-Jerawat-Pencerah-Wajah-Bisa-COD-i.279468047.11701662635", "https://shopee.co.id/Aish-Acne-Serum-Penghilang-Jerawat-Pencerah-Wajah-BPOM-Merawat-Kulit-Jerawat-Pencerah-Wajah-Bisa-COD-i.279468047.11701662635")</f>
        <v>https://shopee.co.id/Aish-Acne-Serum-Penghilang-Jerawat-Pencerah-Wajah-BPOM-Merawat-Kulit-Jerawat-Pencerah-Wajah-Bisa-COD-i.279468047.11701662635</v>
      </c>
      <c r="C2759" s="6" t="s">
        <v>4038</v>
      </c>
      <c r="D2759" s="6" t="s">
        <v>2503</v>
      </c>
      <c r="E2759" s="6" t="s">
        <v>12</v>
      </c>
      <c r="F2759" s="6" t="s">
        <v>13</v>
      </c>
      <c r="G2759" s="6" t="s">
        <v>115</v>
      </c>
      <c r="H2759" s="8" t="s">
        <v>3981</v>
      </c>
      <c r="I2759" s="9">
        <v>0.0</v>
      </c>
      <c r="J2759" s="5" t="str">
        <f t="shared" ref="J2759:K2759" si="2759">SUBSTITUTE(H2759, ",", "")</f>
        <v>0</v>
      </c>
      <c r="K2759" s="5" t="str">
        <f t="shared" si="2759"/>
        <v>Rp0</v>
      </c>
      <c r="L2759" s="5" t="str">
        <f t="shared" si="3"/>
        <v>0</v>
      </c>
    </row>
    <row r="2760">
      <c r="A2760" s="6" t="s">
        <v>4039</v>
      </c>
      <c r="B2760" s="7" t="str">
        <f>HYPERLINK("https://shopee.co.id/AKANO-Cosmetics-Gold-Serum-Brightening-i.285742928.6486505913", "https://shopee.co.id/AKANO-Cosmetics-Gold-Serum-Brightening-i.285742928.6486505913")</f>
        <v>https://shopee.co.id/AKANO-Cosmetics-Gold-Serum-Brightening-i.285742928.6486505913</v>
      </c>
      <c r="C2760" s="6" t="s">
        <v>3828</v>
      </c>
      <c r="D2760" s="6" t="s">
        <v>3829</v>
      </c>
      <c r="E2760" s="6" t="s">
        <v>12</v>
      </c>
      <c r="F2760" s="6" t="s">
        <v>13</v>
      </c>
      <c r="G2760" s="6" t="s">
        <v>61</v>
      </c>
      <c r="H2760" s="8" t="s">
        <v>3981</v>
      </c>
      <c r="I2760" s="9">
        <v>0.0</v>
      </c>
      <c r="J2760" s="5" t="str">
        <f t="shared" ref="J2760:K2760" si="2760">SUBSTITUTE(H2760, ",", "")</f>
        <v>0</v>
      </c>
      <c r="K2760" s="5" t="str">
        <f t="shared" si="2760"/>
        <v>Rp0</v>
      </c>
      <c r="L2760" s="5" t="str">
        <f t="shared" si="3"/>
        <v>0</v>
      </c>
    </row>
    <row r="2761">
      <c r="A2761" s="6" t="s">
        <v>4040</v>
      </c>
      <c r="B2761" s="7" t="str">
        <f>HYPERLINK("https://shopee.co.id/Aknema-Advanced-Hydrating-Serum-Booster-100ml-i.825870.3580840899", "https://shopee.co.id/Aknema-Advanced-Hydrating-Serum-Booster-100ml-i.825870.3580840899")</f>
        <v>https://shopee.co.id/Aknema-Advanced-Hydrating-Serum-Booster-100ml-i.825870.3580840899</v>
      </c>
      <c r="C2761" s="6" t="s">
        <v>1912</v>
      </c>
      <c r="D2761" s="6" t="s">
        <v>1184</v>
      </c>
      <c r="E2761" s="6" t="s">
        <v>12</v>
      </c>
      <c r="F2761" s="6" t="s">
        <v>13</v>
      </c>
      <c r="G2761" s="6" t="s">
        <v>21</v>
      </c>
      <c r="H2761" s="8" t="s">
        <v>3981</v>
      </c>
      <c r="I2761" s="9">
        <v>0.0</v>
      </c>
      <c r="J2761" s="5" t="str">
        <f t="shared" ref="J2761:K2761" si="2761">SUBSTITUTE(H2761, ",", "")</f>
        <v>0</v>
      </c>
      <c r="K2761" s="5" t="str">
        <f t="shared" si="2761"/>
        <v>Rp0</v>
      </c>
      <c r="L2761" s="5" t="str">
        <f t="shared" si="3"/>
        <v>0</v>
      </c>
    </row>
    <row r="2762">
      <c r="A2762" s="6" t="s">
        <v>4041</v>
      </c>
      <c r="B2762" s="7" t="str">
        <f>HYPERLINK("https://shopee.co.id/Aknema-Advanced-Hydrating-Serum-Booster-100ml-i.10689.9721428126", "https://shopee.co.id/Aknema-Advanced-Hydrating-Serum-Booster-100ml-i.10689.9721428126")</f>
        <v>https://shopee.co.id/Aknema-Advanced-Hydrating-Serum-Booster-100ml-i.10689.9721428126</v>
      </c>
      <c r="C2762" s="6" t="s">
        <v>1912</v>
      </c>
      <c r="D2762" s="6" t="s">
        <v>745</v>
      </c>
      <c r="E2762" s="6" t="s">
        <v>12</v>
      </c>
      <c r="F2762" s="6" t="s">
        <v>13</v>
      </c>
      <c r="G2762" s="6" t="s">
        <v>61</v>
      </c>
      <c r="H2762" s="8" t="s">
        <v>3981</v>
      </c>
      <c r="I2762" s="9">
        <v>0.0</v>
      </c>
      <c r="J2762" s="5" t="str">
        <f t="shared" ref="J2762:K2762" si="2762">SUBSTITUTE(H2762, ",", "")</f>
        <v>0</v>
      </c>
      <c r="K2762" s="5" t="str">
        <f t="shared" si="2762"/>
        <v>Rp0</v>
      </c>
      <c r="L2762" s="5" t="str">
        <f t="shared" si="3"/>
        <v>0</v>
      </c>
    </row>
    <row r="2763">
      <c r="A2763" s="6" t="s">
        <v>4042</v>
      </c>
      <c r="B2763" s="7" t="str">
        <f>HYPERLINK("https://shopee.co.id/Amaranthine-Angelic-Skin-Face-Lifting-Serum-Q72780-i.199182536.3209747519", "https://shopee.co.id/Amaranthine-Angelic-Skin-Face-Lifting-Serum-Q72780-i.199182536.3209747519")</f>
        <v>https://shopee.co.id/Amaranthine-Angelic-Skin-Face-Lifting-Serum-Q72780-i.199182536.3209747519</v>
      </c>
      <c r="C2763" s="6" t="s">
        <v>3638</v>
      </c>
      <c r="D2763" s="6" t="s">
        <v>3639</v>
      </c>
      <c r="E2763" s="6" t="s">
        <v>12</v>
      </c>
      <c r="F2763" s="6" t="s">
        <v>13</v>
      </c>
      <c r="G2763" s="6" t="s">
        <v>1048</v>
      </c>
      <c r="H2763" s="8" t="s">
        <v>3981</v>
      </c>
      <c r="I2763" s="9">
        <v>0.0</v>
      </c>
      <c r="J2763" s="5" t="str">
        <f t="shared" ref="J2763:K2763" si="2763">SUBSTITUTE(H2763, ",", "")</f>
        <v>0</v>
      </c>
      <c r="K2763" s="5" t="str">
        <f t="shared" si="2763"/>
        <v>Rp0</v>
      </c>
      <c r="L2763" s="5" t="str">
        <f t="shared" si="3"/>
        <v>0</v>
      </c>
    </row>
    <row r="2764">
      <c r="A2764" s="6" t="s">
        <v>4043</v>
      </c>
      <c r="B2764" s="7" t="str">
        <f>HYPERLINK("https://shopee.co.id/Amaranthine-Lineage-Complex-Dermo-Lifting-Serum-Q74055-i.199182536.6509574888", "https://shopee.co.id/Amaranthine-Lineage-Complex-Dermo-Lifting-Serum-Q74055-i.199182536.6509574888")</f>
        <v>https://shopee.co.id/Amaranthine-Lineage-Complex-Dermo-Lifting-Serum-Q74055-i.199182536.6509574888</v>
      </c>
      <c r="C2764" s="6" t="s">
        <v>3638</v>
      </c>
      <c r="D2764" s="6" t="s">
        <v>3639</v>
      </c>
      <c r="E2764" s="6" t="s">
        <v>12</v>
      </c>
      <c r="F2764" s="6" t="s">
        <v>13</v>
      </c>
      <c r="G2764" s="6" t="s">
        <v>1048</v>
      </c>
      <c r="H2764" s="8" t="s">
        <v>3981</v>
      </c>
      <c r="I2764" s="9">
        <v>0.0</v>
      </c>
      <c r="J2764" s="5" t="str">
        <f t="shared" ref="J2764:K2764" si="2764">SUBSTITUTE(H2764, ",", "")</f>
        <v>0</v>
      </c>
      <c r="K2764" s="5" t="str">
        <f t="shared" si="2764"/>
        <v>Rp0</v>
      </c>
      <c r="L2764" s="5" t="str">
        <f t="shared" si="3"/>
        <v>0</v>
      </c>
    </row>
    <row r="2765">
      <c r="A2765" s="6" t="s">
        <v>4044</v>
      </c>
      <c r="B2765" s="7" t="str">
        <f>HYPERLINK("https://shopee.co.id/Amaranthine-Ultimate-Intensive-White-C-Radiance-Skin-Serum-Q74033-i.199182536.7409544447", "https://shopee.co.id/Amaranthine-Ultimate-Intensive-White-C-Radiance-Skin-Serum-Q74033-i.199182536.7409544447")</f>
        <v>https://shopee.co.id/Amaranthine-Ultimate-Intensive-White-C-Radiance-Skin-Serum-Q74033-i.199182536.7409544447</v>
      </c>
      <c r="C2765" s="6" t="s">
        <v>3638</v>
      </c>
      <c r="D2765" s="6" t="s">
        <v>3639</v>
      </c>
      <c r="E2765" s="6" t="s">
        <v>12</v>
      </c>
      <c r="F2765" s="6" t="s">
        <v>13</v>
      </c>
      <c r="G2765" s="6" t="s">
        <v>1048</v>
      </c>
      <c r="H2765" s="8" t="s">
        <v>3981</v>
      </c>
      <c r="I2765" s="9">
        <v>0.0</v>
      </c>
      <c r="J2765" s="5" t="str">
        <f t="shared" ref="J2765:K2765" si="2765">SUBSTITUTE(H2765, ",", "")</f>
        <v>0</v>
      </c>
      <c r="K2765" s="5" t="str">
        <f t="shared" si="2765"/>
        <v>Rp0</v>
      </c>
      <c r="L2765" s="5" t="str">
        <f t="shared" si="3"/>
        <v>0</v>
      </c>
    </row>
    <row r="2766">
      <c r="A2766" s="6" t="s">
        <v>4045</v>
      </c>
      <c r="B2766" s="7" t="str">
        <f>HYPERLINK("https://shopee.co.id/APOTCARE-RESVERATROL-Pure-Serum-5-Booster-antioxydant-10ml-i.37242565.5828075434", "https://shopee.co.id/APOTCARE-RESVERATROL-Pure-Serum-5-Booster-antioxydant-10ml-i.37242565.5828075434")</f>
        <v>https://shopee.co.id/APOTCARE-RESVERATROL-Pure-Serum-5-Booster-antioxydant-10ml-i.37242565.5828075434</v>
      </c>
      <c r="C2766" s="6" t="s">
        <v>4046</v>
      </c>
      <c r="D2766" s="6" t="s">
        <v>2157</v>
      </c>
      <c r="E2766" s="6" t="s">
        <v>12</v>
      </c>
      <c r="F2766" s="6" t="s">
        <v>13</v>
      </c>
      <c r="G2766" s="6" t="s">
        <v>98</v>
      </c>
      <c r="H2766" s="8" t="s">
        <v>3981</v>
      </c>
      <c r="I2766" s="9">
        <v>0.0</v>
      </c>
      <c r="J2766" s="5" t="str">
        <f t="shared" ref="J2766:K2766" si="2766">SUBSTITUTE(H2766, ",", "")</f>
        <v>0</v>
      </c>
      <c r="K2766" s="5" t="str">
        <f t="shared" si="2766"/>
        <v>Rp0</v>
      </c>
      <c r="L2766" s="5" t="str">
        <f t="shared" si="3"/>
        <v>0</v>
      </c>
    </row>
    <row r="2767">
      <c r="A2767" s="6" t="s">
        <v>4047</v>
      </c>
      <c r="B2767" s="7" t="str">
        <f>HYPERLINK("https://shopee.co.id/Aqua-Series-Enriched-C-Serum-15-ml--i.275669190.8164784767", "https://shopee.co.id/Aqua-Series-Enriched-C-Serum-15-ml--i.275669190.8164784767")</f>
        <v>https://shopee.co.id/Aqua-Series-Enriched-C-Serum-15-ml--i.275669190.8164784767</v>
      </c>
      <c r="C2767" s="6" t="s">
        <v>2702</v>
      </c>
      <c r="D2767" s="6" t="s">
        <v>4048</v>
      </c>
      <c r="E2767" s="6" t="s">
        <v>12</v>
      </c>
      <c r="F2767" s="6" t="s">
        <v>13</v>
      </c>
      <c r="G2767" s="6" t="s">
        <v>80</v>
      </c>
      <c r="H2767" s="8" t="s">
        <v>3981</v>
      </c>
      <c r="I2767" s="9">
        <v>0.0</v>
      </c>
      <c r="J2767" s="5" t="str">
        <f t="shared" ref="J2767:K2767" si="2767">SUBSTITUTE(H2767, ",", "")</f>
        <v>0</v>
      </c>
      <c r="K2767" s="5" t="str">
        <f t="shared" si="2767"/>
        <v>Rp0</v>
      </c>
      <c r="L2767" s="5" t="str">
        <f t="shared" si="3"/>
        <v>0</v>
      </c>
    </row>
    <row r="2768">
      <c r="A2768" s="6" t="s">
        <v>4049</v>
      </c>
      <c r="B2768" s="7" t="str">
        <f>HYPERLINK("https://shopee.co.id/Aqua-Series-Radiance-Intensive-Essence-30-ml--i.275669190.7191287722", "https://shopee.co.id/Aqua-Series-Radiance-Intensive-Essence-30-ml--i.275669190.7191287722")</f>
        <v>https://shopee.co.id/Aqua-Series-Radiance-Intensive-Essence-30-ml--i.275669190.7191287722</v>
      </c>
      <c r="C2768" s="6" t="s">
        <v>2702</v>
      </c>
      <c r="D2768" s="6" t="s">
        <v>4048</v>
      </c>
      <c r="E2768" s="6" t="s">
        <v>12</v>
      </c>
      <c r="F2768" s="6" t="s">
        <v>13</v>
      </c>
      <c r="G2768" s="6" t="s">
        <v>80</v>
      </c>
      <c r="H2768" s="8" t="s">
        <v>3981</v>
      </c>
      <c r="I2768" s="9">
        <v>0.0</v>
      </c>
      <c r="J2768" s="5" t="str">
        <f t="shared" ref="J2768:K2768" si="2768">SUBSTITUTE(H2768, ",", "")</f>
        <v>0</v>
      </c>
      <c r="K2768" s="5" t="str">
        <f t="shared" si="2768"/>
        <v>Rp0</v>
      </c>
      <c r="L2768" s="5" t="str">
        <f t="shared" si="3"/>
        <v>0</v>
      </c>
    </row>
    <row r="2769">
      <c r="A2769" s="6" t="s">
        <v>4050</v>
      </c>
      <c r="B2769" s="7" t="str">
        <f>HYPERLINK("https://shopee.co.id/Aqua-Series-Enriched-C-Serum-15ml-i.825870.7334611004", "https://shopee.co.id/Aqua-Series-Enriched-C-Serum-15ml-i.825870.7334611004")</f>
        <v>https://shopee.co.id/Aqua-Series-Enriched-C-Serum-15ml-i.825870.7334611004</v>
      </c>
      <c r="C2769" s="6" t="s">
        <v>2702</v>
      </c>
      <c r="D2769" s="6" t="s">
        <v>1184</v>
      </c>
      <c r="E2769" s="6" t="s">
        <v>12</v>
      </c>
      <c r="F2769" s="6" t="s">
        <v>13</v>
      </c>
      <c r="G2769" s="6" t="s">
        <v>21</v>
      </c>
      <c r="H2769" s="8" t="s">
        <v>3981</v>
      </c>
      <c r="I2769" s="9">
        <v>0.0</v>
      </c>
      <c r="J2769" s="5" t="str">
        <f t="shared" ref="J2769:K2769" si="2769">SUBSTITUTE(H2769, ",", "")</f>
        <v>0</v>
      </c>
      <c r="K2769" s="5" t="str">
        <f t="shared" si="2769"/>
        <v>Rp0</v>
      </c>
      <c r="L2769" s="5" t="str">
        <f t="shared" si="3"/>
        <v>0</v>
      </c>
    </row>
    <row r="2770">
      <c r="A2770" s="6" t="s">
        <v>4051</v>
      </c>
      <c r="B2770" s="7" t="str">
        <f>HYPERLINK("https://shopee.co.id/Aqua-Series-Private-Enriched-Serum-30ml-i.825870.2018116121", "https://shopee.co.id/Aqua-Series-Private-Enriched-Serum-30ml-i.825870.2018116121")</f>
        <v>https://shopee.co.id/Aqua-Series-Private-Enriched-Serum-30ml-i.825870.2018116121</v>
      </c>
      <c r="C2770" s="6" t="s">
        <v>2702</v>
      </c>
      <c r="D2770" s="6" t="s">
        <v>1184</v>
      </c>
      <c r="E2770" s="6" t="s">
        <v>12</v>
      </c>
      <c r="F2770" s="6" t="s">
        <v>13</v>
      </c>
      <c r="G2770" s="6" t="s">
        <v>21</v>
      </c>
      <c r="H2770" s="8" t="s">
        <v>3981</v>
      </c>
      <c r="I2770" s="9">
        <v>0.0</v>
      </c>
      <c r="J2770" s="5" t="str">
        <f t="shared" ref="J2770:K2770" si="2770">SUBSTITUTE(H2770, ",", "")</f>
        <v>0</v>
      </c>
      <c r="K2770" s="5" t="str">
        <f t="shared" si="2770"/>
        <v>Rp0</v>
      </c>
      <c r="L2770" s="5" t="str">
        <f t="shared" si="3"/>
        <v>0</v>
      </c>
    </row>
    <row r="2771">
      <c r="A2771" s="6" t="s">
        <v>2701</v>
      </c>
      <c r="B2771" s="7" t="str">
        <f>HYPERLINK("https://shopee.co.id/Aqua-Series-Radiance-Intensive-Essence-30ml-i.110573301.7363310692", "https://shopee.co.id/Aqua-Series-Radiance-Intensive-Essence-30ml-i.110573301.7363310692")</f>
        <v>https://shopee.co.id/Aqua-Series-Radiance-Intensive-Essence-30ml-i.110573301.7363310692</v>
      </c>
      <c r="C2771" s="6" t="s">
        <v>2702</v>
      </c>
      <c r="D2771" s="6" t="s">
        <v>227</v>
      </c>
      <c r="E2771" s="6" t="s">
        <v>12</v>
      </c>
      <c r="F2771" s="6" t="s">
        <v>13</v>
      </c>
      <c r="G2771" s="6" t="s">
        <v>61</v>
      </c>
      <c r="H2771" s="8" t="s">
        <v>3981</v>
      </c>
      <c r="I2771" s="9">
        <v>0.0</v>
      </c>
      <c r="J2771" s="5" t="str">
        <f t="shared" ref="J2771:K2771" si="2771">SUBSTITUTE(H2771, ",", "")</f>
        <v>0</v>
      </c>
      <c r="K2771" s="5" t="str">
        <f t="shared" si="2771"/>
        <v>Rp0</v>
      </c>
      <c r="L2771" s="5" t="str">
        <f t="shared" si="3"/>
        <v>0</v>
      </c>
    </row>
    <row r="2772">
      <c r="A2772" s="6" t="s">
        <v>4052</v>
      </c>
      <c r="B2772" s="7" t="str">
        <f>HYPERLINK("https://shopee.co.id/Ariul-Watermelon-Hydro-Glow-Serum-55ml-i.30736001.11412281200", "https://shopee.co.id/Ariul-Watermelon-Hydro-Glow-Serum-55ml-i.30736001.11412281200")</f>
        <v>https://shopee.co.id/Ariul-Watermelon-Hydro-Glow-Serum-55ml-i.30736001.11412281200</v>
      </c>
      <c r="C2772" s="6" t="s">
        <v>2350</v>
      </c>
      <c r="D2772" s="6" t="s">
        <v>335</v>
      </c>
      <c r="E2772" s="6" t="s">
        <v>12</v>
      </c>
      <c r="F2772" s="6" t="s">
        <v>13</v>
      </c>
      <c r="G2772" s="6" t="s">
        <v>36</v>
      </c>
      <c r="H2772" s="8" t="s">
        <v>3981</v>
      </c>
      <c r="I2772" s="9">
        <v>0.0</v>
      </c>
      <c r="J2772" s="5" t="str">
        <f t="shared" ref="J2772:K2772" si="2772">SUBSTITUTE(H2772, ",", "")</f>
        <v>0</v>
      </c>
      <c r="K2772" s="5" t="str">
        <f t="shared" si="2772"/>
        <v>Rp0</v>
      </c>
      <c r="L2772" s="5" t="str">
        <f t="shared" si="3"/>
        <v>0</v>
      </c>
    </row>
    <row r="2773">
      <c r="A2773" s="6" t="s">
        <v>4053</v>
      </c>
      <c r="B2773" s="7" t="str">
        <f>HYPERLINK("https://shopee.co.id/Aromatica-Reviving-Rose-Infusion-Serum-100-ml-i.295368428.7546039030", "https://shopee.co.id/Aromatica-Reviving-Rose-Infusion-Serum-100-ml-i.295368428.7546039030")</f>
        <v>https://shopee.co.id/Aromatica-Reviving-Rose-Infusion-Serum-100-ml-i.295368428.7546039030</v>
      </c>
      <c r="C2773" s="6" t="s">
        <v>4054</v>
      </c>
      <c r="D2773" s="6" t="s">
        <v>4055</v>
      </c>
      <c r="E2773" s="6" t="s">
        <v>12</v>
      </c>
      <c r="F2773" s="6" t="s">
        <v>13</v>
      </c>
      <c r="G2773" s="6" t="s">
        <v>98</v>
      </c>
      <c r="H2773" s="8" t="s">
        <v>3981</v>
      </c>
      <c r="I2773" s="9">
        <v>0.0</v>
      </c>
      <c r="J2773" s="5" t="str">
        <f t="shared" ref="J2773:K2773" si="2773">SUBSTITUTE(H2773, ",", "")</f>
        <v>0</v>
      </c>
      <c r="K2773" s="5" t="str">
        <f t="shared" si="2773"/>
        <v>Rp0</v>
      </c>
      <c r="L2773" s="5" t="str">
        <f t="shared" si="3"/>
        <v>0</v>
      </c>
    </row>
    <row r="2774">
      <c r="A2774" s="6" t="s">
        <v>4056</v>
      </c>
      <c r="B2774" s="7" t="str">
        <f>HYPERLINK("https://shopee.co.id/Aromatica-Rose-Absolute-First-Serum-130ml-i.217228783.3414624490", "https://shopee.co.id/Aromatica-Rose-Absolute-First-Serum-130ml-i.217228783.3414624490")</f>
        <v>https://shopee.co.id/Aromatica-Rose-Absolute-First-Serum-130ml-i.217228783.3414624490</v>
      </c>
      <c r="C2774" s="6" t="s">
        <v>4054</v>
      </c>
      <c r="D2774" s="6" t="s">
        <v>4057</v>
      </c>
      <c r="E2774" s="6" t="s">
        <v>12</v>
      </c>
      <c r="F2774" s="6" t="s">
        <v>13</v>
      </c>
      <c r="G2774" s="6" t="s">
        <v>98</v>
      </c>
      <c r="H2774" s="8" t="s">
        <v>3981</v>
      </c>
      <c r="I2774" s="9">
        <v>0.0</v>
      </c>
      <c r="J2774" s="5" t="str">
        <f t="shared" ref="J2774:K2774" si="2774">SUBSTITUTE(H2774, ",", "")</f>
        <v>0</v>
      </c>
      <c r="K2774" s="5" t="str">
        <f t="shared" si="2774"/>
        <v>Rp0</v>
      </c>
      <c r="L2774" s="5" t="str">
        <f t="shared" si="3"/>
        <v>0</v>
      </c>
    </row>
    <row r="2775">
      <c r="A2775" s="6" t="s">
        <v>4058</v>
      </c>
      <c r="B2775" s="7" t="str">
        <f>HYPERLINK("https://shopee.co.id/ASTALIFT-ESSENCE-DESTINY-30-ML-i.104888237.5542163431", "https://shopee.co.id/ASTALIFT-ESSENCE-DESTINY-30-ML-i.104888237.5542163431")</f>
        <v>https://shopee.co.id/ASTALIFT-ESSENCE-DESTINY-30-ML-i.104888237.5542163431</v>
      </c>
      <c r="C2775" s="6" t="s">
        <v>1529</v>
      </c>
      <c r="D2775" s="6" t="s">
        <v>1530</v>
      </c>
      <c r="E2775" s="6" t="s">
        <v>12</v>
      </c>
      <c r="F2775" s="6" t="s">
        <v>13</v>
      </c>
      <c r="G2775" s="6" t="s">
        <v>61</v>
      </c>
      <c r="H2775" s="8" t="s">
        <v>3981</v>
      </c>
      <c r="I2775" s="9">
        <v>0.0</v>
      </c>
      <c r="J2775" s="5" t="str">
        <f t="shared" ref="J2775:K2775" si="2775">SUBSTITUTE(H2775, ",", "")</f>
        <v>0</v>
      </c>
      <c r="K2775" s="5" t="str">
        <f t="shared" si="2775"/>
        <v>Rp0</v>
      </c>
      <c r="L2775" s="5" t="str">
        <f t="shared" si="3"/>
        <v>0</v>
      </c>
    </row>
    <row r="2776">
      <c r="A2776" s="6" t="s">
        <v>4059</v>
      </c>
      <c r="B2776" s="7" t="str">
        <f>HYPERLINK("https://shopee.co.id/ASTALIFT-GIFT-SET-JELLY-AQUARYSTA-60-GR-INFOCUS-CELLATIVE-SERUM-30ML-i.104888237.3033603918", "https://shopee.co.id/ASTALIFT-GIFT-SET-JELLY-AQUARYSTA-60-GR-INFOCUS-CELLATIVE-SERUM-30ML-i.104888237.3033603918")</f>
        <v>https://shopee.co.id/ASTALIFT-GIFT-SET-JELLY-AQUARYSTA-60-GR-INFOCUS-CELLATIVE-SERUM-30ML-i.104888237.3033603918</v>
      </c>
      <c r="C2776" s="6" t="s">
        <v>1529</v>
      </c>
      <c r="D2776" s="6" t="s">
        <v>1530</v>
      </c>
      <c r="E2776" s="6" t="s">
        <v>12</v>
      </c>
      <c r="F2776" s="6" t="s">
        <v>13</v>
      </c>
      <c r="G2776" s="6" t="s">
        <v>61</v>
      </c>
      <c r="H2776" s="8" t="s">
        <v>3981</v>
      </c>
      <c r="I2776" s="9">
        <v>0.0</v>
      </c>
      <c r="J2776" s="5" t="str">
        <f t="shared" ref="J2776:K2776" si="2776">SUBSTITUTE(H2776, ",", "")</f>
        <v>0</v>
      </c>
      <c r="K2776" s="5" t="str">
        <f t="shared" si="2776"/>
        <v>Rp0</v>
      </c>
      <c r="L2776" s="5" t="str">
        <f t="shared" si="3"/>
        <v>0</v>
      </c>
    </row>
    <row r="2777">
      <c r="A2777" s="6" t="s">
        <v>4060</v>
      </c>
      <c r="B2777" s="7" t="str">
        <f>HYPERLINK("https://shopee.co.id/Aura-Bright-Glutathione-Vit-C-i.127215672.5062406085", "https://shopee.co.id/Aura-Bright-Glutathione-Vit-C-i.127215672.5062406085")</f>
        <v>https://shopee.co.id/Aura-Bright-Glutathione-Vit-C-i.127215672.5062406085</v>
      </c>
      <c r="C2777" s="6" t="s">
        <v>90</v>
      </c>
      <c r="D2777" s="6" t="s">
        <v>91</v>
      </c>
      <c r="E2777" s="6" t="s">
        <v>12</v>
      </c>
      <c r="F2777" s="6" t="s">
        <v>13</v>
      </c>
      <c r="G2777" s="6" t="s">
        <v>21</v>
      </c>
      <c r="H2777" s="8" t="s">
        <v>3981</v>
      </c>
      <c r="I2777" s="9">
        <v>0.0</v>
      </c>
      <c r="J2777" s="5" t="str">
        <f t="shared" ref="J2777:K2777" si="2777">SUBSTITUTE(H2777, ",", "")</f>
        <v>0</v>
      </c>
      <c r="K2777" s="5" t="str">
        <f t="shared" si="2777"/>
        <v>Rp0</v>
      </c>
      <c r="L2777" s="5" t="str">
        <f t="shared" si="3"/>
        <v>0</v>
      </c>
    </row>
    <row r="2778">
      <c r="A2778" s="6" t="s">
        <v>4061</v>
      </c>
      <c r="B2778" s="7" t="str">
        <f>HYPERLINK("https://shopee.co.id/Avoskin-Hydrating-Treatment-Essence-100-ml-i.53497038.7736326139", "https://shopee.co.id/Avoskin-Hydrating-Treatment-Essence-100-ml-i.53497038.7736326139")</f>
        <v>https://shopee.co.id/Avoskin-Hydrating-Treatment-Essence-100-ml-i.53497038.7736326139</v>
      </c>
      <c r="C2778" s="6" t="s">
        <v>83</v>
      </c>
      <c r="D2778" s="6" t="s">
        <v>907</v>
      </c>
      <c r="E2778" s="6" t="s">
        <v>12</v>
      </c>
      <c r="F2778" s="6" t="s">
        <v>13</v>
      </c>
      <c r="G2778" s="6" t="s">
        <v>61</v>
      </c>
      <c r="H2778" s="8" t="s">
        <v>3981</v>
      </c>
      <c r="I2778" s="9">
        <v>0.0</v>
      </c>
      <c r="J2778" s="5" t="str">
        <f t="shared" ref="J2778:K2778" si="2778">SUBSTITUTE(H2778, ",", "")</f>
        <v>0</v>
      </c>
      <c r="K2778" s="5" t="str">
        <f t="shared" si="2778"/>
        <v>Rp0</v>
      </c>
      <c r="L2778" s="5" t="str">
        <f t="shared" si="3"/>
        <v>0</v>
      </c>
    </row>
    <row r="2779">
      <c r="A2779" s="6" t="s">
        <v>4062</v>
      </c>
      <c r="B2779" s="7" t="str">
        <f>HYPERLINK("https://shopee.co.id/Avoskin-Hydrating-Treatment-Essence-Spray-New-Formula-i.136011044.3350775940", "https://shopee.co.id/Avoskin-Hydrating-Treatment-Essence-Spray-New-Formula-i.136011044.3350775940")</f>
        <v>https://shopee.co.id/Avoskin-Hydrating-Treatment-Essence-Spray-New-Formula-i.136011044.3350775940</v>
      </c>
      <c r="C2779" s="6" t="s">
        <v>83</v>
      </c>
      <c r="D2779" s="6" t="s">
        <v>632</v>
      </c>
      <c r="E2779" s="6" t="s">
        <v>12</v>
      </c>
      <c r="F2779" s="6" t="s">
        <v>13</v>
      </c>
      <c r="G2779" s="6" t="s">
        <v>21</v>
      </c>
      <c r="H2779" s="8" t="s">
        <v>3981</v>
      </c>
      <c r="I2779" s="9">
        <v>0.0</v>
      </c>
      <c r="J2779" s="5" t="str">
        <f t="shared" ref="J2779:K2779" si="2779">SUBSTITUTE(H2779, ",", "")</f>
        <v>0</v>
      </c>
      <c r="K2779" s="5" t="str">
        <f t="shared" si="2779"/>
        <v>Rp0</v>
      </c>
      <c r="L2779" s="5" t="str">
        <f t="shared" si="3"/>
        <v>0</v>
      </c>
    </row>
    <row r="2780">
      <c r="A2780" s="6" t="s">
        <v>4063</v>
      </c>
      <c r="B2780" s="7" t="str">
        <f>HYPERLINK("https://shopee.co.id/AVOSKIN-MIRACULOUS-REFINING-SERUM-30-ML-i.53497038.4336330840", "https://shopee.co.id/AVOSKIN-MIRACULOUS-REFINING-SERUM-30-ML-i.53497038.4336330840")</f>
        <v>https://shopee.co.id/AVOSKIN-MIRACULOUS-REFINING-SERUM-30-ML-i.53497038.4336330840</v>
      </c>
      <c r="C2780" s="6" t="s">
        <v>83</v>
      </c>
      <c r="D2780" s="6" t="s">
        <v>907</v>
      </c>
      <c r="E2780" s="6" t="s">
        <v>12</v>
      </c>
      <c r="F2780" s="6" t="s">
        <v>13</v>
      </c>
      <c r="G2780" s="6" t="s">
        <v>61</v>
      </c>
      <c r="H2780" s="8" t="s">
        <v>3981</v>
      </c>
      <c r="I2780" s="9">
        <v>0.0</v>
      </c>
      <c r="J2780" s="5" t="str">
        <f t="shared" ref="J2780:K2780" si="2780">SUBSTITUTE(H2780, ",", "")</f>
        <v>0</v>
      </c>
      <c r="K2780" s="5" t="str">
        <f t="shared" si="2780"/>
        <v>Rp0</v>
      </c>
      <c r="L2780" s="5" t="str">
        <f t="shared" si="3"/>
        <v>0</v>
      </c>
    </row>
    <row r="2781">
      <c r="A2781" s="6" t="s">
        <v>1036</v>
      </c>
      <c r="B2781" s="7" t="str">
        <f>HYPERLINK("https://shopee.co.id/Avoskin-Perfect-Hydrating-Treatment-Essence-i.446750719.6092438853", "https://shopee.co.id/Avoskin-Perfect-Hydrating-Treatment-Essence-i.446750719.6092438853")</f>
        <v>https://shopee.co.id/Avoskin-Perfect-Hydrating-Treatment-Essence-i.446750719.6092438853</v>
      </c>
      <c r="C2781" s="6" t="s">
        <v>83</v>
      </c>
      <c r="D2781" s="6" t="s">
        <v>4064</v>
      </c>
      <c r="E2781" s="6" t="s">
        <v>12</v>
      </c>
      <c r="F2781" s="6" t="s">
        <v>13</v>
      </c>
      <c r="G2781" s="6" t="s">
        <v>98</v>
      </c>
      <c r="H2781" s="8" t="s">
        <v>3981</v>
      </c>
      <c r="I2781" s="9">
        <v>0.0</v>
      </c>
      <c r="J2781" s="5" t="str">
        <f t="shared" ref="J2781:K2781" si="2781">SUBSTITUTE(H2781, ",", "")</f>
        <v>0</v>
      </c>
      <c r="K2781" s="5" t="str">
        <f t="shared" si="2781"/>
        <v>Rp0</v>
      </c>
      <c r="L2781" s="5" t="str">
        <f t="shared" si="3"/>
        <v>0</v>
      </c>
    </row>
    <row r="2782">
      <c r="A2782" s="6" t="s">
        <v>4065</v>
      </c>
      <c r="B2782" s="7" t="str">
        <f>HYPERLINK("https://shopee.co.id/Avoskin-Perfect-Hydrating-Treatment-Essence-100-ml-i.17081863.9315025195", "https://shopee.co.id/Avoskin-Perfect-Hydrating-Treatment-Essence-100-ml-i.17081863.9315025195")</f>
        <v>https://shopee.co.id/Avoskin-Perfect-Hydrating-Treatment-Essence-100-ml-i.17081863.9315025195</v>
      </c>
      <c r="C2782" s="6" t="s">
        <v>83</v>
      </c>
      <c r="D2782" s="6" t="s">
        <v>2497</v>
      </c>
      <c r="E2782" s="6" t="s">
        <v>12</v>
      </c>
      <c r="F2782" s="6" t="s">
        <v>13</v>
      </c>
      <c r="G2782" s="6" t="s">
        <v>21</v>
      </c>
      <c r="H2782" s="8" t="s">
        <v>3981</v>
      </c>
      <c r="I2782" s="9">
        <v>0.0</v>
      </c>
      <c r="J2782" s="5" t="str">
        <f t="shared" ref="J2782:K2782" si="2782">SUBSTITUTE(H2782, ",", "")</f>
        <v>0</v>
      </c>
      <c r="K2782" s="5" t="str">
        <f t="shared" si="2782"/>
        <v>Rp0</v>
      </c>
      <c r="L2782" s="5" t="str">
        <f t="shared" si="3"/>
        <v>0</v>
      </c>
    </row>
    <row r="2783">
      <c r="A2783" s="6" t="s">
        <v>4066</v>
      </c>
      <c r="B2783" s="7" t="str">
        <f>HYPERLINK("https://shopee.co.id/Avoskin-Perfect-Hydrating-Treatment-Essence-30-ml-i.53497038.5136327955", "https://shopee.co.id/Avoskin-Perfect-Hydrating-Treatment-Essence-30-ml-i.53497038.5136327955")</f>
        <v>https://shopee.co.id/Avoskin-Perfect-Hydrating-Treatment-Essence-30-ml-i.53497038.5136327955</v>
      </c>
      <c r="C2783" s="6" t="s">
        <v>83</v>
      </c>
      <c r="D2783" s="6" t="s">
        <v>907</v>
      </c>
      <c r="E2783" s="6" t="s">
        <v>12</v>
      </c>
      <c r="F2783" s="6" t="s">
        <v>13</v>
      </c>
      <c r="G2783" s="6" t="s">
        <v>61</v>
      </c>
      <c r="H2783" s="8" t="s">
        <v>3981</v>
      </c>
      <c r="I2783" s="9">
        <v>0.0</v>
      </c>
      <c r="J2783" s="5" t="str">
        <f t="shared" ref="J2783:K2783" si="2783">SUBSTITUTE(H2783, ",", "")</f>
        <v>0</v>
      </c>
      <c r="K2783" s="5" t="str">
        <f t="shared" si="2783"/>
        <v>Rp0</v>
      </c>
      <c r="L2783" s="5" t="str">
        <f t="shared" si="3"/>
        <v>0</v>
      </c>
    </row>
    <row r="2784">
      <c r="A2784" s="6" t="s">
        <v>4067</v>
      </c>
      <c r="B2784" s="7" t="str">
        <f>HYPERLINK("https://shopee.co.id/Avoskin-Serum-Miraculous-Refining-30-mL-i.65323877.3994868286", "https://shopee.co.id/Avoskin-Serum-Miraculous-Refining-30-mL-i.65323877.3994868286")</f>
        <v>https://shopee.co.id/Avoskin-Serum-Miraculous-Refining-30-mL-i.65323877.3994868286</v>
      </c>
      <c r="C2784" s="6" t="s">
        <v>83</v>
      </c>
      <c r="D2784" s="6" t="s">
        <v>1600</v>
      </c>
      <c r="E2784" s="6" t="s">
        <v>12</v>
      </c>
      <c r="F2784" s="6" t="s">
        <v>13</v>
      </c>
      <c r="G2784" s="6" t="s">
        <v>296</v>
      </c>
      <c r="H2784" s="8" t="s">
        <v>3981</v>
      </c>
      <c r="I2784" s="9">
        <v>0.0</v>
      </c>
      <c r="J2784" s="5" t="str">
        <f t="shared" ref="J2784:K2784" si="2784">SUBSTITUTE(H2784, ",", "")</f>
        <v>0</v>
      </c>
      <c r="K2784" s="5" t="str">
        <f t="shared" si="2784"/>
        <v>Rp0</v>
      </c>
      <c r="L2784" s="5" t="str">
        <f t="shared" si="3"/>
        <v>0</v>
      </c>
    </row>
    <row r="2785">
      <c r="A2785" s="6" t="s">
        <v>4068</v>
      </c>
      <c r="B2785" s="7" t="str">
        <f>HYPERLINK("https://shopee.co.id/Avoskin-Your-Skin-Bae-Panthenol-5-Mugwort-Cica-Barrier-Hero-Serum-i.154494405.9773112689", "https://shopee.co.id/Avoskin-Your-Skin-Bae-Panthenol-5-Mugwort-Cica-Barrier-Hero-Serum-i.154494405.9773112689")</f>
        <v>https://shopee.co.id/Avoskin-Your-Skin-Bae-Panthenol-5-Mugwort-Cica-Barrier-Hero-Serum-i.154494405.9773112689</v>
      </c>
      <c r="C2785" s="6" t="s">
        <v>83</v>
      </c>
      <c r="D2785" s="6" t="s">
        <v>84</v>
      </c>
      <c r="E2785" s="6" t="s">
        <v>12</v>
      </c>
      <c r="F2785" s="6" t="s">
        <v>13</v>
      </c>
      <c r="G2785" s="6" t="s">
        <v>85</v>
      </c>
      <c r="H2785" s="8" t="s">
        <v>3981</v>
      </c>
      <c r="I2785" s="9">
        <v>0.0</v>
      </c>
      <c r="J2785" s="5" t="str">
        <f t="shared" ref="J2785:K2785" si="2785">SUBSTITUTE(H2785, ",", "")</f>
        <v>0</v>
      </c>
      <c r="K2785" s="5" t="str">
        <f t="shared" si="2785"/>
        <v>Rp0</v>
      </c>
      <c r="L2785" s="5" t="str">
        <f t="shared" si="3"/>
        <v>0</v>
      </c>
    </row>
    <row r="2786">
      <c r="A2786" s="6" t="s">
        <v>4069</v>
      </c>
      <c r="B2786" s="7" t="str">
        <f>HYPERLINK("https://shopee.co.id/AVOSKIN-YOUR-SKIN-BAE-PANTHENOL-5-MUGWORT-CICA-SERUM-30-ML-i.50972887.9774837903", "https://shopee.co.id/AVOSKIN-YOUR-SKIN-BAE-PANTHENOL-5-MUGWORT-CICA-SERUM-30-ML-i.50972887.9774837903")</f>
        <v>https://shopee.co.id/AVOSKIN-YOUR-SKIN-BAE-PANTHENOL-5-MUGWORT-CICA-SERUM-30-ML-i.50972887.9774837903</v>
      </c>
      <c r="C2786" s="6" t="s">
        <v>83</v>
      </c>
      <c r="D2786" s="6" t="s">
        <v>552</v>
      </c>
      <c r="E2786" s="6" t="s">
        <v>12</v>
      </c>
      <c r="F2786" s="6" t="s">
        <v>13</v>
      </c>
      <c r="G2786" s="6" t="s">
        <v>61</v>
      </c>
      <c r="H2786" s="8" t="s">
        <v>3981</v>
      </c>
      <c r="I2786" s="9">
        <v>0.0</v>
      </c>
      <c r="J2786" s="5" t="str">
        <f t="shared" ref="J2786:K2786" si="2786">SUBSTITUTE(H2786, ",", "")</f>
        <v>0</v>
      </c>
      <c r="K2786" s="5" t="str">
        <f t="shared" si="2786"/>
        <v>Rp0</v>
      </c>
      <c r="L2786" s="5" t="str">
        <f t="shared" si="3"/>
        <v>0</v>
      </c>
    </row>
    <row r="2787">
      <c r="A2787" s="6" t="s">
        <v>4070</v>
      </c>
      <c r="B2787" s="7" t="str">
        <f>HYPERLINK("https://shopee.co.id/AVOSKIN-Your-Skin-Bae-Panthenol-5-Mugwort-Cica-Serum-30ml-i.270965687.8372992311", "https://shopee.co.id/AVOSKIN-Your-Skin-Bae-Panthenol-5-Mugwort-Cica-Serum-30ml-i.270965687.8372992311")</f>
        <v>https://shopee.co.id/AVOSKIN-Your-Skin-Bae-Panthenol-5-Mugwort-Cica-Serum-30ml-i.270965687.8372992311</v>
      </c>
      <c r="C2787" s="6" t="s">
        <v>83</v>
      </c>
      <c r="D2787" s="6" t="s">
        <v>379</v>
      </c>
      <c r="E2787" s="6" t="s">
        <v>12</v>
      </c>
      <c r="F2787" s="6" t="s">
        <v>13</v>
      </c>
      <c r="G2787" s="6" t="s">
        <v>380</v>
      </c>
      <c r="H2787" s="8" t="s">
        <v>3981</v>
      </c>
      <c r="I2787" s="9">
        <v>0.0</v>
      </c>
      <c r="J2787" s="5" t="str">
        <f t="shared" ref="J2787:K2787" si="2787">SUBSTITUTE(H2787, ",", "")</f>
        <v>0</v>
      </c>
      <c r="K2787" s="5" t="str">
        <f t="shared" si="2787"/>
        <v>Rp0</v>
      </c>
      <c r="L2787" s="5" t="str">
        <f t="shared" si="3"/>
        <v>0</v>
      </c>
    </row>
    <row r="2788">
      <c r="A2788" s="6" t="s">
        <v>178</v>
      </c>
      <c r="B2788" s="7" t="str">
        <f>HYPERLINK("https://shopee.co.id/Avoskin-Your-Skin-Bae-Vitamin-C-3-Niacinamide-2-Mandarin-Orange-Fruit-Extract-Serum-i.446750719.8370030688", "https://shopee.co.id/Avoskin-Your-Skin-Bae-Vitamin-C-3-Niacinamide-2-Mandarin-Orange-Fruit-Extract-Serum-i.446750719.8370030688")</f>
        <v>https://shopee.co.id/Avoskin-Your-Skin-Bae-Vitamin-C-3-Niacinamide-2-Mandarin-Orange-Fruit-Extract-Serum-i.446750719.8370030688</v>
      </c>
      <c r="C2788" s="6" t="s">
        <v>83</v>
      </c>
      <c r="D2788" s="6" t="s">
        <v>4064</v>
      </c>
      <c r="E2788" s="6" t="s">
        <v>12</v>
      </c>
      <c r="F2788" s="6" t="s">
        <v>13</v>
      </c>
      <c r="G2788" s="6" t="s">
        <v>98</v>
      </c>
      <c r="H2788" s="8" t="s">
        <v>3981</v>
      </c>
      <c r="I2788" s="9">
        <v>0.0</v>
      </c>
      <c r="J2788" s="5" t="str">
        <f t="shared" ref="J2788:K2788" si="2788">SUBSTITUTE(H2788, ",", "")</f>
        <v>0</v>
      </c>
      <c r="K2788" s="5" t="str">
        <f t="shared" si="2788"/>
        <v>Rp0</v>
      </c>
      <c r="L2788" s="5" t="str">
        <f t="shared" si="3"/>
        <v>0</v>
      </c>
    </row>
    <row r="2789">
      <c r="A2789" s="6" t="s">
        <v>709</v>
      </c>
      <c r="B2789" s="7" t="str">
        <f>HYPERLINK("https://shopee.co.id/Axis-Y-Dark-Spot-Correcting-Glow-Serum-i.47255270.8525868016", "https://shopee.co.id/Axis-Y-Dark-Spot-Correcting-Glow-Serum-i.47255270.8525868016")</f>
        <v>https://shopee.co.id/Axis-Y-Dark-Spot-Correcting-Glow-Serum-i.47255270.8525868016</v>
      </c>
      <c r="C2789" s="6" t="s">
        <v>710</v>
      </c>
      <c r="D2789" s="6" t="s">
        <v>1978</v>
      </c>
      <c r="E2789" s="6" t="s">
        <v>12</v>
      </c>
      <c r="F2789" s="6" t="s">
        <v>13</v>
      </c>
      <c r="G2789" s="6" t="s">
        <v>241</v>
      </c>
      <c r="H2789" s="8" t="s">
        <v>3981</v>
      </c>
      <c r="I2789" s="9">
        <v>0.0</v>
      </c>
      <c r="J2789" s="5" t="str">
        <f t="shared" ref="J2789:K2789" si="2789">SUBSTITUTE(H2789, ",", "")</f>
        <v>0</v>
      </c>
      <c r="K2789" s="5" t="str">
        <f t="shared" si="2789"/>
        <v>Rp0</v>
      </c>
      <c r="L2789" s="5" t="str">
        <f t="shared" si="3"/>
        <v>0</v>
      </c>
    </row>
    <row r="2790">
      <c r="A2790" s="6" t="s">
        <v>4071</v>
      </c>
      <c r="B2790" s="7" t="str">
        <f>HYPERLINK("https://shopee.co.id/Ayudya-lightening-firming-treatment-oil-i.16027211.4977364170", "https://shopee.co.id/Ayudya-lightening-firming-treatment-oil-i.16027211.4977364170")</f>
        <v>https://shopee.co.id/Ayudya-lightening-firming-treatment-oil-i.16027211.4977364170</v>
      </c>
      <c r="C2790" s="6" t="s">
        <v>4072</v>
      </c>
      <c r="D2790" s="6" t="s">
        <v>4073</v>
      </c>
      <c r="E2790" s="6" t="s">
        <v>12</v>
      </c>
      <c r="F2790" s="6" t="s">
        <v>13</v>
      </c>
      <c r="G2790" s="6" t="s">
        <v>21</v>
      </c>
      <c r="H2790" s="8" t="s">
        <v>3981</v>
      </c>
      <c r="I2790" s="9">
        <v>0.0</v>
      </c>
      <c r="J2790" s="5" t="str">
        <f t="shared" ref="J2790:K2790" si="2790">SUBSTITUTE(H2790, ",", "")</f>
        <v>0</v>
      </c>
      <c r="K2790" s="5" t="str">
        <f t="shared" si="2790"/>
        <v>Rp0</v>
      </c>
      <c r="L2790" s="5" t="str">
        <f t="shared" si="3"/>
        <v>0</v>
      </c>
    </row>
    <row r="2791">
      <c r="A2791" s="6" t="s">
        <v>4074</v>
      </c>
      <c r="B2791" s="7" t="str">
        <f>HYPERLINK("https://shopee.co.id/AZARINE-AQUA-ESSENCE-SUN-SHIELD-SERUM-SPF-50-PA-100ML-i.50972887.11508679449", "https://shopee.co.id/AZARINE-AQUA-ESSENCE-SUN-SHIELD-SERUM-SPF-50-PA-100ML-i.50972887.11508679449")</f>
        <v>https://shopee.co.id/AZARINE-AQUA-ESSENCE-SUN-SHIELD-SERUM-SPF-50-PA-100ML-i.50972887.11508679449</v>
      </c>
      <c r="C2791" s="6" t="s">
        <v>233</v>
      </c>
      <c r="D2791" s="6" t="s">
        <v>552</v>
      </c>
      <c r="E2791" s="6" t="s">
        <v>12</v>
      </c>
      <c r="F2791" s="6" t="s">
        <v>13</v>
      </c>
      <c r="G2791" s="6" t="s">
        <v>61</v>
      </c>
      <c r="H2791" s="8" t="s">
        <v>3981</v>
      </c>
      <c r="I2791" s="9">
        <v>0.0</v>
      </c>
      <c r="J2791" s="5" t="str">
        <f t="shared" ref="J2791:K2791" si="2791">SUBSTITUTE(H2791, ",", "")</f>
        <v>0</v>
      </c>
      <c r="K2791" s="5" t="str">
        <f t="shared" si="2791"/>
        <v>Rp0</v>
      </c>
      <c r="L2791" s="5" t="str">
        <f t="shared" si="3"/>
        <v>0</v>
      </c>
    </row>
    <row r="2792">
      <c r="A2792" s="6" t="s">
        <v>4075</v>
      </c>
      <c r="B2792" s="7" t="str">
        <f>HYPERLINK("https://shopee.co.id/Azarine-C-White-Lightening-Tone-Up-Body-Serum-100ml-i.30736001.9452402362", "https://shopee.co.id/Azarine-C-White-Lightening-Tone-Up-Body-Serum-100ml-i.30736001.9452402362")</f>
        <v>https://shopee.co.id/Azarine-C-White-Lightening-Tone-Up-Body-Serum-100ml-i.30736001.9452402362</v>
      </c>
      <c r="C2792" s="6" t="s">
        <v>233</v>
      </c>
      <c r="D2792" s="6" t="s">
        <v>335</v>
      </c>
      <c r="E2792" s="6" t="s">
        <v>12</v>
      </c>
      <c r="F2792" s="6" t="s">
        <v>13</v>
      </c>
      <c r="G2792" s="6" t="s">
        <v>36</v>
      </c>
      <c r="H2792" s="8" t="s">
        <v>3981</v>
      </c>
      <c r="I2792" s="9">
        <v>0.0</v>
      </c>
      <c r="J2792" s="5" t="str">
        <f t="shared" ref="J2792:K2792" si="2792">SUBSTITUTE(H2792, ",", "")</f>
        <v>0</v>
      </c>
      <c r="K2792" s="5" t="str">
        <f t="shared" si="2792"/>
        <v>Rp0</v>
      </c>
      <c r="L2792" s="5" t="str">
        <f t="shared" si="3"/>
        <v>0</v>
      </c>
    </row>
    <row r="2793">
      <c r="A2793" s="6" t="s">
        <v>888</v>
      </c>
      <c r="B2793" s="7" t="str">
        <f>HYPERLINK("https://shopee.co.id/Azarine-CBD-Hydraoxidant-Ampoule-40ml-i.10689.8746434028", "https://shopee.co.id/Azarine-CBD-Hydraoxidant-Ampoule-40ml-i.10689.8746434028")</f>
        <v>https://shopee.co.id/Azarine-CBD-Hydraoxidant-Ampoule-40ml-i.10689.8746434028</v>
      </c>
      <c r="C2793" s="6" t="s">
        <v>4076</v>
      </c>
      <c r="D2793" s="6" t="s">
        <v>745</v>
      </c>
      <c r="E2793" s="6" t="s">
        <v>12</v>
      </c>
      <c r="F2793" s="6" t="s">
        <v>13</v>
      </c>
      <c r="G2793" s="6" t="s">
        <v>61</v>
      </c>
      <c r="H2793" s="8" t="s">
        <v>3981</v>
      </c>
      <c r="I2793" s="9">
        <v>0.0</v>
      </c>
      <c r="J2793" s="5" t="str">
        <f t="shared" ref="J2793:K2793" si="2793">SUBSTITUTE(H2793, ",", "")</f>
        <v>0</v>
      </c>
      <c r="K2793" s="5" t="str">
        <f t="shared" si="2793"/>
        <v>Rp0</v>
      </c>
      <c r="L2793" s="5" t="str">
        <f t="shared" si="3"/>
        <v>0</v>
      </c>
    </row>
    <row r="2794">
      <c r="A2794" s="6" t="s">
        <v>4077</v>
      </c>
      <c r="B2794" s="7" t="str">
        <f>HYPERLINK("https://shopee.co.id/AZARINE-CBD-Hydraoxidant-Ampoule-40ml-i.68111.8236767954", "https://shopee.co.id/AZARINE-CBD-Hydraoxidant-Ampoule-40ml-i.68111.8236767954")</f>
        <v>https://shopee.co.id/AZARINE-CBD-Hydraoxidant-Ampoule-40ml-i.68111.8236767954</v>
      </c>
      <c r="C2794" s="6" t="s">
        <v>233</v>
      </c>
      <c r="D2794" s="6" t="s">
        <v>441</v>
      </c>
      <c r="E2794" s="6" t="s">
        <v>12</v>
      </c>
      <c r="F2794" s="6" t="s">
        <v>13</v>
      </c>
      <c r="G2794" s="6" t="s">
        <v>130</v>
      </c>
      <c r="H2794" s="8" t="s">
        <v>3981</v>
      </c>
      <c r="I2794" s="9">
        <v>0.0</v>
      </c>
      <c r="J2794" s="5" t="str">
        <f t="shared" ref="J2794:K2794" si="2794">SUBSTITUTE(H2794, ",", "")</f>
        <v>0</v>
      </c>
      <c r="K2794" s="5" t="str">
        <f t="shared" si="2794"/>
        <v>Rp0</v>
      </c>
      <c r="L2794" s="5" t="str">
        <f t="shared" si="3"/>
        <v>0</v>
      </c>
    </row>
    <row r="2795">
      <c r="A2795" s="6" t="s">
        <v>4078</v>
      </c>
      <c r="B2795" s="7" t="str">
        <f>HYPERLINK("https://shopee.co.id/Azarine-Vitamin-Lab-CBD-Hydraoxidant-Ampoule-40ml-i.825870.9129076218", "https://shopee.co.id/Azarine-Vitamin-Lab-CBD-Hydraoxidant-Ampoule-40ml-i.825870.9129076218")</f>
        <v>https://shopee.co.id/Azarine-Vitamin-Lab-CBD-Hydraoxidant-Ampoule-40ml-i.825870.9129076218</v>
      </c>
      <c r="C2795" s="6" t="s">
        <v>4076</v>
      </c>
      <c r="D2795" s="6" t="s">
        <v>1184</v>
      </c>
      <c r="E2795" s="6" t="s">
        <v>12</v>
      </c>
      <c r="F2795" s="6" t="s">
        <v>13</v>
      </c>
      <c r="G2795" s="6" t="s">
        <v>21</v>
      </c>
      <c r="H2795" s="8" t="s">
        <v>3981</v>
      </c>
      <c r="I2795" s="9">
        <v>0.0</v>
      </c>
      <c r="J2795" s="5" t="str">
        <f t="shared" ref="J2795:K2795" si="2795">SUBSTITUTE(H2795, ",", "")</f>
        <v>0</v>
      </c>
      <c r="K2795" s="5" t="str">
        <f t="shared" si="2795"/>
        <v>Rp0</v>
      </c>
      <c r="L2795" s="5" t="str">
        <f t="shared" si="3"/>
        <v>0</v>
      </c>
    </row>
    <row r="2796">
      <c r="A2796" s="6" t="s">
        <v>4079</v>
      </c>
      <c r="B2796" s="7" t="str">
        <f>HYPERLINK("https://shopee.co.id/Azrina-Brightening-Secret-Serum-with-Azrina-Diamond-Jelly-i.32101291.6285770486", "https://shopee.co.id/Azrina-Brightening-Secret-Serum-with-Azrina-Diamond-Jelly-i.32101291.6285770486")</f>
        <v>https://shopee.co.id/Azrina-Brightening-Secret-Serum-with-Azrina-Diamond-Jelly-i.32101291.6285770486</v>
      </c>
      <c r="C2796" s="6" t="s">
        <v>4080</v>
      </c>
      <c r="D2796" s="6" t="s">
        <v>1076</v>
      </c>
      <c r="E2796" s="6" t="s">
        <v>12</v>
      </c>
      <c r="F2796" s="6" t="s">
        <v>13</v>
      </c>
      <c r="G2796" s="6" t="s">
        <v>370</v>
      </c>
      <c r="H2796" s="8" t="s">
        <v>3981</v>
      </c>
      <c r="I2796" s="9">
        <v>0.0</v>
      </c>
      <c r="J2796" s="5" t="str">
        <f t="shared" ref="J2796:K2796" si="2796">SUBSTITUTE(H2796, ",", "")</f>
        <v>0</v>
      </c>
      <c r="K2796" s="5" t="str">
        <f t="shared" si="2796"/>
        <v>Rp0</v>
      </c>
      <c r="L2796" s="5" t="str">
        <f t="shared" si="3"/>
        <v>0</v>
      </c>
    </row>
    <row r="2797">
      <c r="A2797" s="6" t="s">
        <v>4081</v>
      </c>
      <c r="B2797" s="7" t="str">
        <f>HYPERLINK("https://shopee.co.id/Babor-Cleanformance-Moisture-Glow-Serum-30ml-i.131188140.9646321275", "https://shopee.co.id/Babor-Cleanformance-Moisture-Glow-Serum-30ml-i.131188140.9646321275")</f>
        <v>https://shopee.co.id/Babor-Cleanformance-Moisture-Glow-Serum-30ml-i.131188140.9646321275</v>
      </c>
      <c r="C2797" s="6" t="s">
        <v>1433</v>
      </c>
      <c r="D2797" s="6" t="s">
        <v>1434</v>
      </c>
      <c r="E2797" s="6" t="s">
        <v>12</v>
      </c>
      <c r="F2797" s="6" t="s">
        <v>13</v>
      </c>
      <c r="G2797" s="6" t="s">
        <v>61</v>
      </c>
      <c r="H2797" s="8" t="s">
        <v>3981</v>
      </c>
      <c r="I2797" s="9">
        <v>0.0</v>
      </c>
      <c r="J2797" s="5" t="str">
        <f t="shared" ref="J2797:K2797" si="2797">SUBSTITUTE(H2797, ",", "")</f>
        <v>0</v>
      </c>
      <c r="K2797" s="5" t="str">
        <f t="shared" si="2797"/>
        <v>Rp0</v>
      </c>
      <c r="L2797" s="5" t="str">
        <f t="shared" si="3"/>
        <v>0</v>
      </c>
    </row>
    <row r="2798">
      <c r="A2798" s="6" t="s">
        <v>4082</v>
      </c>
      <c r="B2798" s="7" t="str">
        <f>HYPERLINK("https://shopee.co.id/Babor-Dr-Babor-Ultimate-ECM-Repair-Serum-i.131188140.3538180025", "https://shopee.co.id/Babor-Dr-Babor-Ultimate-ECM-Repair-Serum-i.131188140.3538180025")</f>
        <v>https://shopee.co.id/Babor-Dr-Babor-Ultimate-ECM-Repair-Serum-i.131188140.3538180025</v>
      </c>
      <c r="C2798" s="6" t="s">
        <v>1433</v>
      </c>
      <c r="D2798" s="6" t="s">
        <v>1434</v>
      </c>
      <c r="E2798" s="6" t="s">
        <v>12</v>
      </c>
      <c r="F2798" s="6" t="s">
        <v>13</v>
      </c>
      <c r="G2798" s="6" t="s">
        <v>61</v>
      </c>
      <c r="H2798" s="8" t="s">
        <v>3981</v>
      </c>
      <c r="I2798" s="9">
        <v>0.0</v>
      </c>
      <c r="J2798" s="5" t="str">
        <f t="shared" ref="J2798:K2798" si="2798">SUBSTITUTE(H2798, ",", "")</f>
        <v>0</v>
      </c>
      <c r="K2798" s="5" t="str">
        <f t="shared" si="2798"/>
        <v>Rp0</v>
      </c>
      <c r="L2798" s="5" t="str">
        <f t="shared" si="3"/>
        <v>0</v>
      </c>
    </row>
    <row r="2799">
      <c r="A2799" s="6" t="s">
        <v>4083</v>
      </c>
      <c r="B2799" s="7" t="str">
        <f>HYPERLINK("https://shopee.co.id/BABOR-Refine-RX-Retinew-A16-i.131188140.7656717553", "https://shopee.co.id/BABOR-Refine-RX-Retinew-A16-i.131188140.7656717553")</f>
        <v>https://shopee.co.id/BABOR-Refine-RX-Retinew-A16-i.131188140.7656717553</v>
      </c>
      <c r="C2799" s="6" t="s">
        <v>1433</v>
      </c>
      <c r="D2799" s="6" t="s">
        <v>1434</v>
      </c>
      <c r="E2799" s="6" t="s">
        <v>12</v>
      </c>
      <c r="F2799" s="6" t="s">
        <v>13</v>
      </c>
      <c r="G2799" s="6" t="s">
        <v>61</v>
      </c>
      <c r="H2799" s="8" t="s">
        <v>3981</v>
      </c>
      <c r="I2799" s="9">
        <v>0.0</v>
      </c>
      <c r="J2799" s="5" t="str">
        <f t="shared" ref="J2799:K2799" si="2799">SUBSTITUTE(H2799, ",", "")</f>
        <v>0</v>
      </c>
      <c r="K2799" s="5" t="str">
        <f t="shared" si="2799"/>
        <v>Rp0</v>
      </c>
      <c r="L2799" s="5" t="str">
        <f t="shared" si="3"/>
        <v>0</v>
      </c>
    </row>
    <row r="2800">
      <c r="A2800" s="6" t="s">
        <v>4084</v>
      </c>
      <c r="B2800" s="7" t="str">
        <f>HYPERLINK("https://shopee.co.id/Babor-Reversive-Anti-Aging-Serum-30ml-i.131188140.6268416493", "https://shopee.co.id/Babor-Reversive-Anti-Aging-Serum-30ml-i.131188140.6268416493")</f>
        <v>https://shopee.co.id/Babor-Reversive-Anti-Aging-Serum-30ml-i.131188140.6268416493</v>
      </c>
      <c r="C2800" s="6" t="s">
        <v>1433</v>
      </c>
      <c r="D2800" s="6" t="s">
        <v>1434</v>
      </c>
      <c r="E2800" s="6" t="s">
        <v>12</v>
      </c>
      <c r="F2800" s="6" t="s">
        <v>13</v>
      </c>
      <c r="G2800" s="6" t="s">
        <v>61</v>
      </c>
      <c r="H2800" s="8" t="s">
        <v>3981</v>
      </c>
      <c r="I2800" s="9">
        <v>0.0</v>
      </c>
      <c r="J2800" s="5" t="str">
        <f t="shared" ref="J2800:K2800" si="2800">SUBSTITUTE(H2800, ",", "")</f>
        <v>0</v>
      </c>
      <c r="K2800" s="5" t="str">
        <f t="shared" si="2800"/>
        <v>Rp0</v>
      </c>
      <c r="L2800" s="5" t="str">
        <f t="shared" si="3"/>
        <v>0</v>
      </c>
    </row>
    <row r="2801">
      <c r="A2801" s="6" t="s">
        <v>4085</v>
      </c>
      <c r="B2801" s="7" t="str">
        <f>HYPERLINK("https://shopee.co.id/Babor-Skinovage-Balancing-Serum-30ml-i.131188140.4167445315", "https://shopee.co.id/Babor-Skinovage-Balancing-Serum-30ml-i.131188140.4167445315")</f>
        <v>https://shopee.co.id/Babor-Skinovage-Balancing-Serum-30ml-i.131188140.4167445315</v>
      </c>
      <c r="C2801" s="6" t="s">
        <v>1433</v>
      </c>
      <c r="D2801" s="6" t="s">
        <v>1434</v>
      </c>
      <c r="E2801" s="6" t="s">
        <v>12</v>
      </c>
      <c r="F2801" s="6" t="s">
        <v>13</v>
      </c>
      <c r="G2801" s="6" t="s">
        <v>61</v>
      </c>
      <c r="H2801" s="8" t="s">
        <v>3981</v>
      </c>
      <c r="I2801" s="9">
        <v>0.0</v>
      </c>
      <c r="J2801" s="5" t="str">
        <f t="shared" ref="J2801:K2801" si="2801">SUBSTITUTE(H2801, ",", "")</f>
        <v>0</v>
      </c>
      <c r="K2801" s="5" t="str">
        <f t="shared" si="2801"/>
        <v>Rp0</v>
      </c>
      <c r="L2801" s="5" t="str">
        <f t="shared" si="3"/>
        <v>0</v>
      </c>
    </row>
    <row r="2802">
      <c r="A2802" s="6" t="s">
        <v>4086</v>
      </c>
      <c r="B2802" s="7" t="str">
        <f>HYPERLINK("https://shopee.co.id/Babor-Skinovage-Vitalizing-Serum-30ml-i.131188140.7652645519", "https://shopee.co.id/Babor-Skinovage-Vitalizing-Serum-30ml-i.131188140.7652645519")</f>
        <v>https://shopee.co.id/Babor-Skinovage-Vitalizing-Serum-30ml-i.131188140.7652645519</v>
      </c>
      <c r="C2802" s="6" t="s">
        <v>1433</v>
      </c>
      <c r="D2802" s="6" t="s">
        <v>1434</v>
      </c>
      <c r="E2802" s="6" t="s">
        <v>12</v>
      </c>
      <c r="F2802" s="6" t="s">
        <v>13</v>
      </c>
      <c r="G2802" s="6" t="s">
        <v>61</v>
      </c>
      <c r="H2802" s="8" t="s">
        <v>3981</v>
      </c>
      <c r="I2802" s="9">
        <v>0.0</v>
      </c>
      <c r="J2802" s="5" t="str">
        <f t="shared" ref="J2802:K2802" si="2802">SUBSTITUTE(H2802, ",", "")</f>
        <v>0</v>
      </c>
      <c r="K2802" s="5" t="str">
        <f t="shared" si="2802"/>
        <v>Rp0</v>
      </c>
      <c r="L2802" s="5" t="str">
        <f t="shared" si="3"/>
        <v>0</v>
      </c>
    </row>
    <row r="2803">
      <c r="A2803" s="6" t="s">
        <v>4087</v>
      </c>
      <c r="B2803" s="7" t="str">
        <f>HYPERLINK("https://shopee.co.id/Babor-With-Love-The-Gold-Collection-7x2-ML-i.131188140.6241446865", "https://shopee.co.id/Babor-With-Love-The-Gold-Collection-7x2-ML-i.131188140.6241446865")</f>
        <v>https://shopee.co.id/Babor-With-Love-The-Gold-Collection-7x2-ML-i.131188140.6241446865</v>
      </c>
      <c r="C2803" s="6" t="s">
        <v>1433</v>
      </c>
      <c r="D2803" s="6" t="s">
        <v>1434</v>
      </c>
      <c r="E2803" s="6" t="s">
        <v>12</v>
      </c>
      <c r="F2803" s="6" t="s">
        <v>13</v>
      </c>
      <c r="G2803" s="6" t="s">
        <v>61</v>
      </c>
      <c r="H2803" s="8" t="s">
        <v>3981</v>
      </c>
      <c r="I2803" s="9">
        <v>0.0</v>
      </c>
      <c r="J2803" s="5" t="str">
        <f t="shared" ref="J2803:K2803" si="2803">SUBSTITUTE(H2803, ",", "")</f>
        <v>0</v>
      </c>
      <c r="K2803" s="5" t="str">
        <f t="shared" si="2803"/>
        <v>Rp0</v>
      </c>
      <c r="L2803" s="5" t="str">
        <f t="shared" si="3"/>
        <v>0</v>
      </c>
    </row>
    <row r="2804">
      <c r="A2804" s="6" t="s">
        <v>4088</v>
      </c>
      <c r="B2804" s="7" t="str">
        <f>HYPERLINK("https://shopee.co.id/BARRY-M-Glass-Gloss-Radiance-Serum-i.184864609.5639423983", "https://shopee.co.id/BARRY-M-Glass-Gloss-Radiance-Serum-i.184864609.5639423983")</f>
        <v>https://shopee.co.id/BARRY-M-Glass-Gloss-Radiance-Serum-i.184864609.5639423983</v>
      </c>
      <c r="C2804" s="6" t="s">
        <v>4089</v>
      </c>
      <c r="D2804" s="6" t="s">
        <v>4090</v>
      </c>
      <c r="E2804" s="6" t="s">
        <v>12</v>
      </c>
      <c r="F2804" s="6" t="s">
        <v>13</v>
      </c>
      <c r="G2804" s="6" t="s">
        <v>80</v>
      </c>
      <c r="H2804" s="8" t="s">
        <v>3981</v>
      </c>
      <c r="I2804" s="9">
        <v>0.0</v>
      </c>
      <c r="J2804" s="5" t="str">
        <f t="shared" ref="J2804:K2804" si="2804">SUBSTITUTE(H2804, ",", "")</f>
        <v>0</v>
      </c>
      <c r="K2804" s="5" t="str">
        <f t="shared" si="2804"/>
        <v>Rp0</v>
      </c>
      <c r="L2804" s="5" t="str">
        <f t="shared" si="3"/>
        <v>0</v>
      </c>
    </row>
    <row r="2805">
      <c r="A2805" s="6" t="s">
        <v>4091</v>
      </c>
      <c r="B2805" s="7" t="str">
        <f>HYPERLINK("https://shopee.co.id/Beautereine-Moonphase-Concentrated-Serum-20ml-i.825870.6937181754", "https://shopee.co.id/Beautereine-Moonphase-Concentrated-Serum-20ml-i.825870.6937181754")</f>
        <v>https://shopee.co.id/Beautereine-Moonphase-Concentrated-Serum-20ml-i.825870.6937181754</v>
      </c>
      <c r="C2805" s="6" t="s">
        <v>4092</v>
      </c>
      <c r="D2805" s="6" t="s">
        <v>1184</v>
      </c>
      <c r="E2805" s="6" t="s">
        <v>12</v>
      </c>
      <c r="F2805" s="6" t="s">
        <v>13</v>
      </c>
      <c r="G2805" s="6" t="s">
        <v>21</v>
      </c>
      <c r="H2805" s="8" t="s">
        <v>3981</v>
      </c>
      <c r="I2805" s="9">
        <v>0.0</v>
      </c>
      <c r="J2805" s="5" t="str">
        <f t="shared" ref="J2805:K2805" si="2805">SUBSTITUTE(H2805, ",", "")</f>
        <v>0</v>
      </c>
      <c r="K2805" s="5" t="str">
        <f t="shared" si="2805"/>
        <v>Rp0</v>
      </c>
      <c r="L2805" s="5" t="str">
        <f t="shared" si="3"/>
        <v>0</v>
      </c>
    </row>
    <row r="2806">
      <c r="A2806" s="6" t="s">
        <v>4093</v>
      </c>
      <c r="B2806" s="7" t="str">
        <f>HYPERLINK("https://shopee.co.id/BeautieSS-CC-Me-24-7-Booster-Serum-i.48098269.8328384742", "https://shopee.co.id/BeautieSS-CC-Me-24-7-Booster-Serum-i.48098269.8328384742")</f>
        <v>https://shopee.co.id/BeautieSS-CC-Me-24-7-Booster-Serum-i.48098269.8328384742</v>
      </c>
      <c r="C2806" s="6" t="s">
        <v>3165</v>
      </c>
      <c r="D2806" s="6" t="s">
        <v>3166</v>
      </c>
      <c r="E2806" s="6" t="s">
        <v>12</v>
      </c>
      <c r="F2806" s="6" t="s">
        <v>13</v>
      </c>
      <c r="G2806" s="6" t="s">
        <v>241</v>
      </c>
      <c r="H2806" s="8" t="s">
        <v>3981</v>
      </c>
      <c r="I2806" s="9">
        <v>0.0</v>
      </c>
      <c r="J2806" s="5" t="str">
        <f t="shared" ref="J2806:K2806" si="2806">SUBSTITUTE(H2806, ",", "")</f>
        <v>0</v>
      </c>
      <c r="K2806" s="5" t="str">
        <f t="shared" si="2806"/>
        <v>Rp0</v>
      </c>
      <c r="L2806" s="5" t="str">
        <f t="shared" si="3"/>
        <v>0</v>
      </c>
    </row>
    <row r="2807">
      <c r="A2807" s="6" t="s">
        <v>4094</v>
      </c>
      <c r="B2807" s="7" t="str">
        <f>HYPERLINK("https://shopee.co.id/Beauty-Barn-Mom-Night-Face-Treatment-30ml-i.43565817.1835792206", "https://shopee.co.id/Beauty-Barn-Mom-Night-Face-Treatment-30ml-i.43565817.1835792206")</f>
        <v>https://shopee.co.id/Beauty-Barn-Mom-Night-Face-Treatment-30ml-i.43565817.1835792206</v>
      </c>
      <c r="C2807" s="6" t="s">
        <v>4095</v>
      </c>
      <c r="D2807" s="6" t="s">
        <v>4096</v>
      </c>
      <c r="E2807" s="6" t="s">
        <v>12</v>
      </c>
      <c r="F2807" s="6" t="s">
        <v>13</v>
      </c>
      <c r="G2807" s="6" t="s">
        <v>36</v>
      </c>
      <c r="H2807" s="8" t="s">
        <v>3981</v>
      </c>
      <c r="I2807" s="9">
        <v>0.0</v>
      </c>
      <c r="J2807" s="5" t="str">
        <f t="shared" ref="J2807:K2807" si="2807">SUBSTITUTE(H2807, ",", "")</f>
        <v>0</v>
      </c>
      <c r="K2807" s="5" t="str">
        <f t="shared" si="2807"/>
        <v>Rp0</v>
      </c>
      <c r="L2807" s="5" t="str">
        <f t="shared" si="3"/>
        <v>0</v>
      </c>
    </row>
    <row r="2808">
      <c r="A2808" s="6" t="s">
        <v>4097</v>
      </c>
      <c r="B2808" s="7" t="str">
        <f>HYPERLINK("https://shopee.co.id/Beautybarme-Cosrx-Advanced-Snail-96-Mucin-Power-Essence-100Ml-i.28781862.3180573765", "https://shopee.co.id/Beautybarme-Cosrx-Advanced-Snail-96-Mucin-Power-Essence-100Ml-i.28781862.3180573765")</f>
        <v>https://shopee.co.id/Beautybarme-Cosrx-Advanced-Snail-96-Mucin-Power-Essence-100Ml-i.28781862.3180573765</v>
      </c>
      <c r="C2808" s="6" t="s">
        <v>305</v>
      </c>
      <c r="D2808" s="6" t="s">
        <v>1189</v>
      </c>
      <c r="E2808" s="6" t="s">
        <v>12</v>
      </c>
      <c r="F2808" s="6" t="s">
        <v>13</v>
      </c>
      <c r="G2808" s="6" t="s">
        <v>1190</v>
      </c>
      <c r="H2808" s="8" t="s">
        <v>3981</v>
      </c>
      <c r="I2808" s="9">
        <v>0.0</v>
      </c>
      <c r="J2808" s="5" t="str">
        <f t="shared" ref="J2808:K2808" si="2808">SUBSTITUTE(H2808, ",", "")</f>
        <v>0</v>
      </c>
      <c r="K2808" s="5" t="str">
        <f t="shared" si="2808"/>
        <v>Rp0</v>
      </c>
      <c r="L2808" s="5" t="str">
        <f t="shared" si="3"/>
        <v>0</v>
      </c>
    </row>
    <row r="2809">
      <c r="A2809" s="6" t="s">
        <v>4098</v>
      </c>
      <c r="B2809" s="7" t="str">
        <f>HYPERLINK("https://shopee.co.id/Beautybarme-Hanasui-Serum-Whitening-Gold-Vitamin-C-Collagen-Anti-Acne-20Ml-i.28781862.3884540370", "https://shopee.co.id/Beautybarme-Hanasui-Serum-Whitening-Gold-Vitamin-C-Collagen-Anti-Acne-20Ml-i.28781862.3884540370")</f>
        <v>https://shopee.co.id/Beautybarme-Hanasui-Serum-Whitening-Gold-Vitamin-C-Collagen-Anti-Acne-20Ml-i.28781862.3884540370</v>
      </c>
      <c r="C2809" s="6" t="s">
        <v>784</v>
      </c>
      <c r="D2809" s="6" t="s">
        <v>1189</v>
      </c>
      <c r="E2809" s="6" t="s">
        <v>12</v>
      </c>
      <c r="F2809" s="6" t="s">
        <v>13</v>
      </c>
      <c r="G2809" s="6" t="s">
        <v>1190</v>
      </c>
      <c r="H2809" s="8" t="s">
        <v>3981</v>
      </c>
      <c r="I2809" s="9">
        <v>0.0</v>
      </c>
      <c r="J2809" s="5" t="str">
        <f t="shared" ref="J2809:K2809" si="2809">SUBSTITUTE(H2809, ",", "")</f>
        <v>0</v>
      </c>
      <c r="K2809" s="5" t="str">
        <f t="shared" si="2809"/>
        <v>Rp0</v>
      </c>
      <c r="L2809" s="5" t="str">
        <f t="shared" si="3"/>
        <v>0</v>
      </c>
    </row>
    <row r="2810">
      <c r="A2810" s="6" t="s">
        <v>4099</v>
      </c>
      <c r="B2810" s="7" t="str">
        <f>HYPERLINK("https://shopee.co.id/Beautybarme-Somebymi-Galactomyces-Pure-Vit-C-Glow-Serum-Brightening-100-Original-i.28781862.3111613431", "https://shopee.co.id/Beautybarme-Somebymi-Galactomyces-Pure-Vit-C-Glow-Serum-Brightening-100-Original-i.28781862.3111613431")</f>
        <v>https://shopee.co.id/Beautybarme-Somebymi-Galactomyces-Pure-Vit-C-Glow-Serum-Brightening-100-Original-i.28781862.3111613431</v>
      </c>
      <c r="C2810" s="6" t="s">
        <v>213</v>
      </c>
      <c r="D2810" s="6" t="s">
        <v>1189</v>
      </c>
      <c r="E2810" s="6" t="s">
        <v>12</v>
      </c>
      <c r="F2810" s="6" t="s">
        <v>13</v>
      </c>
      <c r="G2810" s="6" t="s">
        <v>1190</v>
      </c>
      <c r="H2810" s="8" t="s">
        <v>3981</v>
      </c>
      <c r="I2810" s="9">
        <v>0.0</v>
      </c>
      <c r="J2810" s="5" t="str">
        <f t="shared" ref="J2810:K2810" si="2810">SUBSTITUTE(H2810, ",", "")</f>
        <v>0</v>
      </c>
      <c r="K2810" s="5" t="str">
        <f t="shared" si="2810"/>
        <v>Rp0</v>
      </c>
      <c r="L2810" s="5" t="str">
        <f t="shared" si="3"/>
        <v>0</v>
      </c>
    </row>
    <row r="2811">
      <c r="A2811" s="6" t="s">
        <v>4100</v>
      </c>
      <c r="B2811" s="7" t="str">
        <f>HYPERLINK("https://shopee.co.id/Benton-Deep-Green-Tea-Serum-30ml-i.270965687.2969771943", "https://shopee.co.id/Benton-Deep-Green-Tea-Serum-30ml-i.270965687.2969771943")</f>
        <v>https://shopee.co.id/Benton-Deep-Green-Tea-Serum-30ml-i.270965687.2969771943</v>
      </c>
      <c r="C2811" s="6" t="s">
        <v>456</v>
      </c>
      <c r="D2811" s="6" t="s">
        <v>379</v>
      </c>
      <c r="E2811" s="6" t="s">
        <v>12</v>
      </c>
      <c r="F2811" s="6" t="s">
        <v>13</v>
      </c>
      <c r="G2811" s="6" t="s">
        <v>380</v>
      </c>
      <c r="H2811" s="8" t="s">
        <v>3981</v>
      </c>
      <c r="I2811" s="9">
        <v>0.0</v>
      </c>
      <c r="J2811" s="5" t="str">
        <f t="shared" ref="J2811:K2811" si="2811">SUBSTITUTE(H2811, ",", "")</f>
        <v>0</v>
      </c>
      <c r="K2811" s="5" t="str">
        <f t="shared" si="2811"/>
        <v>Rp0</v>
      </c>
      <c r="L2811" s="5" t="str">
        <f t="shared" si="3"/>
        <v>0</v>
      </c>
    </row>
    <row r="2812">
      <c r="A2812" s="6" t="s">
        <v>4101</v>
      </c>
      <c r="B2812" s="7" t="str">
        <f>HYPERLINK("https://shopee.co.id/Benton-Fermentation-Essence-100ml-i.825870.2032926732", "https://shopee.co.id/Benton-Fermentation-Essence-100ml-i.825870.2032926732")</f>
        <v>https://shopee.co.id/Benton-Fermentation-Essence-100ml-i.825870.2032926732</v>
      </c>
      <c r="C2812" s="6" t="s">
        <v>456</v>
      </c>
      <c r="D2812" s="6" t="s">
        <v>1184</v>
      </c>
      <c r="E2812" s="6" t="s">
        <v>12</v>
      </c>
      <c r="F2812" s="6" t="s">
        <v>13</v>
      </c>
      <c r="G2812" s="6" t="s">
        <v>21</v>
      </c>
      <c r="H2812" s="8" t="s">
        <v>3981</v>
      </c>
      <c r="I2812" s="9">
        <v>0.0</v>
      </c>
      <c r="J2812" s="5" t="str">
        <f t="shared" ref="J2812:K2812" si="2812">SUBSTITUTE(H2812, ",", "")</f>
        <v>0</v>
      </c>
      <c r="K2812" s="5" t="str">
        <f t="shared" si="2812"/>
        <v>Rp0</v>
      </c>
      <c r="L2812" s="5" t="str">
        <f t="shared" si="3"/>
        <v>0</v>
      </c>
    </row>
    <row r="2813">
      <c r="A2813" s="6" t="s">
        <v>455</v>
      </c>
      <c r="B2813" s="7" t="str">
        <f>HYPERLINK("https://shopee.co.id/Benton-Snail-Bee-High-Content-Essence-60ml-i.10689.6559384776", "https://shopee.co.id/Benton-Snail-Bee-High-Content-Essence-60ml-i.10689.6559384776")</f>
        <v>https://shopee.co.id/Benton-Snail-Bee-High-Content-Essence-60ml-i.10689.6559384776</v>
      </c>
      <c r="C2813" s="6" t="s">
        <v>456</v>
      </c>
      <c r="D2813" s="6" t="s">
        <v>745</v>
      </c>
      <c r="E2813" s="6" t="s">
        <v>12</v>
      </c>
      <c r="F2813" s="6" t="s">
        <v>13</v>
      </c>
      <c r="G2813" s="6" t="s">
        <v>61</v>
      </c>
      <c r="H2813" s="8" t="s">
        <v>3981</v>
      </c>
      <c r="I2813" s="9">
        <v>0.0</v>
      </c>
      <c r="J2813" s="5" t="str">
        <f t="shared" ref="J2813:K2813" si="2813">SUBSTITUTE(H2813, ",", "")</f>
        <v>0</v>
      </c>
      <c r="K2813" s="5" t="str">
        <f t="shared" si="2813"/>
        <v>Rp0</v>
      </c>
      <c r="L2813" s="5" t="str">
        <f t="shared" si="3"/>
        <v>0</v>
      </c>
    </row>
    <row r="2814">
      <c r="A2814" s="6" t="s">
        <v>4102</v>
      </c>
      <c r="B2814" s="7" t="str">
        <f>HYPERLINK("https://shopee.co.id/BENTON-Snail-Bee-High-Content-Essence-Pelembab-Wajah-i.187117294.9634973123", "https://shopee.co.id/BENTON-Snail-Bee-High-Content-Essence-Pelembab-Wajah-i.187117294.9634973123")</f>
        <v>https://shopee.co.id/BENTON-Snail-Bee-High-Content-Essence-Pelembab-Wajah-i.187117294.9634973123</v>
      </c>
      <c r="C2814" s="6" t="s">
        <v>456</v>
      </c>
      <c r="D2814" s="6" t="s">
        <v>2366</v>
      </c>
      <c r="E2814" s="6" t="s">
        <v>12</v>
      </c>
      <c r="F2814" s="6" t="s">
        <v>13</v>
      </c>
      <c r="G2814" s="6" t="s">
        <v>469</v>
      </c>
      <c r="H2814" s="8" t="s">
        <v>3981</v>
      </c>
      <c r="I2814" s="9">
        <v>0.0</v>
      </c>
      <c r="J2814" s="5" t="str">
        <f t="shared" ref="J2814:K2814" si="2814">SUBSTITUTE(H2814, ",", "")</f>
        <v>0</v>
      </c>
      <c r="K2814" s="5" t="str">
        <f t="shared" si="2814"/>
        <v>Rp0</v>
      </c>
      <c r="L2814" s="5" t="str">
        <f t="shared" si="3"/>
        <v>0</v>
      </c>
    </row>
    <row r="2815">
      <c r="A2815" s="6" t="s">
        <v>4103</v>
      </c>
      <c r="B2815" s="7" t="str">
        <f>HYPERLINK("https://shopee.co.id/BENTON-snail-bee-ultimate-serum-35ml-i.187117294.8234988938", "https://shopee.co.id/BENTON-snail-bee-ultimate-serum-35ml-i.187117294.8234988938")</f>
        <v>https://shopee.co.id/BENTON-snail-bee-ultimate-serum-35ml-i.187117294.8234988938</v>
      </c>
      <c r="C2815" s="6" t="s">
        <v>456</v>
      </c>
      <c r="D2815" s="6" t="s">
        <v>2366</v>
      </c>
      <c r="E2815" s="6" t="s">
        <v>12</v>
      </c>
      <c r="F2815" s="6" t="s">
        <v>13</v>
      </c>
      <c r="G2815" s="6" t="s">
        <v>469</v>
      </c>
      <c r="H2815" s="8" t="s">
        <v>3981</v>
      </c>
      <c r="I2815" s="9">
        <v>0.0</v>
      </c>
      <c r="J2815" s="5" t="str">
        <f t="shared" ref="J2815:K2815" si="2815">SUBSTITUTE(H2815, ",", "")</f>
        <v>0</v>
      </c>
      <c r="K2815" s="5" t="str">
        <f t="shared" si="2815"/>
        <v>Rp0</v>
      </c>
      <c r="L2815" s="5" t="str">
        <f t="shared" si="3"/>
        <v>0</v>
      </c>
    </row>
    <row r="2816">
      <c r="A2816" s="6" t="s">
        <v>2608</v>
      </c>
      <c r="B2816" s="7" t="str">
        <f>HYPERLINK("https://shopee.co.id/BENTON-Snail-Bee-Ultimate-Serum-35ml-i.68111.2138517148", "https://shopee.co.id/BENTON-Snail-Bee-Ultimate-Serum-35ml-i.68111.2138517148")</f>
        <v>https://shopee.co.id/BENTON-Snail-Bee-Ultimate-Serum-35ml-i.68111.2138517148</v>
      </c>
      <c r="C2816" s="6" t="s">
        <v>456</v>
      </c>
      <c r="D2816" s="6" t="s">
        <v>441</v>
      </c>
      <c r="E2816" s="6" t="s">
        <v>12</v>
      </c>
      <c r="F2816" s="6" t="s">
        <v>13</v>
      </c>
      <c r="G2816" s="6" t="s">
        <v>130</v>
      </c>
      <c r="H2816" s="8" t="s">
        <v>3981</v>
      </c>
      <c r="I2816" s="9">
        <v>0.0</v>
      </c>
      <c r="J2816" s="5" t="str">
        <f t="shared" ref="J2816:K2816" si="2816">SUBSTITUTE(H2816, ",", "")</f>
        <v>0</v>
      </c>
      <c r="K2816" s="5" t="str">
        <f t="shared" si="2816"/>
        <v>Rp0</v>
      </c>
      <c r="L2816" s="5" t="str">
        <f t="shared" si="3"/>
        <v>0</v>
      </c>
    </row>
    <row r="2817">
      <c r="A2817" s="6" t="s">
        <v>4104</v>
      </c>
      <c r="B2817" s="7" t="str">
        <f>HYPERLINK("https://shopee.co.id/Bhumi-Acid-Complex-Clearing-Serum-i.68111.4020385138", "https://shopee.co.id/Bhumi-Acid-Complex-Clearing-Serum-i.68111.4020385138")</f>
        <v>https://shopee.co.id/Bhumi-Acid-Complex-Clearing-Serum-i.68111.4020385138</v>
      </c>
      <c r="C2817" s="6" t="s">
        <v>753</v>
      </c>
      <c r="D2817" s="6" t="s">
        <v>441</v>
      </c>
      <c r="E2817" s="6" t="s">
        <v>12</v>
      </c>
      <c r="F2817" s="6" t="s">
        <v>13</v>
      </c>
      <c r="G2817" s="6" t="s">
        <v>130</v>
      </c>
      <c r="H2817" s="8" t="s">
        <v>3981</v>
      </c>
      <c r="I2817" s="9">
        <v>0.0</v>
      </c>
      <c r="J2817" s="5" t="str">
        <f t="shared" ref="J2817:K2817" si="2817">SUBSTITUTE(H2817, ",", "")</f>
        <v>0</v>
      </c>
      <c r="K2817" s="5" t="str">
        <f t="shared" si="2817"/>
        <v>Rp0</v>
      </c>
      <c r="L2817" s="5" t="str">
        <f t="shared" si="3"/>
        <v>0</v>
      </c>
    </row>
    <row r="2818">
      <c r="A2818" s="6" t="s">
        <v>4105</v>
      </c>
      <c r="B2818" s="7" t="str">
        <f>HYPERLINK("https://shopee.co.id/Bhumi-G-Alpine-Brightening-Serum-30ml-i.10689.4916067130", "https://shopee.co.id/Bhumi-G-Alpine-Brightening-Serum-30ml-i.10689.4916067130")</f>
        <v>https://shopee.co.id/Bhumi-G-Alpine-Brightening-Serum-30ml-i.10689.4916067130</v>
      </c>
      <c r="C2818" s="6" t="s">
        <v>753</v>
      </c>
      <c r="D2818" s="6" t="s">
        <v>745</v>
      </c>
      <c r="E2818" s="6" t="s">
        <v>12</v>
      </c>
      <c r="F2818" s="6" t="s">
        <v>13</v>
      </c>
      <c r="G2818" s="6" t="s">
        <v>61</v>
      </c>
      <c r="H2818" s="8" t="s">
        <v>3981</v>
      </c>
      <c r="I2818" s="9">
        <v>0.0</v>
      </c>
      <c r="J2818" s="5" t="str">
        <f t="shared" ref="J2818:K2818" si="2818">SUBSTITUTE(H2818, ",", "")</f>
        <v>0</v>
      </c>
      <c r="K2818" s="5" t="str">
        <f t="shared" si="2818"/>
        <v>Rp0</v>
      </c>
      <c r="L2818" s="5" t="str">
        <f t="shared" si="3"/>
        <v>0</v>
      </c>
    </row>
    <row r="2819">
      <c r="A2819" s="6" t="s">
        <v>4106</v>
      </c>
      <c r="B2819" s="7" t="str">
        <f>HYPERLINK("https://shopee.co.id/Bhumi-Overnight-Body-Serum-i.17081863.3755770861", "https://shopee.co.id/Bhumi-Overnight-Body-Serum-i.17081863.3755770861")</f>
        <v>https://shopee.co.id/Bhumi-Overnight-Body-Serum-i.17081863.3755770861</v>
      </c>
      <c r="C2819" s="6" t="s">
        <v>753</v>
      </c>
      <c r="D2819" s="6" t="s">
        <v>2497</v>
      </c>
      <c r="E2819" s="6" t="s">
        <v>12</v>
      </c>
      <c r="F2819" s="6" t="s">
        <v>13</v>
      </c>
      <c r="G2819" s="6" t="s">
        <v>21</v>
      </c>
      <c r="H2819" s="8" t="s">
        <v>3981</v>
      </c>
      <c r="I2819" s="9">
        <v>0.0</v>
      </c>
      <c r="J2819" s="5" t="str">
        <f t="shared" ref="J2819:K2819" si="2819">SUBSTITUTE(H2819, ",", "")</f>
        <v>0</v>
      </c>
      <c r="K2819" s="5" t="str">
        <f t="shared" si="2819"/>
        <v>Rp0</v>
      </c>
      <c r="L2819" s="5" t="str">
        <f t="shared" si="3"/>
        <v>0</v>
      </c>
    </row>
    <row r="2820">
      <c r="A2820" s="6" t="s">
        <v>4107</v>
      </c>
      <c r="B2820" s="7" t="str">
        <f>HYPERLINK("https://shopee.co.id/Bio-Beauty-Lab-Acne-Serum-Serum-Wajah-Jerawat-10-Ml-i.164238909.7767241204", "https://shopee.co.id/Bio-Beauty-Lab-Acne-Serum-Serum-Wajah-Jerawat-10-Ml-i.164238909.7767241204")</f>
        <v>https://shopee.co.id/Bio-Beauty-Lab-Acne-Serum-Serum-Wajah-Jerawat-10-Ml-i.164238909.7767241204</v>
      </c>
      <c r="C2820" s="6" t="s">
        <v>120</v>
      </c>
      <c r="D2820" s="6" t="s">
        <v>4108</v>
      </c>
      <c r="E2820" s="6" t="s">
        <v>12</v>
      </c>
      <c r="F2820" s="6" t="s">
        <v>13</v>
      </c>
      <c r="G2820" s="6" t="s">
        <v>350</v>
      </c>
      <c r="H2820" s="8" t="s">
        <v>3981</v>
      </c>
      <c r="I2820" s="9">
        <v>0.0</v>
      </c>
      <c r="J2820" s="5" t="str">
        <f t="shared" ref="J2820:K2820" si="2820">SUBSTITUTE(H2820, ",", "")</f>
        <v>0</v>
      </c>
      <c r="K2820" s="5" t="str">
        <f t="shared" si="2820"/>
        <v>Rp0</v>
      </c>
      <c r="L2820" s="5" t="str">
        <f t="shared" si="3"/>
        <v>0</v>
      </c>
    </row>
    <row r="2821">
      <c r="A2821" s="6" t="s">
        <v>4109</v>
      </c>
      <c r="B2821" s="7" t="str">
        <f>HYPERLINK("https://shopee.co.id/Bio-Beauty-Lab-Acne-Treatment-5ml-i.187117294.9578904685", "https://shopee.co.id/Bio-Beauty-Lab-Acne-Treatment-5ml-i.187117294.9578904685")</f>
        <v>https://shopee.co.id/Bio-Beauty-Lab-Acne-Treatment-5ml-i.187117294.9578904685</v>
      </c>
      <c r="C2821" s="6" t="s">
        <v>120</v>
      </c>
      <c r="D2821" s="6" t="s">
        <v>2366</v>
      </c>
      <c r="E2821" s="6" t="s">
        <v>12</v>
      </c>
      <c r="F2821" s="6" t="s">
        <v>13</v>
      </c>
      <c r="G2821" s="6" t="s">
        <v>469</v>
      </c>
      <c r="H2821" s="8" t="s">
        <v>3981</v>
      </c>
      <c r="I2821" s="9">
        <v>0.0</v>
      </c>
      <c r="J2821" s="5" t="str">
        <f t="shared" ref="J2821:K2821" si="2821">SUBSTITUTE(H2821, ",", "")</f>
        <v>0</v>
      </c>
      <c r="K2821" s="5" t="str">
        <f t="shared" si="2821"/>
        <v>Rp0</v>
      </c>
      <c r="L2821" s="5" t="str">
        <f t="shared" si="3"/>
        <v>0</v>
      </c>
    </row>
    <row r="2822">
      <c r="A2822" s="6" t="s">
        <v>4110</v>
      </c>
      <c r="B2822" s="7" t="str">
        <f>HYPERLINK("https://shopee.co.id/Bio-Essence-24K-Gold-Double-Serum-36-g-i.186214521.3404628700", "https://shopee.co.id/Bio-Essence-24K-Gold-Double-Serum-36-g-i.186214521.3404628700")</f>
        <v>https://shopee.co.id/Bio-Essence-24K-Gold-Double-Serum-36-g-i.186214521.3404628700</v>
      </c>
      <c r="C2822" s="6" t="s">
        <v>1254</v>
      </c>
      <c r="D2822" s="6" t="s">
        <v>2293</v>
      </c>
      <c r="E2822" s="6" t="s">
        <v>12</v>
      </c>
      <c r="F2822" s="6" t="s">
        <v>13</v>
      </c>
      <c r="G2822" s="6" t="s">
        <v>61</v>
      </c>
      <c r="H2822" s="8" t="s">
        <v>3981</v>
      </c>
      <c r="I2822" s="9">
        <v>0.0</v>
      </c>
      <c r="J2822" s="5" t="str">
        <f t="shared" ref="J2822:K2822" si="2822">SUBSTITUTE(H2822, ",", "")</f>
        <v>0</v>
      </c>
      <c r="K2822" s="5" t="str">
        <f t="shared" si="2822"/>
        <v>Rp0</v>
      </c>
      <c r="L2822" s="5" t="str">
        <f t="shared" si="3"/>
        <v>0</v>
      </c>
    </row>
    <row r="2823">
      <c r="A2823" s="6" t="s">
        <v>4111</v>
      </c>
      <c r="B2823" s="7" t="str">
        <f>HYPERLINK("https://shopee.co.id/Bio-Essence-24K-Gold-Night-Cream-40-g-i.186214521.3416895190", "https://shopee.co.id/Bio-Essence-24K-Gold-Night-Cream-40-g-i.186214521.3416895190")</f>
        <v>https://shopee.co.id/Bio-Essence-24K-Gold-Night-Cream-40-g-i.186214521.3416895190</v>
      </c>
      <c r="C2823" s="6" t="s">
        <v>1254</v>
      </c>
      <c r="D2823" s="6" t="s">
        <v>2293</v>
      </c>
      <c r="E2823" s="6" t="s">
        <v>12</v>
      </c>
      <c r="F2823" s="6" t="s">
        <v>13</v>
      </c>
      <c r="G2823" s="6" t="s">
        <v>61</v>
      </c>
      <c r="H2823" s="8" t="s">
        <v>3981</v>
      </c>
      <c r="I2823" s="9">
        <v>0.0</v>
      </c>
      <c r="J2823" s="5" t="str">
        <f t="shared" ref="J2823:K2823" si="2823">SUBSTITUTE(H2823, ",", "")</f>
        <v>0</v>
      </c>
      <c r="K2823" s="5" t="str">
        <f t="shared" si="2823"/>
        <v>Rp0</v>
      </c>
      <c r="L2823" s="5" t="str">
        <f t="shared" si="3"/>
        <v>0</v>
      </c>
    </row>
    <row r="2824">
      <c r="A2824" s="6" t="s">
        <v>4112</v>
      </c>
      <c r="B2824" s="7" t="str">
        <f>HYPERLINK("https://shopee.co.id/Bio-Essence-Bio-Bounce-Collagen-Essence-Cream-50-Gr-i.30736001.4036309928", "https://shopee.co.id/Bio-Essence-Bio-Bounce-Collagen-Essence-Cream-50-Gr-i.30736001.4036309928")</f>
        <v>https://shopee.co.id/Bio-Essence-Bio-Bounce-Collagen-Essence-Cream-50-Gr-i.30736001.4036309928</v>
      </c>
      <c r="C2824" s="6" t="s">
        <v>1254</v>
      </c>
      <c r="D2824" s="6" t="s">
        <v>335</v>
      </c>
      <c r="E2824" s="6" t="s">
        <v>12</v>
      </c>
      <c r="F2824" s="6" t="s">
        <v>13</v>
      </c>
      <c r="G2824" s="6" t="s">
        <v>36</v>
      </c>
      <c r="H2824" s="8" t="s">
        <v>3981</v>
      </c>
      <c r="I2824" s="9">
        <v>0.0</v>
      </c>
      <c r="J2824" s="5" t="str">
        <f t="shared" ref="J2824:K2824" si="2824">SUBSTITUTE(H2824, ",", "")</f>
        <v>0</v>
      </c>
      <c r="K2824" s="5" t="str">
        <f t="shared" si="2824"/>
        <v>Rp0</v>
      </c>
      <c r="L2824" s="5" t="str">
        <f t="shared" si="3"/>
        <v>0</v>
      </c>
    </row>
    <row r="2825">
      <c r="A2825" s="6" t="s">
        <v>4113</v>
      </c>
      <c r="B2825" s="7" t="str">
        <f>HYPERLINK("https://shopee.co.id/Bio-Essence-Bio-Energizing-Water-100ml-i.186214521.7831366802", "https://shopee.co.id/Bio-Essence-Bio-Energizing-Water-100ml-i.186214521.7831366802")</f>
        <v>https://shopee.co.id/Bio-Essence-Bio-Energizing-Water-100ml-i.186214521.7831366802</v>
      </c>
      <c r="C2825" s="6" t="s">
        <v>1254</v>
      </c>
      <c r="D2825" s="6" t="s">
        <v>2293</v>
      </c>
      <c r="E2825" s="6" t="s">
        <v>12</v>
      </c>
      <c r="F2825" s="6" t="s">
        <v>13</v>
      </c>
      <c r="G2825" s="6" t="s">
        <v>61</v>
      </c>
      <c r="H2825" s="8" t="s">
        <v>3981</v>
      </c>
      <c r="I2825" s="9">
        <v>0.0</v>
      </c>
      <c r="J2825" s="5" t="str">
        <f t="shared" ref="J2825:K2825" si="2825">SUBSTITUTE(H2825, ",", "")</f>
        <v>0</v>
      </c>
      <c r="K2825" s="5" t="str">
        <f t="shared" si="2825"/>
        <v>Rp0</v>
      </c>
      <c r="L2825" s="5" t="str">
        <f t="shared" si="3"/>
        <v>0</v>
      </c>
    </row>
    <row r="2826">
      <c r="A2826" s="6" t="s">
        <v>4114</v>
      </c>
      <c r="B2826" s="7" t="str">
        <f>HYPERLINK("https://shopee.co.id/Bio-Essence-Bio-Treatment-Essence-In-Oil-60-ml-i.65323877.11219475684", "https://shopee.co.id/Bio-Essence-Bio-Treatment-Essence-In-Oil-60-ml-i.65323877.11219475684")</f>
        <v>https://shopee.co.id/Bio-Essence-Bio-Treatment-Essence-In-Oil-60-ml-i.65323877.11219475684</v>
      </c>
      <c r="C2826" s="6" t="s">
        <v>1254</v>
      </c>
      <c r="D2826" s="6" t="s">
        <v>1600</v>
      </c>
      <c r="E2826" s="6" t="s">
        <v>12</v>
      </c>
      <c r="F2826" s="6" t="s">
        <v>13</v>
      </c>
      <c r="G2826" s="6" t="s">
        <v>296</v>
      </c>
      <c r="H2826" s="8" t="s">
        <v>3981</v>
      </c>
      <c r="I2826" s="9">
        <v>0.0</v>
      </c>
      <c r="J2826" s="5" t="str">
        <f t="shared" ref="J2826:K2826" si="2826">SUBSTITUTE(H2826, ",", "")</f>
        <v>0</v>
      </c>
      <c r="K2826" s="5" t="str">
        <f t="shared" si="2826"/>
        <v>Rp0</v>
      </c>
      <c r="L2826" s="5" t="str">
        <f t="shared" si="3"/>
        <v>0</v>
      </c>
    </row>
    <row r="2827">
      <c r="A2827" s="6" t="s">
        <v>4115</v>
      </c>
      <c r="B2827" s="7" t="str">
        <f>HYPERLINK("https://shopee.co.id/Bio-Essence-Bio-White-Advanced-Whitening-Day-Cream-SPF20-i.30736001.4187980512", "https://shopee.co.id/Bio-Essence-Bio-White-Advanced-Whitening-Day-Cream-SPF20-i.30736001.4187980512")</f>
        <v>https://shopee.co.id/Bio-Essence-Bio-White-Advanced-Whitening-Day-Cream-SPF20-i.30736001.4187980512</v>
      </c>
      <c r="C2827" s="6" t="s">
        <v>1254</v>
      </c>
      <c r="D2827" s="6" t="s">
        <v>335</v>
      </c>
      <c r="E2827" s="6" t="s">
        <v>12</v>
      </c>
      <c r="F2827" s="6" t="s">
        <v>13</v>
      </c>
      <c r="G2827" s="6" t="s">
        <v>36</v>
      </c>
      <c r="H2827" s="8" t="s">
        <v>3981</v>
      </c>
      <c r="I2827" s="9">
        <v>0.0</v>
      </c>
      <c r="J2827" s="5" t="str">
        <f t="shared" ref="J2827:K2827" si="2827">SUBSTITUTE(H2827, ",", "")</f>
        <v>0</v>
      </c>
      <c r="K2827" s="5" t="str">
        <f t="shared" si="2827"/>
        <v>Rp0</v>
      </c>
      <c r="L2827" s="5" t="str">
        <f t="shared" si="3"/>
        <v>0</v>
      </c>
    </row>
    <row r="2828">
      <c r="A2828" s="6" t="s">
        <v>4116</v>
      </c>
      <c r="B2828" s="7" t="str">
        <f>HYPERLINK("https://shopee.co.id/Bio-Essence-Bio-White-Advanced-Whitening-Serum-30ml-i.10689.1905168313", "https://shopee.co.id/Bio-Essence-Bio-White-Advanced-Whitening-Serum-30ml-i.10689.1905168313")</f>
        <v>https://shopee.co.id/Bio-Essence-Bio-White-Advanced-Whitening-Serum-30ml-i.10689.1905168313</v>
      </c>
      <c r="C2828" s="6" t="s">
        <v>1254</v>
      </c>
      <c r="D2828" s="6" t="s">
        <v>745</v>
      </c>
      <c r="E2828" s="6" t="s">
        <v>12</v>
      </c>
      <c r="F2828" s="6" t="s">
        <v>13</v>
      </c>
      <c r="G2828" s="6" t="s">
        <v>61</v>
      </c>
      <c r="H2828" s="8" t="s">
        <v>3981</v>
      </c>
      <c r="I2828" s="9">
        <v>0.0</v>
      </c>
      <c r="J2828" s="5" t="str">
        <f t="shared" ref="J2828:K2828" si="2828">SUBSTITUTE(H2828, ",", "")</f>
        <v>0</v>
      </c>
      <c r="K2828" s="5" t="str">
        <f t="shared" si="2828"/>
        <v>Rp0</v>
      </c>
      <c r="L2828" s="5" t="str">
        <f t="shared" si="3"/>
        <v>0</v>
      </c>
    </row>
    <row r="2829">
      <c r="A2829" s="6" t="s">
        <v>4117</v>
      </c>
      <c r="B2829" s="7" t="str">
        <f>HYPERLINK("https://shopee.co.id/Bio-Essence-Bio-White-Tanaka-Advanced-Whitening-Night-Cream-50gr-i.30736001.6236312024", "https://shopee.co.id/Bio-Essence-Bio-White-Tanaka-Advanced-Whitening-Night-Cream-50gr-i.30736001.6236312024")</f>
        <v>https://shopee.co.id/Bio-Essence-Bio-White-Tanaka-Advanced-Whitening-Night-Cream-50gr-i.30736001.6236312024</v>
      </c>
      <c r="C2829" s="6" t="s">
        <v>1254</v>
      </c>
      <c r="D2829" s="6" t="s">
        <v>335</v>
      </c>
      <c r="E2829" s="6" t="s">
        <v>12</v>
      </c>
      <c r="F2829" s="6" t="s">
        <v>13</v>
      </c>
      <c r="G2829" s="6" t="s">
        <v>36</v>
      </c>
      <c r="H2829" s="8" t="s">
        <v>3981</v>
      </c>
      <c r="I2829" s="9">
        <v>0.0</v>
      </c>
      <c r="J2829" s="5" t="str">
        <f t="shared" ref="J2829:K2829" si="2829">SUBSTITUTE(H2829, ",", "")</f>
        <v>0</v>
      </c>
      <c r="K2829" s="5" t="str">
        <f t="shared" si="2829"/>
        <v>Rp0</v>
      </c>
      <c r="L2829" s="5" t="str">
        <f t="shared" si="3"/>
        <v>0</v>
      </c>
    </row>
    <row r="2830">
      <c r="A2830" s="6" t="s">
        <v>4118</v>
      </c>
      <c r="B2830" s="7" t="str">
        <f>HYPERLINK("https://shopee.co.id/Bio-Essence-Bio-Gold-Double-Serum-36g-i.30736001.7487527384", "https://shopee.co.id/Bio-Essence-Bio-Gold-Double-Serum-36g-i.30736001.7487527384")</f>
        <v>https://shopee.co.id/Bio-Essence-Bio-Gold-Double-Serum-36g-i.30736001.7487527384</v>
      </c>
      <c r="C2830" s="6" t="s">
        <v>834</v>
      </c>
      <c r="D2830" s="6" t="s">
        <v>335</v>
      </c>
      <c r="E2830" s="6" t="s">
        <v>12</v>
      </c>
      <c r="F2830" s="6" t="s">
        <v>13</v>
      </c>
      <c r="G2830" s="6" t="s">
        <v>36</v>
      </c>
      <c r="H2830" s="8" t="s">
        <v>3981</v>
      </c>
      <c r="I2830" s="9">
        <v>0.0</v>
      </c>
      <c r="J2830" s="5" t="str">
        <f t="shared" ref="J2830:K2830" si="2830">SUBSTITUTE(H2830, ",", "")</f>
        <v>0</v>
      </c>
      <c r="K2830" s="5" t="str">
        <f t="shared" si="2830"/>
        <v>Rp0</v>
      </c>
      <c r="L2830" s="5" t="str">
        <f t="shared" si="3"/>
        <v>0</v>
      </c>
    </row>
    <row r="2831">
      <c r="A2831" s="6" t="s">
        <v>4119</v>
      </c>
      <c r="B2831" s="7" t="str">
        <f>HYPERLINK("https://shopee.co.id/Bio-Essence-Bio-Gold-Gold-Water-100-ml-Twinpack-Special-i.63822287.8938789916", "https://shopee.co.id/Bio-Essence-Bio-Gold-Gold-Water-100-ml-Twinpack-Special-i.63822287.8938789916")</f>
        <v>https://shopee.co.id/Bio-Essence-Bio-Gold-Gold-Water-100-ml-Twinpack-Special-i.63822287.8938789916</v>
      </c>
      <c r="C2831" s="6" t="s">
        <v>834</v>
      </c>
      <c r="D2831" s="6" t="s">
        <v>835</v>
      </c>
      <c r="E2831" s="6" t="s">
        <v>12</v>
      </c>
      <c r="F2831" s="6" t="s">
        <v>13</v>
      </c>
      <c r="G2831" s="6" t="s">
        <v>61</v>
      </c>
      <c r="H2831" s="8" t="s">
        <v>3981</v>
      </c>
      <c r="I2831" s="9">
        <v>0.0</v>
      </c>
      <c r="J2831" s="5" t="str">
        <f t="shared" ref="J2831:K2831" si="2831">SUBSTITUTE(H2831, ",", "")</f>
        <v>0</v>
      </c>
      <c r="K2831" s="5" t="str">
        <f t="shared" si="2831"/>
        <v>Rp0</v>
      </c>
      <c r="L2831" s="5" t="str">
        <f t="shared" si="3"/>
        <v>0</v>
      </c>
    </row>
    <row r="2832">
      <c r="A2832" s="6" t="s">
        <v>1165</v>
      </c>
      <c r="B2832" s="7" t="str">
        <f>HYPERLINK("https://shopee.co.id/Bio-Essence-Bio-Gold-Gold-Water-30-ml-Bio-Essence-Bio-Gold-Radiance-Cleanser-100-gr-i.65323877.8879906080", "https://shopee.co.id/Bio-Essence-Bio-Gold-Gold-Water-30-ml-Bio-Essence-Bio-Gold-Radiance-Cleanser-100-gr-i.65323877.8879906080")</f>
        <v>https://shopee.co.id/Bio-Essence-Bio-Gold-Gold-Water-30-ml-Bio-Essence-Bio-Gold-Radiance-Cleanser-100-gr-i.65323877.8879906080</v>
      </c>
      <c r="C2832" s="6" t="s">
        <v>834</v>
      </c>
      <c r="D2832" s="6" t="s">
        <v>1600</v>
      </c>
      <c r="E2832" s="6" t="s">
        <v>12</v>
      </c>
      <c r="F2832" s="6" t="s">
        <v>13</v>
      </c>
      <c r="G2832" s="6" t="s">
        <v>296</v>
      </c>
      <c r="H2832" s="8" t="s">
        <v>3981</v>
      </c>
      <c r="I2832" s="9">
        <v>0.0</v>
      </c>
      <c r="J2832" s="5" t="str">
        <f t="shared" ref="J2832:K2832" si="2832">SUBSTITUTE(H2832, ",", "")</f>
        <v>0</v>
      </c>
      <c r="K2832" s="5" t="str">
        <f t="shared" si="2832"/>
        <v>Rp0</v>
      </c>
      <c r="L2832" s="5" t="str">
        <f t="shared" si="3"/>
        <v>0</v>
      </c>
    </row>
    <row r="2833">
      <c r="A2833" s="6" t="s">
        <v>4120</v>
      </c>
      <c r="B2833" s="7" t="str">
        <f>HYPERLINK("https://shopee.co.id/Bio-Essence-Bio-Gold-Night-Cream-40-gr-i.30736001.3737123193", "https://shopee.co.id/Bio-Essence-Bio-Gold-Night-Cream-40-gr-i.30736001.3737123193")</f>
        <v>https://shopee.co.id/Bio-Essence-Bio-Gold-Night-Cream-40-gr-i.30736001.3737123193</v>
      </c>
      <c r="C2833" s="6" t="s">
        <v>834</v>
      </c>
      <c r="D2833" s="6" t="s">
        <v>335</v>
      </c>
      <c r="E2833" s="6" t="s">
        <v>12</v>
      </c>
      <c r="F2833" s="6" t="s">
        <v>13</v>
      </c>
      <c r="G2833" s="6" t="s">
        <v>36</v>
      </c>
      <c r="H2833" s="8" t="s">
        <v>3981</v>
      </c>
      <c r="I2833" s="9">
        <v>0.0</v>
      </c>
      <c r="J2833" s="5" t="str">
        <f t="shared" ref="J2833:K2833" si="2833">SUBSTITUTE(H2833, ",", "")</f>
        <v>0</v>
      </c>
      <c r="K2833" s="5" t="str">
        <f t="shared" si="2833"/>
        <v>Rp0</v>
      </c>
      <c r="L2833" s="5" t="str">
        <f t="shared" si="3"/>
        <v>0</v>
      </c>
    </row>
    <row r="2834">
      <c r="A2834" s="6" t="s">
        <v>4121</v>
      </c>
      <c r="B2834" s="7" t="str">
        <f>HYPERLINK("https://shopee.co.id/Bio-Essence-Bio-Gold-Rose-Gold-Water-100-ml-i.63822287.9823466498", "https://shopee.co.id/Bio-Essence-Bio-Gold-Rose-Gold-Water-100-ml-i.63822287.9823466498")</f>
        <v>https://shopee.co.id/Bio-Essence-Bio-Gold-Rose-Gold-Water-100-ml-i.63822287.9823466498</v>
      </c>
      <c r="C2834" s="6" t="s">
        <v>1688</v>
      </c>
      <c r="D2834" s="6" t="s">
        <v>835</v>
      </c>
      <c r="E2834" s="6" t="s">
        <v>12</v>
      </c>
      <c r="F2834" s="6" t="s">
        <v>13</v>
      </c>
      <c r="G2834" s="6" t="s">
        <v>61</v>
      </c>
      <c r="H2834" s="8" t="s">
        <v>3981</v>
      </c>
      <c r="I2834" s="9">
        <v>0.0</v>
      </c>
      <c r="J2834" s="5" t="str">
        <f t="shared" ref="J2834:K2834" si="2834">SUBSTITUTE(H2834, ",", "")</f>
        <v>0</v>
      </c>
      <c r="K2834" s="5" t="str">
        <f t="shared" si="2834"/>
        <v>Rp0</v>
      </c>
      <c r="L2834" s="5" t="str">
        <f t="shared" si="3"/>
        <v>0</v>
      </c>
    </row>
    <row r="2835">
      <c r="A2835" s="6" t="s">
        <v>4122</v>
      </c>
      <c r="B2835" s="7" t="str">
        <f>HYPERLINK("https://shopee.co.id/Bio-Essence-Bio-Renew-Foamy-Cleanser-100gr-i.186214521.6331717164", "https://shopee.co.id/Bio-Essence-Bio-Renew-Foamy-Cleanser-100gr-i.186214521.6331717164")</f>
        <v>https://shopee.co.id/Bio-Essence-Bio-Renew-Foamy-Cleanser-100gr-i.186214521.6331717164</v>
      </c>
      <c r="C2835" s="6" t="s">
        <v>1254</v>
      </c>
      <c r="D2835" s="6" t="s">
        <v>2293</v>
      </c>
      <c r="E2835" s="6" t="s">
        <v>12</v>
      </c>
      <c r="F2835" s="6" t="s">
        <v>13</v>
      </c>
      <c r="G2835" s="6" t="s">
        <v>61</v>
      </c>
      <c r="H2835" s="8" t="s">
        <v>3981</v>
      </c>
      <c r="I2835" s="9">
        <v>0.0</v>
      </c>
      <c r="J2835" s="5" t="str">
        <f t="shared" ref="J2835:K2835" si="2835">SUBSTITUTE(H2835, ",", "")</f>
        <v>0</v>
      </c>
      <c r="K2835" s="5" t="str">
        <f t="shared" si="2835"/>
        <v>Rp0</v>
      </c>
      <c r="L2835" s="5" t="str">
        <f t="shared" si="3"/>
        <v>0</v>
      </c>
    </row>
    <row r="2836">
      <c r="A2836" s="6" t="s">
        <v>4123</v>
      </c>
      <c r="B2836" s="7" t="str">
        <f>HYPERLINK("https://shopee.co.id/Bio-Essence-Bounce-Collagen-Essence-30ml-i.186214521.3327945403", "https://shopee.co.id/Bio-Essence-Bounce-Collagen-Essence-30ml-i.186214521.3327945403")</f>
        <v>https://shopee.co.id/Bio-Essence-Bounce-Collagen-Essence-30ml-i.186214521.3327945403</v>
      </c>
      <c r="C2836" s="6" t="s">
        <v>1254</v>
      </c>
      <c r="D2836" s="6" t="s">
        <v>2293</v>
      </c>
      <c r="E2836" s="6" t="s">
        <v>12</v>
      </c>
      <c r="F2836" s="6" t="s">
        <v>13</v>
      </c>
      <c r="G2836" s="6" t="s">
        <v>61</v>
      </c>
      <c r="H2836" s="8" t="s">
        <v>3981</v>
      </c>
      <c r="I2836" s="9">
        <v>0.0</v>
      </c>
      <c r="J2836" s="5" t="str">
        <f t="shared" ref="J2836:K2836" si="2836">SUBSTITUTE(H2836, ",", "")</f>
        <v>0</v>
      </c>
      <c r="K2836" s="5" t="str">
        <f t="shared" si="2836"/>
        <v>Rp0</v>
      </c>
      <c r="L2836" s="5" t="str">
        <f t="shared" si="3"/>
        <v>0</v>
      </c>
    </row>
    <row r="2837">
      <c r="A2837" s="6" t="s">
        <v>4124</v>
      </c>
      <c r="B2837" s="7" t="str">
        <f>HYPERLINK("https://shopee.co.id/Bio-Essence-Gold-Water-15-ml-i.30736001.5537027075", "https://shopee.co.id/Bio-Essence-Gold-Water-15-ml-i.30736001.5537027075")</f>
        <v>https://shopee.co.id/Bio-Essence-Gold-Water-15-ml-i.30736001.5537027075</v>
      </c>
      <c r="C2837" s="6" t="s">
        <v>1254</v>
      </c>
      <c r="D2837" s="6" t="s">
        <v>335</v>
      </c>
      <c r="E2837" s="6" t="s">
        <v>12</v>
      </c>
      <c r="F2837" s="6" t="s">
        <v>13</v>
      </c>
      <c r="G2837" s="6" t="s">
        <v>36</v>
      </c>
      <c r="H2837" s="8" t="s">
        <v>3981</v>
      </c>
      <c r="I2837" s="9">
        <v>0.0</v>
      </c>
      <c r="J2837" s="5" t="str">
        <f t="shared" ref="J2837:K2837" si="2837">SUBSTITUTE(H2837, ",", "")</f>
        <v>0</v>
      </c>
      <c r="K2837" s="5" t="str">
        <f t="shared" si="2837"/>
        <v>Rp0</v>
      </c>
      <c r="L2837" s="5" t="str">
        <f t="shared" si="3"/>
        <v>0</v>
      </c>
    </row>
    <row r="2838">
      <c r="A2838" s="6" t="s">
        <v>4125</v>
      </c>
      <c r="B2838" s="7" t="str">
        <f>HYPERLINK("https://shopee.co.id/Bio-Essence-Renew-Royal-Jelly-Nourishing-Ton-i.30736001.6937506791", "https://shopee.co.id/Bio-Essence-Renew-Royal-Jelly-Nourishing-Ton-i.30736001.6937506791")</f>
        <v>https://shopee.co.id/Bio-Essence-Renew-Royal-Jelly-Nourishing-Ton-i.30736001.6937506791</v>
      </c>
      <c r="C2838" s="6" t="s">
        <v>1254</v>
      </c>
      <c r="D2838" s="6" t="s">
        <v>335</v>
      </c>
      <c r="E2838" s="6" t="s">
        <v>12</v>
      </c>
      <c r="F2838" s="6" t="s">
        <v>13</v>
      </c>
      <c r="G2838" s="6" t="s">
        <v>36</v>
      </c>
      <c r="H2838" s="8" t="s">
        <v>3981</v>
      </c>
      <c r="I2838" s="9">
        <v>0.0</v>
      </c>
      <c r="J2838" s="5" t="str">
        <f t="shared" ref="J2838:K2838" si="2838">SUBSTITUTE(H2838, ",", "")</f>
        <v>0</v>
      </c>
      <c r="K2838" s="5" t="str">
        <f t="shared" si="2838"/>
        <v>Rp0</v>
      </c>
      <c r="L2838" s="5" t="str">
        <f t="shared" si="3"/>
        <v>0</v>
      </c>
    </row>
    <row r="2839">
      <c r="A2839" s="6" t="s">
        <v>4126</v>
      </c>
      <c r="B2839" s="7" t="str">
        <f>HYPERLINK("https://shopee.co.id/BIO-ESSENCE-Bio-White-Day-Cream-50g-i.68111.2134415398", "https://shopee.co.id/BIO-ESSENCE-Bio-White-Day-Cream-50g-i.68111.2134415398")</f>
        <v>https://shopee.co.id/BIO-ESSENCE-Bio-White-Day-Cream-50g-i.68111.2134415398</v>
      </c>
      <c r="C2839" s="6" t="s">
        <v>1254</v>
      </c>
      <c r="D2839" s="6" t="s">
        <v>441</v>
      </c>
      <c r="E2839" s="6" t="s">
        <v>12</v>
      </c>
      <c r="F2839" s="6" t="s">
        <v>13</v>
      </c>
      <c r="G2839" s="6" t="s">
        <v>130</v>
      </c>
      <c r="H2839" s="8" t="s">
        <v>3981</v>
      </c>
      <c r="I2839" s="9">
        <v>0.0</v>
      </c>
      <c r="J2839" s="5" t="str">
        <f t="shared" ref="J2839:K2839" si="2839">SUBSTITUTE(H2839, ",", "")</f>
        <v>0</v>
      </c>
      <c r="K2839" s="5" t="str">
        <f t="shared" si="2839"/>
        <v>Rp0</v>
      </c>
      <c r="L2839" s="5" t="str">
        <f t="shared" si="3"/>
        <v>0</v>
      </c>
    </row>
    <row r="2840">
      <c r="A2840" s="6" t="s">
        <v>4127</v>
      </c>
      <c r="B2840" s="7" t="str">
        <f>HYPERLINK("https://shopee.co.id/BIO-ESSENCE-Bio-White-Night-Cream-50g-i.68111.2134410314", "https://shopee.co.id/BIO-ESSENCE-Bio-White-Night-Cream-50g-i.68111.2134410314")</f>
        <v>https://shopee.co.id/BIO-ESSENCE-Bio-White-Night-Cream-50g-i.68111.2134410314</v>
      </c>
      <c r="C2840" s="6" t="s">
        <v>1254</v>
      </c>
      <c r="D2840" s="6" t="s">
        <v>441</v>
      </c>
      <c r="E2840" s="6" t="s">
        <v>12</v>
      </c>
      <c r="F2840" s="6" t="s">
        <v>13</v>
      </c>
      <c r="G2840" s="6" t="s">
        <v>130</v>
      </c>
      <c r="H2840" s="8" t="s">
        <v>3981</v>
      </c>
      <c r="I2840" s="9">
        <v>0.0</v>
      </c>
      <c r="J2840" s="5" t="str">
        <f t="shared" ref="J2840:K2840" si="2840">SUBSTITUTE(H2840, ",", "")</f>
        <v>0</v>
      </c>
      <c r="K2840" s="5" t="str">
        <f t="shared" si="2840"/>
        <v>Rp0</v>
      </c>
      <c r="L2840" s="5" t="str">
        <f t="shared" si="3"/>
        <v>0</v>
      </c>
    </row>
    <row r="2841">
      <c r="A2841" s="6" t="s">
        <v>4128</v>
      </c>
      <c r="B2841" s="7" t="str">
        <f>HYPERLINK("https://shopee.co.id/BIO-ESSENCE-Bio-Vlift-Face-Lifting-Cream-Nourishing-45g-i.68111.2134418264", "https://shopee.co.id/BIO-ESSENCE-Bio-Vlift-Face-Lifting-Cream-Nourishing-45g-i.68111.2134418264")</f>
        <v>https://shopee.co.id/BIO-ESSENCE-Bio-Vlift-Face-Lifting-Cream-Nourishing-45g-i.68111.2134418264</v>
      </c>
      <c r="C2841" s="6" t="s">
        <v>1254</v>
      </c>
      <c r="D2841" s="6" t="s">
        <v>441</v>
      </c>
      <c r="E2841" s="6" t="s">
        <v>12</v>
      </c>
      <c r="F2841" s="6" t="s">
        <v>13</v>
      </c>
      <c r="G2841" s="6" t="s">
        <v>130</v>
      </c>
      <c r="H2841" s="8" t="s">
        <v>3981</v>
      </c>
      <c r="I2841" s="9">
        <v>0.0</v>
      </c>
      <c r="J2841" s="5" t="str">
        <f t="shared" ref="J2841:K2841" si="2841">SUBSTITUTE(H2841, ",", "")</f>
        <v>0</v>
      </c>
      <c r="K2841" s="5" t="str">
        <f t="shared" si="2841"/>
        <v>Rp0</v>
      </c>
      <c r="L2841" s="5" t="str">
        <f t="shared" si="3"/>
        <v>0</v>
      </c>
    </row>
    <row r="2842">
      <c r="A2842" s="6" t="s">
        <v>4129</v>
      </c>
      <c r="B2842" s="7" t="str">
        <f>HYPERLINK("https://shopee.co.id/BIO-ESSENCE-Bio-White-Advanced-Whitening-Cleanser-100g-i.68111.2305191162", "https://shopee.co.id/BIO-ESSENCE-Bio-White-Advanced-Whitening-Cleanser-100g-i.68111.2305191162")</f>
        <v>https://shopee.co.id/BIO-ESSENCE-Bio-White-Advanced-Whitening-Cleanser-100g-i.68111.2305191162</v>
      </c>
      <c r="C2842" s="6" t="s">
        <v>1254</v>
      </c>
      <c r="D2842" s="6" t="s">
        <v>441</v>
      </c>
      <c r="E2842" s="6" t="s">
        <v>12</v>
      </c>
      <c r="F2842" s="6" t="s">
        <v>13</v>
      </c>
      <c r="G2842" s="6" t="s">
        <v>130</v>
      </c>
      <c r="H2842" s="8" t="s">
        <v>3981</v>
      </c>
      <c r="I2842" s="9">
        <v>0.0</v>
      </c>
      <c r="J2842" s="5" t="str">
        <f t="shared" ref="J2842:K2842" si="2842">SUBSTITUTE(H2842, ",", "")</f>
        <v>0</v>
      </c>
      <c r="K2842" s="5" t="str">
        <f t="shared" si="2842"/>
        <v>Rp0</v>
      </c>
      <c r="L2842" s="5" t="str">
        <f t="shared" si="3"/>
        <v>0</v>
      </c>
    </row>
    <row r="2843">
      <c r="A2843" s="6" t="s">
        <v>4130</v>
      </c>
      <c r="B2843" s="7" t="str">
        <f>HYPERLINK("https://shopee.co.id/BIO-ESSENCE-Bio-White-Advanced-Whitening-Serum-30ml-i.68111.2304964216", "https://shopee.co.id/BIO-ESSENCE-Bio-White-Advanced-Whitening-Serum-30ml-i.68111.2304964216")</f>
        <v>https://shopee.co.id/BIO-ESSENCE-Bio-White-Advanced-Whitening-Serum-30ml-i.68111.2304964216</v>
      </c>
      <c r="C2843" s="6" t="s">
        <v>1254</v>
      </c>
      <c r="D2843" s="6" t="s">
        <v>441</v>
      </c>
      <c r="E2843" s="6" t="s">
        <v>12</v>
      </c>
      <c r="F2843" s="6" t="s">
        <v>13</v>
      </c>
      <c r="G2843" s="6" t="s">
        <v>130</v>
      </c>
      <c r="H2843" s="8" t="s">
        <v>3981</v>
      </c>
      <c r="I2843" s="9">
        <v>0.0</v>
      </c>
      <c r="J2843" s="5" t="str">
        <f t="shared" ref="J2843:K2843" si="2843">SUBSTITUTE(H2843, ",", "")</f>
        <v>0</v>
      </c>
      <c r="K2843" s="5" t="str">
        <f t="shared" si="2843"/>
        <v>Rp0</v>
      </c>
      <c r="L2843" s="5" t="str">
        <f t="shared" si="3"/>
        <v>0</v>
      </c>
    </row>
    <row r="2844">
      <c r="A2844" s="6" t="s">
        <v>4131</v>
      </c>
      <c r="B2844" s="7" t="str">
        <f>HYPERLINK("https://shopee.co.id/BIOAQUA-Serum-Wajah-Emas-24K-Gold-Skin-Brightening-Serum-Essence-30Ml-i.297682305.3981184130", "https://shopee.co.id/BIOAQUA-Serum-Wajah-Emas-24K-Gold-Skin-Brightening-Serum-Essence-30Ml-i.297682305.3981184130")</f>
        <v>https://shopee.co.id/BIOAQUA-Serum-Wajah-Emas-24K-Gold-Skin-Brightening-Serum-Essence-30Ml-i.297682305.3981184130</v>
      </c>
      <c r="C2844" s="6" t="s">
        <v>1744</v>
      </c>
      <c r="D2844" s="6" t="s">
        <v>1745</v>
      </c>
      <c r="E2844" s="6" t="s">
        <v>12</v>
      </c>
      <c r="F2844" s="6" t="s">
        <v>13</v>
      </c>
      <c r="G2844" s="6" t="s">
        <v>61</v>
      </c>
      <c r="H2844" s="8" t="s">
        <v>3981</v>
      </c>
      <c r="I2844" s="9">
        <v>0.0</v>
      </c>
      <c r="J2844" s="5" t="str">
        <f t="shared" ref="J2844:K2844" si="2844">SUBSTITUTE(H2844, ",", "")</f>
        <v>0</v>
      </c>
      <c r="K2844" s="5" t="str">
        <f t="shared" si="2844"/>
        <v>Rp0</v>
      </c>
      <c r="L2844" s="5" t="str">
        <f t="shared" si="3"/>
        <v>0</v>
      </c>
    </row>
    <row r="2845">
      <c r="A2845" s="6" t="s">
        <v>4132</v>
      </c>
      <c r="B2845" s="7" t="str">
        <f>HYPERLINK("https://shopee.co.id/Biokos-Botu-Like-Wrinkle-Filling-Serum-i.34904037.1007588530", "https://shopee.co.id/Biokos-Botu-Like-Wrinkle-Filling-Serum-i.34904037.1007588530")</f>
        <v>https://shopee.co.id/Biokos-Botu-Like-Wrinkle-Filling-Serum-i.34904037.1007588530</v>
      </c>
      <c r="C2845" s="6" t="s">
        <v>1873</v>
      </c>
      <c r="D2845" s="6" t="s">
        <v>1874</v>
      </c>
      <c r="E2845" s="6" t="s">
        <v>12</v>
      </c>
      <c r="F2845" s="6" t="s">
        <v>13</v>
      </c>
      <c r="G2845" s="6" t="s">
        <v>469</v>
      </c>
      <c r="H2845" s="8" t="s">
        <v>3981</v>
      </c>
      <c r="I2845" s="9">
        <v>0.0</v>
      </c>
      <c r="J2845" s="5" t="str">
        <f t="shared" ref="J2845:K2845" si="2845">SUBSTITUTE(H2845, ",", "")</f>
        <v>0</v>
      </c>
      <c r="K2845" s="5" t="str">
        <f t="shared" si="2845"/>
        <v>Rp0</v>
      </c>
      <c r="L2845" s="5" t="str">
        <f t="shared" si="3"/>
        <v>0</v>
      </c>
    </row>
    <row r="2846">
      <c r="A2846" s="6" t="s">
        <v>4133</v>
      </c>
      <c r="B2846" s="7" t="str">
        <f>HYPERLINK("https://shopee.co.id/Biyu-HA-Serum-15ml-i.825870.5138688329", "https://shopee.co.id/Biyu-HA-Serum-15ml-i.825870.5138688329")</f>
        <v>https://shopee.co.id/Biyu-HA-Serum-15ml-i.825870.5138688329</v>
      </c>
      <c r="C2846" s="6" t="s">
        <v>2112</v>
      </c>
      <c r="D2846" s="6" t="s">
        <v>1184</v>
      </c>
      <c r="E2846" s="6" t="s">
        <v>12</v>
      </c>
      <c r="F2846" s="6" t="s">
        <v>13</v>
      </c>
      <c r="G2846" s="6" t="s">
        <v>98</v>
      </c>
      <c r="H2846" s="8" t="s">
        <v>3981</v>
      </c>
      <c r="I2846" s="9">
        <v>0.0</v>
      </c>
      <c r="J2846" s="5" t="str">
        <f t="shared" ref="J2846:K2846" si="2846">SUBSTITUTE(H2846, ",", "")</f>
        <v>0</v>
      </c>
      <c r="K2846" s="5" t="str">
        <f t="shared" si="2846"/>
        <v>Rp0</v>
      </c>
      <c r="L2846" s="5" t="str">
        <f t="shared" si="3"/>
        <v>0</v>
      </c>
    </row>
    <row r="2847">
      <c r="A2847" s="6" t="s">
        <v>4134</v>
      </c>
      <c r="B2847" s="7" t="str">
        <f>HYPERLINK("https://shopee.co.id/BIYU-SKINCARE-BIYU-X-VA-HA-Serum-Hyaluronic-Acid-Serum-i.68111.5339371234", "https://shopee.co.id/BIYU-SKINCARE-BIYU-X-VA-HA-Serum-Hyaluronic-Acid-Serum-i.68111.5339371234")</f>
        <v>https://shopee.co.id/BIYU-SKINCARE-BIYU-X-VA-HA-Serum-Hyaluronic-Acid-Serum-i.68111.5339371234</v>
      </c>
      <c r="C2847" s="6" t="s">
        <v>2112</v>
      </c>
      <c r="D2847" s="6" t="s">
        <v>441</v>
      </c>
      <c r="E2847" s="6" t="s">
        <v>12</v>
      </c>
      <c r="F2847" s="6" t="s">
        <v>13</v>
      </c>
      <c r="G2847" s="6" t="s">
        <v>130</v>
      </c>
      <c r="H2847" s="8" t="s">
        <v>3981</v>
      </c>
      <c r="I2847" s="9">
        <v>0.0</v>
      </c>
      <c r="J2847" s="5" t="str">
        <f t="shared" ref="J2847:K2847" si="2847">SUBSTITUTE(H2847, ",", "")</f>
        <v>0</v>
      </c>
      <c r="K2847" s="5" t="str">
        <f t="shared" si="2847"/>
        <v>Rp0</v>
      </c>
      <c r="L2847" s="5" t="str">
        <f t="shared" si="3"/>
        <v>0</v>
      </c>
    </row>
    <row r="2848">
      <c r="A2848" s="6" t="s">
        <v>4135</v>
      </c>
      <c r="B2848" s="7" t="str">
        <f>HYPERLINK("https://shopee.co.id/BLITHE-ESSENCE-8-BEANS-50ML-i.53497038.7269714431", "https://shopee.co.id/BLITHE-ESSENCE-8-BEANS-50ML-i.53497038.7269714431")</f>
        <v>https://shopee.co.id/BLITHE-ESSENCE-8-BEANS-50ML-i.53497038.7269714431</v>
      </c>
      <c r="C2848" s="6" t="s">
        <v>1969</v>
      </c>
      <c r="D2848" s="6" t="s">
        <v>907</v>
      </c>
      <c r="E2848" s="6" t="s">
        <v>12</v>
      </c>
      <c r="F2848" s="6" t="s">
        <v>13</v>
      </c>
      <c r="G2848" s="6" t="s">
        <v>61</v>
      </c>
      <c r="H2848" s="8" t="s">
        <v>3981</v>
      </c>
      <c r="I2848" s="9">
        <v>0.0</v>
      </c>
      <c r="J2848" s="5" t="str">
        <f t="shared" ref="J2848:K2848" si="2848">SUBSTITUTE(H2848, ",", "")</f>
        <v>0</v>
      </c>
      <c r="K2848" s="5" t="str">
        <f t="shared" si="2848"/>
        <v>Rp0</v>
      </c>
      <c r="L2848" s="5" t="str">
        <f t="shared" si="3"/>
        <v>0</v>
      </c>
    </row>
    <row r="2849">
      <c r="A2849" s="6" t="s">
        <v>4136</v>
      </c>
      <c r="B2849" s="7" t="str">
        <f>HYPERLINK("https://shopee.co.id/BLITHE-Pressed-Serum-Tundra-Sachet-2ml-i.53497038.4380043648", "https://shopee.co.id/BLITHE-Pressed-Serum-Tundra-Sachet-2ml-i.53497038.4380043648")</f>
        <v>https://shopee.co.id/BLITHE-Pressed-Serum-Tundra-Sachet-2ml-i.53497038.4380043648</v>
      </c>
      <c r="C2849" s="6" t="s">
        <v>1969</v>
      </c>
      <c r="D2849" s="6" t="s">
        <v>907</v>
      </c>
      <c r="E2849" s="6" t="s">
        <v>12</v>
      </c>
      <c r="F2849" s="6" t="s">
        <v>13</v>
      </c>
      <c r="G2849" s="6" t="s">
        <v>61</v>
      </c>
      <c r="H2849" s="8" t="s">
        <v>3981</v>
      </c>
      <c r="I2849" s="9">
        <v>0.0</v>
      </c>
      <c r="J2849" s="5" t="str">
        <f t="shared" ref="J2849:K2849" si="2849">SUBSTITUTE(H2849, ",", "")</f>
        <v>0</v>
      </c>
      <c r="K2849" s="5" t="str">
        <f t="shared" si="2849"/>
        <v>Rp0</v>
      </c>
      <c r="L2849" s="5" t="str">
        <f t="shared" si="3"/>
        <v>0</v>
      </c>
    </row>
    <row r="2850">
      <c r="A2850" s="6" t="s">
        <v>4137</v>
      </c>
      <c r="B2850" s="7" t="str">
        <f>HYPERLINK("https://shopee.co.id/BLITHE-VITAL-TREATMENT-ESSENCE-9-ESSENTIAL-SEEDS-150-ML-i.53497038.1374816414", "https://shopee.co.id/BLITHE-VITAL-TREATMENT-ESSENCE-9-ESSENTIAL-SEEDS-150-ML-i.53497038.1374816414")</f>
        <v>https://shopee.co.id/BLITHE-VITAL-TREATMENT-ESSENCE-9-ESSENTIAL-SEEDS-150-ML-i.53497038.1374816414</v>
      </c>
      <c r="C2850" s="6" t="s">
        <v>1969</v>
      </c>
      <c r="D2850" s="6" t="s">
        <v>907</v>
      </c>
      <c r="E2850" s="6" t="s">
        <v>12</v>
      </c>
      <c r="F2850" s="6" t="s">
        <v>13</v>
      </c>
      <c r="G2850" s="6" t="s">
        <v>61</v>
      </c>
      <c r="H2850" s="8" t="s">
        <v>3981</v>
      </c>
      <c r="I2850" s="9">
        <v>0.0</v>
      </c>
      <c r="J2850" s="5" t="str">
        <f t="shared" ref="J2850:K2850" si="2850">SUBSTITUTE(H2850, ",", "")</f>
        <v>0</v>
      </c>
      <c r="K2850" s="5" t="str">
        <f t="shared" si="2850"/>
        <v>Rp0</v>
      </c>
      <c r="L2850" s="5" t="str">
        <f t="shared" si="3"/>
        <v>0</v>
      </c>
    </row>
    <row r="2851">
      <c r="A2851" s="6" t="s">
        <v>4138</v>
      </c>
      <c r="B2851" s="7" t="str">
        <f>HYPERLINK("https://shopee.co.id/Bloomka-Argireline-Leuphasyl-Facial-Anti-Aging-Serum-20ml-i.825870.9418209642", "https://shopee.co.id/Bloomka-Argireline-Leuphasyl-Facial-Anti-Aging-Serum-20ml-i.825870.9418209642")</f>
        <v>https://shopee.co.id/Bloomka-Argireline-Leuphasyl-Facial-Anti-Aging-Serum-20ml-i.825870.9418209642</v>
      </c>
      <c r="C2851" s="6" t="s">
        <v>375</v>
      </c>
      <c r="D2851" s="6" t="s">
        <v>1184</v>
      </c>
      <c r="E2851" s="6" t="s">
        <v>12</v>
      </c>
      <c r="F2851" s="6" t="s">
        <v>13</v>
      </c>
      <c r="G2851" s="6" t="s">
        <v>21</v>
      </c>
      <c r="H2851" s="8" t="s">
        <v>3981</v>
      </c>
      <c r="I2851" s="9">
        <v>0.0</v>
      </c>
      <c r="J2851" s="5" t="str">
        <f t="shared" ref="J2851:K2851" si="2851">SUBSTITUTE(H2851, ",", "")</f>
        <v>0</v>
      </c>
      <c r="K2851" s="5" t="str">
        <f t="shared" si="2851"/>
        <v>Rp0</v>
      </c>
      <c r="L2851" s="5" t="str">
        <f t="shared" si="3"/>
        <v>0</v>
      </c>
    </row>
    <row r="2852">
      <c r="A2852" s="6" t="s">
        <v>4139</v>
      </c>
      <c r="B2852" s="7" t="str">
        <f>HYPERLINK("https://shopee.co.id/Bloomka-Boerhavia-Rice-Lightening-Serum-i.17081863.9444999957", "https://shopee.co.id/Bloomka-Boerhavia-Rice-Lightening-Serum-i.17081863.9444999957")</f>
        <v>https://shopee.co.id/Bloomka-Boerhavia-Rice-Lightening-Serum-i.17081863.9444999957</v>
      </c>
      <c r="C2852" s="6" t="s">
        <v>375</v>
      </c>
      <c r="D2852" s="6" t="s">
        <v>2497</v>
      </c>
      <c r="E2852" s="6" t="s">
        <v>12</v>
      </c>
      <c r="F2852" s="6" t="s">
        <v>13</v>
      </c>
      <c r="G2852" s="6" t="s">
        <v>21</v>
      </c>
      <c r="H2852" s="8" t="s">
        <v>3981</v>
      </c>
      <c r="I2852" s="9">
        <v>0.0</v>
      </c>
      <c r="J2852" s="5" t="str">
        <f t="shared" ref="J2852:K2852" si="2852">SUBSTITUTE(H2852, ",", "")</f>
        <v>0</v>
      </c>
      <c r="K2852" s="5" t="str">
        <f t="shared" si="2852"/>
        <v>Rp0</v>
      </c>
      <c r="L2852" s="5" t="str">
        <f t="shared" si="3"/>
        <v>0</v>
      </c>
    </row>
    <row r="2853">
      <c r="A2853" s="6" t="s">
        <v>4140</v>
      </c>
      <c r="B2853" s="7" t="str">
        <f>HYPERLINK("https://shopee.co.id/Bloomka-Boerhavia-with-Niacinamide-Rice-Facial-Lightening-Serum-20ml-i.10689.6271567135", "https://shopee.co.id/Bloomka-Boerhavia-with-Niacinamide-Rice-Facial-Lightening-Serum-20ml-i.10689.6271567135")</f>
        <v>https://shopee.co.id/Bloomka-Boerhavia-with-Niacinamide-Rice-Facial-Lightening-Serum-20ml-i.10689.6271567135</v>
      </c>
      <c r="C2853" s="6" t="s">
        <v>375</v>
      </c>
      <c r="D2853" s="6" t="s">
        <v>745</v>
      </c>
      <c r="E2853" s="6" t="s">
        <v>12</v>
      </c>
      <c r="F2853" s="6" t="s">
        <v>13</v>
      </c>
      <c r="G2853" s="6" t="s">
        <v>61</v>
      </c>
      <c r="H2853" s="8" t="s">
        <v>3981</v>
      </c>
      <c r="I2853" s="9">
        <v>0.0</v>
      </c>
      <c r="J2853" s="5" t="str">
        <f t="shared" ref="J2853:K2853" si="2853">SUBSTITUTE(H2853, ",", "")</f>
        <v>0</v>
      </c>
      <c r="K2853" s="5" t="str">
        <f t="shared" si="2853"/>
        <v>Rp0</v>
      </c>
      <c r="L2853" s="5" t="str">
        <f t="shared" si="3"/>
        <v>0</v>
      </c>
    </row>
    <row r="2854">
      <c r="A2854" s="6" t="s">
        <v>4141</v>
      </c>
      <c r="B2854" s="7" t="str">
        <f>HYPERLINK("https://shopee.co.id/Bloomka-Calendula-Poria-Cocos-Facial-Calming-Serum-20ml-i.825870.8318209151", "https://shopee.co.id/Bloomka-Calendula-Poria-Cocos-Facial-Calming-Serum-20ml-i.825870.8318209151")</f>
        <v>https://shopee.co.id/Bloomka-Calendula-Poria-Cocos-Facial-Calming-Serum-20ml-i.825870.8318209151</v>
      </c>
      <c r="C2854" s="6" t="s">
        <v>375</v>
      </c>
      <c r="D2854" s="6" t="s">
        <v>1184</v>
      </c>
      <c r="E2854" s="6" t="s">
        <v>12</v>
      </c>
      <c r="F2854" s="6" t="s">
        <v>13</v>
      </c>
      <c r="G2854" s="6" t="s">
        <v>21</v>
      </c>
      <c r="H2854" s="8" t="s">
        <v>3981</v>
      </c>
      <c r="I2854" s="9">
        <v>0.0</v>
      </c>
      <c r="J2854" s="5" t="str">
        <f t="shared" ref="J2854:K2854" si="2854">SUBSTITUTE(H2854, ",", "")</f>
        <v>0</v>
      </c>
      <c r="K2854" s="5" t="str">
        <f t="shared" si="2854"/>
        <v>Rp0</v>
      </c>
      <c r="L2854" s="5" t="str">
        <f t="shared" si="3"/>
        <v>0</v>
      </c>
    </row>
    <row r="2855">
      <c r="A2855" s="6" t="s">
        <v>4142</v>
      </c>
      <c r="B2855" s="7" t="str">
        <f>HYPERLINK("https://shopee.co.id/BLOOMKA-Calendula-Poria-Cocos-Facial-Calming-Serum-20ml-i.68111.8517826614", "https://shopee.co.id/BLOOMKA-Calendula-Poria-Cocos-Facial-Calming-Serum-20ml-i.68111.8517826614")</f>
        <v>https://shopee.co.id/BLOOMKA-Calendula-Poria-Cocos-Facial-Calming-Serum-20ml-i.68111.8517826614</v>
      </c>
      <c r="C2855" s="6" t="s">
        <v>375</v>
      </c>
      <c r="D2855" s="6" t="s">
        <v>441</v>
      </c>
      <c r="E2855" s="6" t="s">
        <v>12</v>
      </c>
      <c r="F2855" s="6" t="s">
        <v>13</v>
      </c>
      <c r="G2855" s="6" t="s">
        <v>130</v>
      </c>
      <c r="H2855" s="8" t="s">
        <v>3981</v>
      </c>
      <c r="I2855" s="9">
        <v>0.0</v>
      </c>
      <c r="J2855" s="5" t="str">
        <f t="shared" ref="J2855:K2855" si="2855">SUBSTITUTE(H2855, ",", "")</f>
        <v>0</v>
      </c>
      <c r="K2855" s="5" t="str">
        <f t="shared" si="2855"/>
        <v>Rp0</v>
      </c>
      <c r="L2855" s="5" t="str">
        <f t="shared" si="3"/>
        <v>0</v>
      </c>
    </row>
    <row r="2856">
      <c r="A2856" s="6" t="s">
        <v>4143</v>
      </c>
      <c r="B2856" s="7" t="str">
        <f>HYPERLINK("https://shopee.co.id/Bloomka-Edelweiss-Hyaluronate-Essence-melembabkan-anti-radikal-bebas-cegah-penuaan--i.52581685.4335154455", "https://shopee.co.id/Bloomka-Edelweiss-Hyaluronate-Essence-melembabkan-anti-radikal-bebas-cegah-penuaan--i.52581685.4335154455")</f>
        <v>https://shopee.co.id/Bloomka-Edelweiss-Hyaluronate-Essence-melembabkan-anti-radikal-bebas-cegah-penuaan--i.52581685.4335154455</v>
      </c>
      <c r="C2856" s="6" t="s">
        <v>375</v>
      </c>
      <c r="D2856" s="6" t="s">
        <v>614</v>
      </c>
      <c r="E2856" s="6" t="s">
        <v>12</v>
      </c>
      <c r="F2856" s="6" t="s">
        <v>13</v>
      </c>
      <c r="G2856" s="6" t="s">
        <v>61</v>
      </c>
      <c r="H2856" s="8" t="s">
        <v>3981</v>
      </c>
      <c r="I2856" s="9">
        <v>0.0</v>
      </c>
      <c r="J2856" s="5" t="str">
        <f t="shared" ref="J2856:K2856" si="2856">SUBSTITUTE(H2856, ",", "")</f>
        <v>0</v>
      </c>
      <c r="K2856" s="5" t="str">
        <f t="shared" si="2856"/>
        <v>Rp0</v>
      </c>
      <c r="L2856" s="5" t="str">
        <f t="shared" si="3"/>
        <v>0</v>
      </c>
    </row>
    <row r="2857">
      <c r="A2857" s="6" t="s">
        <v>4144</v>
      </c>
      <c r="B2857" s="7" t="str">
        <f>HYPERLINK("https://shopee.co.id/Bloomka-Edelweiss-Hyaluronate-Serum-Facial-Hydrating-Serum-20ml-i.10689.4671588234", "https://shopee.co.id/Bloomka-Edelweiss-Hyaluronate-Serum-Facial-Hydrating-Serum-20ml-i.10689.4671588234")</f>
        <v>https://shopee.co.id/Bloomka-Edelweiss-Hyaluronate-Serum-Facial-Hydrating-Serum-20ml-i.10689.4671588234</v>
      </c>
      <c r="C2857" s="6" t="s">
        <v>375</v>
      </c>
      <c r="D2857" s="6" t="s">
        <v>745</v>
      </c>
      <c r="E2857" s="6" t="s">
        <v>12</v>
      </c>
      <c r="F2857" s="6" t="s">
        <v>13</v>
      </c>
      <c r="G2857" s="6" t="s">
        <v>61</v>
      </c>
      <c r="H2857" s="8" t="s">
        <v>3981</v>
      </c>
      <c r="I2857" s="9">
        <v>0.0</v>
      </c>
      <c r="J2857" s="5" t="str">
        <f t="shared" ref="J2857:K2857" si="2857">SUBSTITUTE(H2857, ",", "")</f>
        <v>0</v>
      </c>
      <c r="K2857" s="5" t="str">
        <f t="shared" si="2857"/>
        <v>Rp0</v>
      </c>
      <c r="L2857" s="5" t="str">
        <f t="shared" si="3"/>
        <v>0</v>
      </c>
    </row>
    <row r="2858">
      <c r="A2858" s="6" t="s">
        <v>4145</v>
      </c>
      <c r="B2858" s="7" t="str">
        <f>HYPERLINK("https://shopee.co.id/Bloomka-Kombucha-Brown-Algae-Facial-Anti-Oxidant-Serum-20ml-i.10689.6871567120", "https://shopee.co.id/Bloomka-Kombucha-Brown-Algae-Facial-Anti-Oxidant-Serum-20ml-i.10689.6871567120")</f>
        <v>https://shopee.co.id/Bloomka-Kombucha-Brown-Algae-Facial-Anti-Oxidant-Serum-20ml-i.10689.6871567120</v>
      </c>
      <c r="C2858" s="6" t="s">
        <v>375</v>
      </c>
      <c r="D2858" s="6" t="s">
        <v>745</v>
      </c>
      <c r="E2858" s="6" t="s">
        <v>12</v>
      </c>
      <c r="F2858" s="6" t="s">
        <v>13</v>
      </c>
      <c r="G2858" s="6" t="s">
        <v>61</v>
      </c>
      <c r="H2858" s="8" t="s">
        <v>3981</v>
      </c>
      <c r="I2858" s="9">
        <v>0.0</v>
      </c>
      <c r="J2858" s="5" t="str">
        <f t="shared" ref="J2858:K2858" si="2858">SUBSTITUTE(H2858, ",", "")</f>
        <v>0</v>
      </c>
      <c r="K2858" s="5" t="str">
        <f t="shared" si="2858"/>
        <v>Rp0</v>
      </c>
      <c r="L2858" s="5" t="str">
        <f t="shared" si="3"/>
        <v>0</v>
      </c>
    </row>
    <row r="2859">
      <c r="A2859" s="6" t="s">
        <v>4146</v>
      </c>
      <c r="B2859" s="7" t="str">
        <f>HYPERLINK("https://shopee.co.id/Bloomka-Manuka-Magnolia-Anti-Acne-Serum-i.17081863.8645007362", "https://shopee.co.id/Bloomka-Manuka-Magnolia-Anti-Acne-Serum-i.17081863.8645007362")</f>
        <v>https://shopee.co.id/Bloomka-Manuka-Magnolia-Anti-Acne-Serum-i.17081863.8645007362</v>
      </c>
      <c r="C2859" s="6" t="s">
        <v>375</v>
      </c>
      <c r="D2859" s="6" t="s">
        <v>2497</v>
      </c>
      <c r="E2859" s="6" t="s">
        <v>12</v>
      </c>
      <c r="F2859" s="6" t="s">
        <v>13</v>
      </c>
      <c r="G2859" s="6" t="s">
        <v>21</v>
      </c>
      <c r="H2859" s="8" t="s">
        <v>3981</v>
      </c>
      <c r="I2859" s="9">
        <v>0.0</v>
      </c>
      <c r="J2859" s="5" t="str">
        <f t="shared" ref="J2859:K2859" si="2859">SUBSTITUTE(H2859, ",", "")</f>
        <v>0</v>
      </c>
      <c r="K2859" s="5" t="str">
        <f t="shared" si="2859"/>
        <v>Rp0</v>
      </c>
      <c r="L2859" s="5" t="str">
        <f t="shared" si="3"/>
        <v>0</v>
      </c>
    </row>
    <row r="2860">
      <c r="A2860" s="6" t="s">
        <v>4147</v>
      </c>
      <c r="B2860" s="7" t="str">
        <f>HYPERLINK("https://shopee.co.id/Botanica-Brightening-Serum-15-ML-Serum-Wajah-Mineral-Botanica-Serum-i.114789399.6007409069", "https://shopee.co.id/Botanica-Brightening-Serum-15-ML-Serum-Wajah-Mineral-Botanica-Serum-i.114789399.6007409069")</f>
        <v>https://shopee.co.id/Botanica-Brightening-Serum-15-ML-Serum-Wajah-Mineral-Botanica-Serum-i.114789399.6007409069</v>
      </c>
      <c r="C2860" s="6" t="s">
        <v>807</v>
      </c>
      <c r="D2860" s="6" t="s">
        <v>4148</v>
      </c>
      <c r="E2860" s="6" t="s">
        <v>12</v>
      </c>
      <c r="F2860" s="6" t="s">
        <v>13</v>
      </c>
      <c r="G2860" s="6" t="s">
        <v>36</v>
      </c>
      <c r="H2860" s="8" t="s">
        <v>3981</v>
      </c>
      <c r="I2860" s="9">
        <v>0.0</v>
      </c>
      <c r="J2860" s="5" t="str">
        <f t="shared" ref="J2860:K2860" si="2860">SUBSTITUTE(H2860, ",", "")</f>
        <v>0</v>
      </c>
      <c r="K2860" s="5" t="str">
        <f t="shared" si="2860"/>
        <v>Rp0</v>
      </c>
      <c r="L2860" s="5" t="str">
        <f t="shared" si="3"/>
        <v>0</v>
      </c>
    </row>
    <row r="2861">
      <c r="A2861" s="6" t="s">
        <v>4149</v>
      </c>
      <c r="B2861" s="7" t="str">
        <f>HYPERLINK("https://shopee.co.id/Botanica-Face-Age-Defying-Serum-15-ML-Serum-Anti-Aging-Serum-Botanica-i.114789399.7615236068", "https://shopee.co.id/Botanica-Face-Age-Defying-Serum-15-ML-Serum-Anti-Aging-Serum-Botanica-i.114789399.7615236068")</f>
        <v>https://shopee.co.id/Botanica-Face-Age-Defying-Serum-15-ML-Serum-Anti-Aging-Serum-Botanica-i.114789399.7615236068</v>
      </c>
      <c r="C2861" s="6" t="s">
        <v>4150</v>
      </c>
      <c r="D2861" s="6" t="s">
        <v>2531</v>
      </c>
      <c r="E2861" s="6" t="s">
        <v>12</v>
      </c>
      <c r="F2861" s="6" t="s">
        <v>13</v>
      </c>
      <c r="G2861" s="6" t="s">
        <v>36</v>
      </c>
      <c r="H2861" s="8" t="s">
        <v>3981</v>
      </c>
      <c r="I2861" s="9">
        <v>0.0</v>
      </c>
      <c r="J2861" s="5" t="str">
        <f t="shared" ref="J2861:K2861" si="2861">SUBSTITUTE(H2861, ",", "")</f>
        <v>0</v>
      </c>
      <c r="K2861" s="5" t="str">
        <f t="shared" si="2861"/>
        <v>Rp0</v>
      </c>
      <c r="L2861" s="5" t="str">
        <f t="shared" si="3"/>
        <v>0</v>
      </c>
    </row>
    <row r="2862">
      <c r="A2862" s="6" t="s">
        <v>4151</v>
      </c>
      <c r="B2862" s="7" t="str">
        <f>HYPERLINK("https://shopee.co.id/Botanica-Face-Brightening-Serum-15Ml-Serum-Wajah-Peremajaan-Kulit-Wajah-Perawatan-Kecantikan-i.175375997.7908968128", "https://shopee.co.id/Botanica-Face-Brightening-Serum-15Ml-Serum-Wajah-Peremajaan-Kulit-Wajah-Perawatan-Kecantikan-i.175375997.7908968128")</f>
        <v>https://shopee.co.id/Botanica-Face-Brightening-Serum-15Ml-Serum-Wajah-Peremajaan-Kulit-Wajah-Perawatan-Kecantikan-i.175375997.7908968128</v>
      </c>
      <c r="C2862" s="6" t="s">
        <v>4150</v>
      </c>
      <c r="D2862" s="6" t="s">
        <v>2123</v>
      </c>
      <c r="E2862" s="6" t="s">
        <v>12</v>
      </c>
      <c r="F2862" s="6" t="s">
        <v>13</v>
      </c>
      <c r="G2862" s="6" t="s">
        <v>36</v>
      </c>
      <c r="H2862" s="8" t="s">
        <v>3981</v>
      </c>
      <c r="I2862" s="9">
        <v>0.0</v>
      </c>
      <c r="J2862" s="5" t="str">
        <f t="shared" ref="J2862:K2862" si="2862">SUBSTITUTE(H2862, ",", "")</f>
        <v>0</v>
      </c>
      <c r="K2862" s="5" t="str">
        <f t="shared" si="2862"/>
        <v>Rp0</v>
      </c>
      <c r="L2862" s="5" t="str">
        <f t="shared" si="3"/>
        <v>0</v>
      </c>
    </row>
    <row r="2863">
      <c r="A2863" s="6" t="s">
        <v>4151</v>
      </c>
      <c r="B2863" s="7" t="str">
        <f>HYPERLINK("https://shopee.co.id/Botanica-Face-Brightening-Serum-15Ml-Serum-Wajah-Peremajaan-Kulit-Wajah-Perawatan-Kecantikan-i.185943783.4435294254", "https://shopee.co.id/Botanica-Face-Brightening-Serum-15Ml-Serum-Wajah-Peremajaan-Kulit-Wajah-Perawatan-Kecantikan-i.185943783.4435294254")</f>
        <v>https://shopee.co.id/Botanica-Face-Brightening-Serum-15Ml-Serum-Wajah-Peremajaan-Kulit-Wajah-Perawatan-Kecantikan-i.185943783.4435294254</v>
      </c>
      <c r="C2863" s="6" t="s">
        <v>4150</v>
      </c>
      <c r="D2863" s="6" t="s">
        <v>3429</v>
      </c>
      <c r="E2863" s="6" t="s">
        <v>12</v>
      </c>
      <c r="F2863" s="6" t="s">
        <v>13</v>
      </c>
      <c r="G2863" s="6" t="s">
        <v>36</v>
      </c>
      <c r="H2863" s="8" t="s">
        <v>3981</v>
      </c>
      <c r="I2863" s="9">
        <v>0.0</v>
      </c>
      <c r="J2863" s="5" t="str">
        <f t="shared" ref="J2863:K2863" si="2863">SUBSTITUTE(H2863, ",", "")</f>
        <v>0</v>
      </c>
      <c r="K2863" s="5" t="str">
        <f t="shared" si="2863"/>
        <v>Rp0</v>
      </c>
      <c r="L2863" s="5" t="str">
        <f t="shared" si="3"/>
        <v>0</v>
      </c>
    </row>
    <row r="2864">
      <c r="A2864" s="6" t="s">
        <v>4152</v>
      </c>
      <c r="B2864" s="7" t="str">
        <f>HYPERLINK("https://shopee.co.id/Botanity-Flavon-Serum-50ml-i.825870.4019185423", "https://shopee.co.id/Botanity-Flavon-Serum-50ml-i.825870.4019185423")</f>
        <v>https://shopee.co.id/Botanity-Flavon-Serum-50ml-i.825870.4019185423</v>
      </c>
      <c r="C2864" s="6" t="s">
        <v>1459</v>
      </c>
      <c r="D2864" s="6" t="s">
        <v>1184</v>
      </c>
      <c r="E2864" s="6" t="s">
        <v>12</v>
      </c>
      <c r="F2864" s="6" t="s">
        <v>13</v>
      </c>
      <c r="G2864" s="6" t="s">
        <v>21</v>
      </c>
      <c r="H2864" s="8" t="s">
        <v>3981</v>
      </c>
      <c r="I2864" s="9">
        <v>0.0</v>
      </c>
      <c r="J2864" s="5" t="str">
        <f t="shared" ref="J2864:K2864" si="2864">SUBSTITUTE(H2864, ",", "")</f>
        <v>0</v>
      </c>
      <c r="K2864" s="5" t="str">
        <f t="shared" si="2864"/>
        <v>Rp0</v>
      </c>
      <c r="L2864" s="5" t="str">
        <f t="shared" si="3"/>
        <v>0</v>
      </c>
    </row>
    <row r="2865">
      <c r="A2865" s="6" t="s">
        <v>4153</v>
      </c>
      <c r="B2865" s="7" t="str">
        <f>HYPERLINK("https://shopee.co.id/Botanity-Package-1-Flavon-Serum-Bakuchiol-Spot-Cream-Hydrogel-Cream--i.203141970.3733535666", "https://shopee.co.id/Botanity-Package-1-Flavon-Serum-Bakuchiol-Spot-Cream-Hydrogel-Cream--i.203141970.3733535666")</f>
        <v>https://shopee.co.id/Botanity-Package-1-Flavon-Serum-Bakuchiol-Spot-Cream-Hydrogel-Cream--i.203141970.3733535666</v>
      </c>
      <c r="C2865" s="6" t="s">
        <v>1459</v>
      </c>
      <c r="D2865" s="6" t="s">
        <v>1460</v>
      </c>
      <c r="E2865" s="6" t="s">
        <v>12</v>
      </c>
      <c r="F2865" s="6" t="s">
        <v>13</v>
      </c>
      <c r="G2865" s="6" t="s">
        <v>21</v>
      </c>
      <c r="H2865" s="8" t="s">
        <v>3981</v>
      </c>
      <c r="I2865" s="9">
        <v>0.0</v>
      </c>
      <c r="J2865" s="5" t="str">
        <f t="shared" ref="J2865:K2865" si="2865">SUBSTITUTE(H2865, ",", "")</f>
        <v>0</v>
      </c>
      <c r="K2865" s="5" t="str">
        <f t="shared" si="2865"/>
        <v>Rp0</v>
      </c>
      <c r="L2865" s="5" t="str">
        <f t="shared" si="3"/>
        <v>0</v>
      </c>
    </row>
    <row r="2866">
      <c r="A2866" s="6" t="s">
        <v>4154</v>
      </c>
      <c r="B2866" s="7" t="str">
        <f>HYPERLINK("https://shopee.co.id/Botanity-Set-1-Flavon-Serum-Hydrogel-Cream--i.203141970.4233438255", "https://shopee.co.id/Botanity-Set-1-Flavon-Serum-Hydrogel-Cream--i.203141970.4233438255")</f>
        <v>https://shopee.co.id/Botanity-Set-1-Flavon-Serum-Hydrogel-Cream--i.203141970.4233438255</v>
      </c>
      <c r="C2866" s="6" t="s">
        <v>1459</v>
      </c>
      <c r="D2866" s="6" t="s">
        <v>1460</v>
      </c>
      <c r="E2866" s="6" t="s">
        <v>12</v>
      </c>
      <c r="F2866" s="6" t="s">
        <v>13</v>
      </c>
      <c r="G2866" s="6" t="s">
        <v>21</v>
      </c>
      <c r="H2866" s="8" t="s">
        <v>3981</v>
      </c>
      <c r="I2866" s="9">
        <v>0.0</v>
      </c>
      <c r="J2866" s="5" t="str">
        <f t="shared" ref="J2866:K2866" si="2866">SUBSTITUTE(H2866, ",", "")</f>
        <v>0</v>
      </c>
      <c r="K2866" s="5" t="str">
        <f t="shared" si="2866"/>
        <v>Rp0</v>
      </c>
      <c r="L2866" s="5" t="str">
        <f t="shared" si="3"/>
        <v>0</v>
      </c>
    </row>
    <row r="2867">
      <c r="A2867" s="6" t="s">
        <v>4155</v>
      </c>
      <c r="B2867" s="7" t="str">
        <f>HYPERLINK("https://shopee.co.id/Botanity-Set-3-Flavon-Serum-Bakuchiol-Spot-Cream--i.203141970.4033438753", "https://shopee.co.id/Botanity-Set-3-Flavon-Serum-Bakuchiol-Spot-Cream--i.203141970.4033438753")</f>
        <v>https://shopee.co.id/Botanity-Set-3-Flavon-Serum-Bakuchiol-Spot-Cream--i.203141970.4033438753</v>
      </c>
      <c r="C2867" s="6" t="s">
        <v>1459</v>
      </c>
      <c r="D2867" s="6" t="s">
        <v>1460</v>
      </c>
      <c r="E2867" s="6" t="s">
        <v>12</v>
      </c>
      <c r="F2867" s="6" t="s">
        <v>13</v>
      </c>
      <c r="G2867" s="6" t="s">
        <v>21</v>
      </c>
      <c r="H2867" s="8" t="s">
        <v>3981</v>
      </c>
      <c r="I2867" s="9">
        <v>0.0</v>
      </c>
      <c r="J2867" s="5" t="str">
        <f t="shared" ref="J2867:K2867" si="2867">SUBSTITUTE(H2867, ",", "")</f>
        <v>0</v>
      </c>
      <c r="K2867" s="5" t="str">
        <f t="shared" si="2867"/>
        <v>Rp0</v>
      </c>
      <c r="L2867" s="5" t="str">
        <f t="shared" si="3"/>
        <v>0</v>
      </c>
    </row>
    <row r="2868">
      <c r="A2868" s="6" t="s">
        <v>4156</v>
      </c>
      <c r="B2868" s="7" t="str">
        <f>HYPERLINK("https://shopee.co.id/Breylee-Blackhead-Remover-Mask-Step-1-Pore-Minimize-Serum-Step-2-i.136011044.8425279149", "https://shopee.co.id/Breylee-Blackhead-Remover-Mask-Step-1-Pore-Minimize-Serum-Step-2-i.136011044.8425279149")</f>
        <v>https://shopee.co.id/Breylee-Blackhead-Remover-Mask-Step-1-Pore-Minimize-Serum-Step-2-i.136011044.8425279149</v>
      </c>
      <c r="C2868" s="6" t="s">
        <v>852</v>
      </c>
      <c r="D2868" s="6" t="s">
        <v>632</v>
      </c>
      <c r="E2868" s="6" t="s">
        <v>12</v>
      </c>
      <c r="F2868" s="6" t="s">
        <v>13</v>
      </c>
      <c r="G2868" s="6" t="s">
        <v>21</v>
      </c>
      <c r="H2868" s="8" t="s">
        <v>3981</v>
      </c>
      <c r="I2868" s="9">
        <v>0.0</v>
      </c>
      <c r="J2868" s="5" t="str">
        <f t="shared" ref="J2868:K2868" si="2868">SUBSTITUTE(H2868, ",", "")</f>
        <v>0</v>
      </c>
      <c r="K2868" s="5" t="str">
        <f t="shared" si="2868"/>
        <v>Rp0</v>
      </c>
      <c r="L2868" s="5" t="str">
        <f t="shared" si="3"/>
        <v>0</v>
      </c>
    </row>
    <row r="2869">
      <c r="A2869" s="6" t="s">
        <v>4157</v>
      </c>
      <c r="B2869" s="7" t="str">
        <f>HYPERLINK("https://shopee.co.id/BREYLEE-Hyaluronic-Acid-Series-Melembabkan-3-pcs--i.324706771.7295158606", "https://shopee.co.id/BREYLEE-Hyaluronic-Acid-Series-Melembabkan-3-pcs--i.324706771.7295158606")</f>
        <v>https://shopee.co.id/BREYLEE-Hyaluronic-Acid-Series-Melembabkan-3-pcs--i.324706771.7295158606</v>
      </c>
      <c r="C2869" s="6" t="s">
        <v>852</v>
      </c>
      <c r="D2869" s="6" t="s">
        <v>853</v>
      </c>
      <c r="E2869" s="6" t="s">
        <v>12</v>
      </c>
      <c r="F2869" s="6" t="s">
        <v>13</v>
      </c>
      <c r="G2869" s="6" t="s">
        <v>532</v>
      </c>
      <c r="H2869" s="8" t="s">
        <v>3981</v>
      </c>
      <c r="I2869" s="9">
        <v>0.0</v>
      </c>
      <c r="J2869" s="5" t="str">
        <f t="shared" ref="J2869:K2869" si="2869">SUBSTITUTE(H2869, ",", "")</f>
        <v>0</v>
      </c>
      <c r="K2869" s="5" t="str">
        <f t="shared" si="2869"/>
        <v>Rp0</v>
      </c>
      <c r="L2869" s="5" t="str">
        <f t="shared" si="3"/>
        <v>0</v>
      </c>
    </row>
    <row r="2870">
      <c r="A2870" s="6" t="s">
        <v>4158</v>
      </c>
      <c r="B2870" s="7" t="str">
        <f>HYPERLINK("https://shopee.co.id/BREYLEE-Serum-Mata-Roll-On-Hyaluronic-Acid-Melembabkan-15ml-i.68111.7188500065", "https://shopee.co.id/BREYLEE-Serum-Mata-Roll-On-Hyaluronic-Acid-Melembabkan-15ml-i.68111.7188500065")</f>
        <v>https://shopee.co.id/BREYLEE-Serum-Mata-Roll-On-Hyaluronic-Acid-Melembabkan-15ml-i.68111.7188500065</v>
      </c>
      <c r="C2870" s="6" t="s">
        <v>852</v>
      </c>
      <c r="D2870" s="6" t="s">
        <v>441</v>
      </c>
      <c r="E2870" s="6" t="s">
        <v>12</v>
      </c>
      <c r="F2870" s="6" t="s">
        <v>13</v>
      </c>
      <c r="G2870" s="6" t="s">
        <v>130</v>
      </c>
      <c r="H2870" s="8" t="s">
        <v>3981</v>
      </c>
      <c r="I2870" s="9">
        <v>0.0</v>
      </c>
      <c r="J2870" s="5" t="str">
        <f t="shared" ref="J2870:K2870" si="2870">SUBSTITUTE(H2870, ",", "")</f>
        <v>0</v>
      </c>
      <c r="K2870" s="5" t="str">
        <f t="shared" si="2870"/>
        <v>Rp0</v>
      </c>
      <c r="L2870" s="5" t="str">
        <f t="shared" si="3"/>
        <v>0</v>
      </c>
    </row>
    <row r="2871">
      <c r="A2871" s="6" t="s">
        <v>4159</v>
      </c>
      <c r="B2871" s="7" t="str">
        <f>HYPERLINK("https://shopee.co.id/BREYLEE-Serum-Treatment-Wajah-Berjerawat-17ml-i.68111.4888484437", "https://shopee.co.id/BREYLEE-Serum-Treatment-Wajah-Berjerawat-17ml-i.68111.4888484437")</f>
        <v>https://shopee.co.id/BREYLEE-Serum-Treatment-Wajah-Berjerawat-17ml-i.68111.4888484437</v>
      </c>
      <c r="C2871" s="6" t="s">
        <v>852</v>
      </c>
      <c r="D2871" s="6" t="s">
        <v>441</v>
      </c>
      <c r="E2871" s="6" t="s">
        <v>12</v>
      </c>
      <c r="F2871" s="6" t="s">
        <v>13</v>
      </c>
      <c r="G2871" s="6" t="s">
        <v>130</v>
      </c>
      <c r="H2871" s="8" t="s">
        <v>3981</v>
      </c>
      <c r="I2871" s="9">
        <v>0.0</v>
      </c>
      <c r="J2871" s="5" t="str">
        <f t="shared" ref="J2871:K2871" si="2871">SUBSTITUTE(H2871, ",", "")</f>
        <v>0</v>
      </c>
      <c r="K2871" s="5" t="str">
        <f t="shared" si="2871"/>
        <v>Rp0</v>
      </c>
      <c r="L2871" s="5" t="str">
        <f t="shared" si="3"/>
        <v>0</v>
      </c>
    </row>
    <row r="2872">
      <c r="A2872" s="6" t="s">
        <v>4160</v>
      </c>
      <c r="B2872" s="7" t="str">
        <f>HYPERLINK("https://shopee.co.id/BREYLEE-SETS-of-SERUM-D-Mencerahkan-Menyamarkan-Garis-Halus-2pcs--i.324706771.7470888071", "https://shopee.co.id/BREYLEE-SETS-of-SERUM-D-Mencerahkan-Menyamarkan-Garis-Halus-2pcs--i.324706771.7470888071")</f>
        <v>https://shopee.co.id/BREYLEE-SETS-of-SERUM-D-Mencerahkan-Menyamarkan-Garis-Halus-2pcs--i.324706771.7470888071</v>
      </c>
      <c r="C2872" s="6" t="s">
        <v>852</v>
      </c>
      <c r="D2872" s="6" t="s">
        <v>853</v>
      </c>
      <c r="E2872" s="6" t="s">
        <v>12</v>
      </c>
      <c r="F2872" s="6" t="s">
        <v>13</v>
      </c>
      <c r="G2872" s="6" t="s">
        <v>532</v>
      </c>
      <c r="H2872" s="8" t="s">
        <v>3981</v>
      </c>
      <c r="I2872" s="9">
        <v>0.0</v>
      </c>
      <c r="J2872" s="5" t="str">
        <f t="shared" ref="J2872:K2872" si="2872">SUBSTITUTE(H2872, ",", "")</f>
        <v>0</v>
      </c>
      <c r="K2872" s="5" t="str">
        <f t="shared" si="2872"/>
        <v>Rp0</v>
      </c>
      <c r="L2872" s="5" t="str">
        <f t="shared" si="3"/>
        <v>0</v>
      </c>
    </row>
    <row r="2873">
      <c r="A2873" s="6" t="s">
        <v>4161</v>
      </c>
      <c r="B2873" s="7" t="str">
        <f>HYPERLINK("https://shopee.co.id/BREYLEE-Soothing-Serum-Menenangkan-Kulit-Wajah-i.68111.9253349699", "https://shopee.co.id/BREYLEE-Soothing-Serum-Menenangkan-Kulit-Wajah-i.68111.9253349699")</f>
        <v>https://shopee.co.id/BREYLEE-Soothing-Serum-Menenangkan-Kulit-Wajah-i.68111.9253349699</v>
      </c>
      <c r="C2873" s="6" t="s">
        <v>852</v>
      </c>
      <c r="D2873" s="6" t="s">
        <v>441</v>
      </c>
      <c r="E2873" s="6" t="s">
        <v>12</v>
      </c>
      <c r="F2873" s="6" t="s">
        <v>13</v>
      </c>
      <c r="G2873" s="6" t="s">
        <v>130</v>
      </c>
      <c r="H2873" s="8" t="s">
        <v>3981</v>
      </c>
      <c r="I2873" s="9">
        <v>0.0</v>
      </c>
      <c r="J2873" s="5" t="str">
        <f t="shared" ref="J2873:K2873" si="2873">SUBSTITUTE(H2873, ",", "")</f>
        <v>0</v>
      </c>
      <c r="K2873" s="5" t="str">
        <f t="shared" si="2873"/>
        <v>Rp0</v>
      </c>
      <c r="L2873" s="5" t="str">
        <f t="shared" si="3"/>
        <v>0</v>
      </c>
    </row>
    <row r="2874">
      <c r="A2874" s="6" t="s">
        <v>4162</v>
      </c>
      <c r="B2874" s="7" t="str">
        <f>HYPERLINK("https://shopee.co.id/Brighter-Skin-Package-KANEBO-Smoothing-Serum-KANEBO-Illuminating-Serum-30ml-i.169111593.5773153675", "https://shopee.co.id/Brighter-Skin-Package-KANEBO-Smoothing-Serum-KANEBO-Illuminating-Serum-30ml-i.169111593.5773153675")</f>
        <v>https://shopee.co.id/Brighter-Skin-Package-KANEBO-Smoothing-Serum-KANEBO-Illuminating-Serum-30ml-i.169111593.5773153675</v>
      </c>
      <c r="C2874" s="6" t="s">
        <v>1473</v>
      </c>
      <c r="D2874" s="6" t="s">
        <v>1474</v>
      </c>
      <c r="E2874" s="6" t="s">
        <v>12</v>
      </c>
      <c r="F2874" s="6" t="s">
        <v>13</v>
      </c>
      <c r="G2874" s="6" t="s">
        <v>532</v>
      </c>
      <c r="H2874" s="8" t="s">
        <v>3981</v>
      </c>
      <c r="I2874" s="9">
        <v>0.0</v>
      </c>
      <c r="J2874" s="5" t="str">
        <f t="shared" ref="J2874:K2874" si="2874">SUBSTITUTE(H2874, ",", "")</f>
        <v>0</v>
      </c>
      <c r="K2874" s="5" t="str">
        <f t="shared" si="2874"/>
        <v>Rp0</v>
      </c>
      <c r="L2874" s="5" t="str">
        <f t="shared" si="3"/>
        <v>0</v>
      </c>
    </row>
    <row r="2875">
      <c r="A2875" s="6" t="s">
        <v>4163</v>
      </c>
      <c r="B2875" s="7" t="str">
        <f>HYPERLINK("https://shopee.co.id/BRTC-Buy-1-Get-1-Free-The-First-Ampoule-Essence-30ml-i.252801087.5531845421", "https://shopee.co.id/BRTC-Buy-1-Get-1-Free-The-First-Ampoule-Essence-30ml-i.252801087.5531845421")</f>
        <v>https://shopee.co.id/BRTC-Buy-1-Get-1-Free-The-First-Ampoule-Essence-30ml-i.252801087.5531845421</v>
      </c>
      <c r="C2875" s="6" t="s">
        <v>3374</v>
      </c>
      <c r="D2875" s="6" t="s">
        <v>4164</v>
      </c>
      <c r="E2875" s="6" t="s">
        <v>12</v>
      </c>
      <c r="F2875" s="6" t="s">
        <v>13</v>
      </c>
      <c r="G2875" s="6" t="s">
        <v>130</v>
      </c>
      <c r="H2875" s="8" t="s">
        <v>3981</v>
      </c>
      <c r="I2875" s="9">
        <v>0.0</v>
      </c>
      <c r="J2875" s="5" t="str">
        <f t="shared" ref="J2875:K2875" si="2875">SUBSTITUTE(H2875, ",", "")</f>
        <v>0</v>
      </c>
      <c r="K2875" s="5" t="str">
        <f t="shared" si="2875"/>
        <v>Rp0</v>
      </c>
      <c r="L2875" s="5" t="str">
        <f t="shared" si="3"/>
        <v>0</v>
      </c>
    </row>
    <row r="2876">
      <c r="A2876" s="6" t="s">
        <v>4165</v>
      </c>
      <c r="B2876" s="7" t="str">
        <f>HYPERLINK("https://shopee.co.id/BRTC-Pore-Tightening-Serum-60ml-i.252801087.5730923526", "https://shopee.co.id/BRTC-Pore-Tightening-Serum-60ml-i.252801087.5730923526")</f>
        <v>https://shopee.co.id/BRTC-Pore-Tightening-Serum-60ml-i.252801087.5730923526</v>
      </c>
      <c r="C2876" s="6" t="s">
        <v>3374</v>
      </c>
      <c r="D2876" s="6" t="s">
        <v>4164</v>
      </c>
      <c r="E2876" s="6" t="s">
        <v>12</v>
      </c>
      <c r="F2876" s="6" t="s">
        <v>13</v>
      </c>
      <c r="G2876" s="6" t="s">
        <v>130</v>
      </c>
      <c r="H2876" s="8" t="s">
        <v>3981</v>
      </c>
      <c r="I2876" s="9">
        <v>0.0</v>
      </c>
      <c r="J2876" s="5" t="str">
        <f t="shared" ref="J2876:K2876" si="2876">SUBSTITUTE(H2876, ",", "")</f>
        <v>0</v>
      </c>
      <c r="K2876" s="5" t="str">
        <f t="shared" si="2876"/>
        <v>Rp0</v>
      </c>
      <c r="L2876" s="5" t="str">
        <f t="shared" si="3"/>
        <v>0</v>
      </c>
    </row>
    <row r="2877">
      <c r="A2877" s="6" t="s">
        <v>4165</v>
      </c>
      <c r="B2877" s="7" t="str">
        <f>HYPERLINK("https://shopee.co.id/BRTC-Pore-Tightening-Serum-60ml-i.24803305.6952507591", "https://shopee.co.id/BRTC-Pore-Tightening-Serum-60ml-i.24803305.6952507591")</f>
        <v>https://shopee.co.id/BRTC-Pore-Tightening-Serum-60ml-i.24803305.6952507591</v>
      </c>
      <c r="C2877" s="6" t="s">
        <v>3374</v>
      </c>
      <c r="D2877" s="6" t="s">
        <v>3375</v>
      </c>
      <c r="E2877" s="6" t="s">
        <v>12</v>
      </c>
      <c r="F2877" s="6" t="s">
        <v>13</v>
      </c>
      <c r="G2877" s="6" t="s">
        <v>130</v>
      </c>
      <c r="H2877" s="8" t="s">
        <v>3981</v>
      </c>
      <c r="I2877" s="9">
        <v>0.0</v>
      </c>
      <c r="J2877" s="5" t="str">
        <f t="shared" ref="J2877:K2877" si="2877">SUBSTITUTE(H2877, ",", "")</f>
        <v>0</v>
      </c>
      <c r="K2877" s="5" t="str">
        <f t="shared" si="2877"/>
        <v>Rp0</v>
      </c>
      <c r="L2877" s="5" t="str">
        <f t="shared" si="3"/>
        <v>0</v>
      </c>
    </row>
    <row r="2878">
      <c r="A2878" s="6" t="s">
        <v>4166</v>
      </c>
      <c r="B2878" s="7" t="str">
        <f>HYPERLINK("https://shopee.co.id/BRTC-Pore-Tightening-Serum-30ml-i.10689.2368108169", "https://shopee.co.id/BRTC-Pore-Tightening-Serum-30ml-i.10689.2368108169")</f>
        <v>https://shopee.co.id/BRTC-Pore-Tightening-Serum-30ml-i.10689.2368108169</v>
      </c>
      <c r="C2878" s="6" t="s">
        <v>3374</v>
      </c>
      <c r="D2878" s="6" t="s">
        <v>745</v>
      </c>
      <c r="E2878" s="6" t="s">
        <v>12</v>
      </c>
      <c r="F2878" s="6" t="s">
        <v>13</v>
      </c>
      <c r="G2878" s="6" t="s">
        <v>61</v>
      </c>
      <c r="H2878" s="8" t="s">
        <v>3981</v>
      </c>
      <c r="I2878" s="9">
        <v>0.0</v>
      </c>
      <c r="J2878" s="5" t="str">
        <f t="shared" ref="J2878:K2878" si="2878">SUBSTITUTE(H2878, ",", "")</f>
        <v>0</v>
      </c>
      <c r="K2878" s="5" t="str">
        <f t="shared" si="2878"/>
        <v>Rp0</v>
      </c>
      <c r="L2878" s="5" t="str">
        <f t="shared" si="3"/>
        <v>0</v>
      </c>
    </row>
    <row r="2879">
      <c r="A2879" s="6" t="s">
        <v>4167</v>
      </c>
      <c r="B2879" s="7" t="str">
        <f>HYPERLINK("https://shopee.co.id/BRTC-The-First-Ampoule-Essence-i.24803305.3852553821", "https://shopee.co.id/BRTC-The-First-Ampoule-Essence-i.24803305.3852553821")</f>
        <v>https://shopee.co.id/BRTC-The-First-Ampoule-Essence-i.24803305.3852553821</v>
      </c>
      <c r="C2879" s="6" t="s">
        <v>3374</v>
      </c>
      <c r="D2879" s="6" t="s">
        <v>3375</v>
      </c>
      <c r="E2879" s="6" t="s">
        <v>12</v>
      </c>
      <c r="F2879" s="6" t="s">
        <v>13</v>
      </c>
      <c r="G2879" s="6" t="s">
        <v>130</v>
      </c>
      <c r="H2879" s="8" t="s">
        <v>3981</v>
      </c>
      <c r="I2879" s="9">
        <v>0.0</v>
      </c>
      <c r="J2879" s="5" t="str">
        <f t="shared" ref="J2879:K2879" si="2879">SUBSTITUTE(H2879, ",", "")</f>
        <v>0</v>
      </c>
      <c r="K2879" s="5" t="str">
        <f t="shared" si="2879"/>
        <v>Rp0</v>
      </c>
      <c r="L2879" s="5" t="str">
        <f t="shared" si="3"/>
        <v>0</v>
      </c>
    </row>
    <row r="2880">
      <c r="A2880" s="6" t="s">
        <v>3373</v>
      </c>
      <c r="B2880" s="7" t="str">
        <f>HYPERLINK("https://shopee.co.id/BRTC-The-First-Ampoule-Essence-150ml-i.252801087.6830923573", "https://shopee.co.id/BRTC-The-First-Ampoule-Essence-150ml-i.252801087.6830923573")</f>
        <v>https://shopee.co.id/BRTC-The-First-Ampoule-Essence-150ml-i.252801087.6830923573</v>
      </c>
      <c r="C2880" s="6" t="s">
        <v>3374</v>
      </c>
      <c r="D2880" s="6" t="s">
        <v>4164</v>
      </c>
      <c r="E2880" s="6" t="s">
        <v>12</v>
      </c>
      <c r="F2880" s="6" t="s">
        <v>13</v>
      </c>
      <c r="G2880" s="6" t="s">
        <v>130</v>
      </c>
      <c r="H2880" s="8" t="s">
        <v>3981</v>
      </c>
      <c r="I2880" s="9">
        <v>0.0</v>
      </c>
      <c r="J2880" s="5" t="str">
        <f t="shared" ref="J2880:K2880" si="2880">SUBSTITUTE(H2880, ",", "")</f>
        <v>0</v>
      </c>
      <c r="K2880" s="5" t="str">
        <f t="shared" si="2880"/>
        <v>Rp0</v>
      </c>
      <c r="L2880" s="5" t="str">
        <f t="shared" si="3"/>
        <v>0</v>
      </c>
    </row>
    <row r="2881">
      <c r="A2881" s="6" t="s">
        <v>4168</v>
      </c>
      <c r="B2881" s="7" t="str">
        <f>HYPERLINK("https://shopee.co.id/BRTC-The-First-Ampoule-Essence-30ml-i.252801087.7930969920", "https://shopee.co.id/BRTC-The-First-Ampoule-Essence-30ml-i.252801087.7930969920")</f>
        <v>https://shopee.co.id/BRTC-The-First-Ampoule-Essence-30ml-i.252801087.7930969920</v>
      </c>
      <c r="C2881" s="6" t="s">
        <v>3374</v>
      </c>
      <c r="D2881" s="6" t="s">
        <v>4164</v>
      </c>
      <c r="E2881" s="6" t="s">
        <v>12</v>
      </c>
      <c r="F2881" s="6" t="s">
        <v>13</v>
      </c>
      <c r="G2881" s="6" t="s">
        <v>130</v>
      </c>
      <c r="H2881" s="8" t="s">
        <v>3981</v>
      </c>
      <c r="I2881" s="9">
        <v>0.0</v>
      </c>
      <c r="J2881" s="5" t="str">
        <f t="shared" ref="J2881:K2881" si="2881">SUBSTITUTE(H2881, ",", "")</f>
        <v>0</v>
      </c>
      <c r="K2881" s="5" t="str">
        <f t="shared" si="2881"/>
        <v>Rp0</v>
      </c>
      <c r="L2881" s="5" t="str">
        <f t="shared" si="3"/>
        <v>0</v>
      </c>
    </row>
    <row r="2882">
      <c r="A2882" s="6" t="s">
        <v>4169</v>
      </c>
      <c r="B2882" s="7" t="str">
        <f>HYPERLINK("https://shopee.co.id/BRTC-The-First-Ampoule-Essence-310ml-i.24803305.6852507542", "https://shopee.co.id/BRTC-The-First-Ampoule-Essence-310ml-i.24803305.6852507542")</f>
        <v>https://shopee.co.id/BRTC-The-First-Ampoule-Essence-310ml-i.24803305.6852507542</v>
      </c>
      <c r="C2882" s="6" t="s">
        <v>3374</v>
      </c>
      <c r="D2882" s="6" t="s">
        <v>3375</v>
      </c>
      <c r="E2882" s="6" t="s">
        <v>12</v>
      </c>
      <c r="F2882" s="6" t="s">
        <v>13</v>
      </c>
      <c r="G2882" s="6" t="s">
        <v>130</v>
      </c>
      <c r="H2882" s="8" t="s">
        <v>3981</v>
      </c>
      <c r="I2882" s="9">
        <v>0.0</v>
      </c>
      <c r="J2882" s="5" t="str">
        <f t="shared" ref="J2882:K2882" si="2882">SUBSTITUTE(H2882, ",", "")</f>
        <v>0</v>
      </c>
      <c r="K2882" s="5" t="str">
        <f t="shared" si="2882"/>
        <v>Rp0</v>
      </c>
      <c r="L2882" s="5" t="str">
        <f t="shared" si="3"/>
        <v>0</v>
      </c>
    </row>
    <row r="2883">
      <c r="A2883" s="6" t="s">
        <v>4169</v>
      </c>
      <c r="B2883" s="7" t="str">
        <f>HYPERLINK("https://shopee.co.id/BRTC-The-First-Ampoule-Essence-310ml-i.252801087.6230923573", "https://shopee.co.id/BRTC-The-First-Ampoule-Essence-310ml-i.252801087.6230923573")</f>
        <v>https://shopee.co.id/BRTC-The-First-Ampoule-Essence-310ml-i.252801087.6230923573</v>
      </c>
      <c r="C2883" s="6" t="s">
        <v>3374</v>
      </c>
      <c r="D2883" s="6" t="s">
        <v>4164</v>
      </c>
      <c r="E2883" s="6" t="s">
        <v>12</v>
      </c>
      <c r="F2883" s="6" t="s">
        <v>13</v>
      </c>
      <c r="G2883" s="6" t="s">
        <v>130</v>
      </c>
      <c r="H2883" s="8" t="s">
        <v>3981</v>
      </c>
      <c r="I2883" s="9">
        <v>0.0</v>
      </c>
      <c r="J2883" s="5" t="str">
        <f t="shared" ref="J2883:K2883" si="2883">SUBSTITUTE(H2883, ",", "")</f>
        <v>0</v>
      </c>
      <c r="K2883" s="5" t="str">
        <f t="shared" si="2883"/>
        <v>Rp0</v>
      </c>
      <c r="L2883" s="5" t="str">
        <f t="shared" si="3"/>
        <v>0</v>
      </c>
    </row>
    <row r="2884">
      <c r="A2884" s="6" t="s">
        <v>4170</v>
      </c>
      <c r="B2884" s="7" t="str">
        <f>HYPERLINK("https://shopee.co.id/BUHOTEI-Serum-Wajah-Vitamin-Facial-Essense-Anti-Aging-Moisturizing-Serum-Isi-60-Kapsul-BPOM-i.403097854.13709240793", "https://shopee.co.id/BUHOTEI-Serum-Wajah-Vitamin-Facial-Essense-Anti-Aging-Moisturizing-Serum-Isi-60-Kapsul-BPOM-i.403097854.13709240793")</f>
        <v>https://shopee.co.id/BUHOTEI-Serum-Wajah-Vitamin-Facial-Essense-Anti-Aging-Moisturizing-Serum-Isi-60-Kapsul-BPOM-i.403097854.13709240793</v>
      </c>
      <c r="C2884" s="6" t="s">
        <v>4171</v>
      </c>
      <c r="D2884" s="6" t="s">
        <v>1035</v>
      </c>
      <c r="E2884" s="6" t="s">
        <v>12</v>
      </c>
      <c r="F2884" s="6" t="s">
        <v>13</v>
      </c>
      <c r="G2884" s="6" t="s">
        <v>61</v>
      </c>
      <c r="H2884" s="8" t="s">
        <v>3981</v>
      </c>
      <c r="I2884" s="9">
        <v>0.0</v>
      </c>
      <c r="J2884" s="5" t="str">
        <f t="shared" ref="J2884:K2884" si="2884">SUBSTITUTE(H2884, ",", "")</f>
        <v>0</v>
      </c>
      <c r="K2884" s="5" t="str">
        <f t="shared" si="2884"/>
        <v>Rp0</v>
      </c>
      <c r="L2884" s="5" t="str">
        <f t="shared" si="3"/>
        <v>0</v>
      </c>
    </row>
    <row r="2885">
      <c r="A2885" s="6" t="s">
        <v>4172</v>
      </c>
      <c r="B2885" s="7" t="str">
        <f>HYPERLINK("https://shopee.co.id/Bundle-Neogen-Dermalogy-Wine-Sachet-3-pcs-x-Skinme-Dualmee-Series-Youthfull-i.61523009.9590381939", "https://shopee.co.id/Bundle-Neogen-Dermalogy-Wine-Sachet-3-pcs-x-Skinme-Dualmee-Series-Youthfull-i.61523009.9590381939")</f>
        <v>https://shopee.co.id/Bundle-Neogen-Dermalogy-Wine-Sachet-3-pcs-x-Skinme-Dualmee-Series-Youthfull-i.61523009.9590381939</v>
      </c>
      <c r="C2885" s="6" t="s">
        <v>2093</v>
      </c>
      <c r="D2885" s="6" t="s">
        <v>2094</v>
      </c>
      <c r="E2885" s="6" t="s">
        <v>12</v>
      </c>
      <c r="F2885" s="6" t="s">
        <v>13</v>
      </c>
      <c r="G2885" s="6" t="s">
        <v>98</v>
      </c>
      <c r="H2885" s="8" t="s">
        <v>3981</v>
      </c>
      <c r="I2885" s="9">
        <v>0.0</v>
      </c>
      <c r="J2885" s="5" t="str">
        <f t="shared" ref="J2885:K2885" si="2885">SUBSTITUTE(H2885, ",", "")</f>
        <v>0</v>
      </c>
      <c r="K2885" s="5" t="str">
        <f t="shared" si="2885"/>
        <v>Rp0</v>
      </c>
      <c r="L2885" s="5" t="str">
        <f t="shared" si="3"/>
        <v>0</v>
      </c>
    </row>
    <row r="2886">
      <c r="A2886" s="6" t="s">
        <v>4173</v>
      </c>
      <c r="B2886" s="7" t="str">
        <f>HYPERLINK("https://shopee.co.id/Bundle-Neogen-Dermalogy-Wine-Small-x-Skinme-Dualmee-Series-Youthfull-i.61523009.10931985262", "https://shopee.co.id/Bundle-Neogen-Dermalogy-Wine-Small-x-Skinme-Dualmee-Series-Youthfull-i.61523009.10931985262")</f>
        <v>https://shopee.co.id/Bundle-Neogen-Dermalogy-Wine-Small-x-Skinme-Dualmee-Series-Youthfull-i.61523009.10931985262</v>
      </c>
      <c r="C2886" s="6" t="s">
        <v>2093</v>
      </c>
      <c r="D2886" s="6" t="s">
        <v>2094</v>
      </c>
      <c r="E2886" s="6" t="s">
        <v>12</v>
      </c>
      <c r="F2886" s="6" t="s">
        <v>13</v>
      </c>
      <c r="G2886" s="6" t="s">
        <v>98</v>
      </c>
      <c r="H2886" s="8" t="s">
        <v>3981</v>
      </c>
      <c r="I2886" s="9">
        <v>0.0</v>
      </c>
      <c r="J2886" s="5" t="str">
        <f t="shared" ref="J2886:K2886" si="2886">SUBSTITUTE(H2886, ",", "")</f>
        <v>0</v>
      </c>
      <c r="K2886" s="5" t="str">
        <f t="shared" si="2886"/>
        <v>Rp0</v>
      </c>
      <c r="L2886" s="5" t="str">
        <f t="shared" si="3"/>
        <v>0</v>
      </c>
    </row>
    <row r="2887">
      <c r="A2887" s="6" t="s">
        <v>4174</v>
      </c>
      <c r="B2887" s="7" t="str">
        <f>HYPERLINK("https://shopee.co.id/BUNDLING-ESSENCE-INFILT-30-ML-WH-CREAM-30-GR-i.104888237.8273683918", "https://shopee.co.id/BUNDLING-ESSENCE-INFILT-30-ML-WH-CREAM-30-GR-i.104888237.8273683918")</f>
        <v>https://shopee.co.id/BUNDLING-ESSENCE-INFILT-30-ML-WH-CREAM-30-GR-i.104888237.8273683918</v>
      </c>
      <c r="C2887" s="6" t="s">
        <v>1529</v>
      </c>
      <c r="D2887" s="6" t="s">
        <v>1530</v>
      </c>
      <c r="E2887" s="6" t="s">
        <v>12</v>
      </c>
      <c r="F2887" s="6" t="s">
        <v>13</v>
      </c>
      <c r="G2887" s="6" t="s">
        <v>61</v>
      </c>
      <c r="H2887" s="8" t="s">
        <v>3981</v>
      </c>
      <c r="I2887" s="9">
        <v>0.0</v>
      </c>
      <c r="J2887" s="5" t="str">
        <f t="shared" ref="J2887:K2887" si="2887">SUBSTITUTE(H2887, ",", "")</f>
        <v>0</v>
      </c>
      <c r="K2887" s="5" t="str">
        <f t="shared" si="2887"/>
        <v>Rp0</v>
      </c>
      <c r="L2887" s="5" t="str">
        <f t="shared" si="3"/>
        <v>0</v>
      </c>
    </row>
    <row r="2888">
      <c r="A2888" s="6" t="s">
        <v>4175</v>
      </c>
      <c r="B2888" s="7" t="str">
        <f>HYPERLINK("https://shopee.co.id/Bundling-HYA-Intensive-Whitening-Pre-Serum-Miracle-Fluid-Facial-Treatment-Essence-i.118878742.9913787013", "https://shopee.co.id/Bundling-HYA-Intensive-Whitening-Pre-Serum-Miracle-Fluid-Facial-Treatment-Essence-i.118878742.9913787013")</f>
        <v>https://shopee.co.id/Bundling-HYA-Intensive-Whitening-Pre-Serum-Miracle-Fluid-Facial-Treatment-Essence-i.118878742.9913787013</v>
      </c>
      <c r="C2888" s="6" t="s">
        <v>2592</v>
      </c>
      <c r="D2888" s="6" t="s">
        <v>2593</v>
      </c>
      <c r="E2888" s="6" t="s">
        <v>12</v>
      </c>
      <c r="F2888" s="6" t="s">
        <v>13</v>
      </c>
      <c r="G2888" s="6" t="s">
        <v>61</v>
      </c>
      <c r="H2888" s="8" t="s">
        <v>3981</v>
      </c>
      <c r="I2888" s="9">
        <v>0.0</v>
      </c>
      <c r="J2888" s="5" t="str">
        <f t="shared" ref="J2888:K2888" si="2888">SUBSTITUTE(H2888, ",", "")</f>
        <v>0</v>
      </c>
      <c r="K2888" s="5" t="str">
        <f t="shared" si="2888"/>
        <v>Rp0</v>
      </c>
      <c r="L2888" s="5" t="str">
        <f t="shared" si="3"/>
        <v>0</v>
      </c>
    </row>
    <row r="2889">
      <c r="A2889" s="6" t="s">
        <v>4176</v>
      </c>
      <c r="B2889" s="7" t="str">
        <f>HYPERLINK("https://shopee.co.id/Bundling-Minimizer-Pore-free-FACE-MIST-i.3087844.3583137373", "https://shopee.co.id/Bundling-Minimizer-Pore-free-FACE-MIST-i.3087844.3583137373")</f>
        <v>https://shopee.co.id/Bundling-Minimizer-Pore-free-FACE-MIST-i.3087844.3583137373</v>
      </c>
      <c r="C2889" s="6" t="s">
        <v>2465</v>
      </c>
      <c r="D2889" s="6" t="s">
        <v>1158</v>
      </c>
      <c r="E2889" s="6" t="s">
        <v>12</v>
      </c>
      <c r="F2889" s="6" t="s">
        <v>13</v>
      </c>
      <c r="G2889" s="6" t="s">
        <v>241</v>
      </c>
      <c r="H2889" s="8" t="s">
        <v>3981</v>
      </c>
      <c r="I2889" s="9">
        <v>0.0</v>
      </c>
      <c r="J2889" s="5" t="str">
        <f t="shared" ref="J2889:K2889" si="2889">SUBSTITUTE(H2889, ",", "")</f>
        <v>0</v>
      </c>
      <c r="K2889" s="5" t="str">
        <f t="shared" si="2889"/>
        <v>Rp0</v>
      </c>
      <c r="L2889" s="5" t="str">
        <f t="shared" si="3"/>
        <v>0</v>
      </c>
    </row>
    <row r="2890">
      <c r="A2890" s="6" t="s">
        <v>4177</v>
      </c>
      <c r="B2890" s="7" t="str">
        <f>HYPERLINK("https://shopee.co.id/Buy-1-Get-1-Bio-Essence-Bio-Bounce-Collagen-Essence-30-ml-i.63822287.12506193570", "https://shopee.co.id/Buy-1-Get-1-Bio-Essence-Bio-Bounce-Collagen-Essence-30-ml-i.63822287.12506193570")</f>
        <v>https://shopee.co.id/Buy-1-Get-1-Bio-Essence-Bio-Bounce-Collagen-Essence-30-ml-i.63822287.12506193570</v>
      </c>
      <c r="C2890" s="6" t="s">
        <v>1254</v>
      </c>
      <c r="D2890" s="6" t="s">
        <v>835</v>
      </c>
      <c r="E2890" s="6" t="s">
        <v>12</v>
      </c>
      <c r="F2890" s="6" t="s">
        <v>13</v>
      </c>
      <c r="G2890" s="6" t="s">
        <v>61</v>
      </c>
      <c r="H2890" s="8" t="s">
        <v>3981</v>
      </c>
      <c r="I2890" s="9">
        <v>0.0</v>
      </c>
      <c r="J2890" s="5" t="str">
        <f t="shared" ref="J2890:K2890" si="2890">SUBSTITUTE(H2890, ",", "")</f>
        <v>0</v>
      </c>
      <c r="K2890" s="5" t="str">
        <f t="shared" si="2890"/>
        <v>Rp0</v>
      </c>
      <c r="L2890" s="5" t="str">
        <f t="shared" si="3"/>
        <v>0</v>
      </c>
    </row>
    <row r="2891">
      <c r="A2891" s="6" t="s">
        <v>4178</v>
      </c>
      <c r="B2891" s="7" t="str">
        <f>HYPERLINK("https://shopee.co.id/Buy-1-Get-1-Bio-Essence-BioWater-Moistin-Water-Lotion-Toner-150ml-i.63822287.11443964807", "https://shopee.co.id/Buy-1-Get-1-Bio-Essence-BioWater-Moistin-Water-Lotion-Toner-150ml-i.63822287.11443964807")</f>
        <v>https://shopee.co.id/Buy-1-Get-1-Bio-Essence-BioWater-Moistin-Water-Lotion-Toner-150ml-i.63822287.11443964807</v>
      </c>
      <c r="C2891" s="6" t="s">
        <v>1254</v>
      </c>
      <c r="D2891" s="6" t="s">
        <v>835</v>
      </c>
      <c r="E2891" s="6" t="s">
        <v>12</v>
      </c>
      <c r="F2891" s="6" t="s">
        <v>13</v>
      </c>
      <c r="G2891" s="6" t="s">
        <v>61</v>
      </c>
      <c r="H2891" s="8" t="s">
        <v>3981</v>
      </c>
      <c r="I2891" s="9">
        <v>0.0</v>
      </c>
      <c r="J2891" s="5" t="str">
        <f t="shared" ref="J2891:K2891" si="2891">SUBSTITUTE(H2891, ",", "")</f>
        <v>0</v>
      </c>
      <c r="K2891" s="5" t="str">
        <f t="shared" si="2891"/>
        <v>Rp0</v>
      </c>
      <c r="L2891" s="5" t="str">
        <f t="shared" si="3"/>
        <v>0</v>
      </c>
    </row>
    <row r="2892">
      <c r="A2892" s="6" t="s">
        <v>4179</v>
      </c>
      <c r="B2892" s="7" t="str">
        <f>HYPERLINK("https://shopee.co.id/Buy-2x-Pond-s-Triple-Glow-Serum-30ml-Free-Wendy-s-Signed-Photo-Card-i.14318452.9272081138", "https://shopee.co.id/Buy-2x-Pond-s-Triple-Glow-Serum-30ml-Free-Wendy-s-Signed-Photo-Card-i.14318452.9272081138")</f>
        <v>https://shopee.co.id/Buy-2x-Pond-s-Triple-Glow-Serum-30ml-Free-Wendy-s-Signed-Photo-Card-i.14318452.9272081138</v>
      </c>
      <c r="C2892" s="6" t="s">
        <v>325</v>
      </c>
      <c r="D2892" s="6" t="s">
        <v>326</v>
      </c>
      <c r="E2892" s="6" t="s">
        <v>12</v>
      </c>
      <c r="F2892" s="6" t="s">
        <v>13</v>
      </c>
      <c r="G2892" s="6" t="s">
        <v>296</v>
      </c>
      <c r="H2892" s="8" t="s">
        <v>3981</v>
      </c>
      <c r="I2892" s="9">
        <v>0.0</v>
      </c>
      <c r="J2892" s="5" t="str">
        <f t="shared" ref="J2892:K2892" si="2892">SUBSTITUTE(H2892, ",", "")</f>
        <v>0</v>
      </c>
      <c r="K2892" s="5" t="str">
        <f t="shared" si="2892"/>
        <v>Rp0</v>
      </c>
      <c r="L2892" s="5" t="str">
        <f t="shared" si="3"/>
        <v>0</v>
      </c>
    </row>
    <row r="2893">
      <c r="A2893" s="6" t="s">
        <v>4180</v>
      </c>
      <c r="B2893" s="7" t="str">
        <f>HYPERLINK("https://shopee.co.id/Callista-Cica-Reviving-Serum-20ml-i.825870.5968168295", "https://shopee.co.id/Callista-Cica-Reviving-Serum-20ml-i.825870.5968168295")</f>
        <v>https://shopee.co.id/Callista-Cica-Reviving-Serum-20ml-i.825870.5968168295</v>
      </c>
      <c r="C2893" s="6" t="s">
        <v>4181</v>
      </c>
      <c r="D2893" s="6" t="s">
        <v>1184</v>
      </c>
      <c r="E2893" s="6" t="s">
        <v>12</v>
      </c>
      <c r="F2893" s="6" t="s">
        <v>13</v>
      </c>
      <c r="G2893" s="6" t="s">
        <v>21</v>
      </c>
      <c r="H2893" s="8" t="s">
        <v>3981</v>
      </c>
      <c r="I2893" s="9">
        <v>0.0</v>
      </c>
      <c r="J2893" s="5" t="str">
        <f t="shared" ref="J2893:K2893" si="2893">SUBSTITUTE(H2893, ",", "")</f>
        <v>0</v>
      </c>
      <c r="K2893" s="5" t="str">
        <f t="shared" si="2893"/>
        <v>Rp0</v>
      </c>
      <c r="L2893" s="5" t="str">
        <f t="shared" si="3"/>
        <v>0</v>
      </c>
    </row>
    <row r="2894">
      <c r="A2894" s="6" t="s">
        <v>4182</v>
      </c>
      <c r="B2894" s="7" t="str">
        <f>HYPERLINK("https://shopee.co.id/Calmedi-Essential-Mix-Serum-10-ml-Serum-Pelembab-Wajah-i.129229117.2606449260", "https://shopee.co.id/Calmedi-Essential-Mix-Serum-10-ml-Serum-Pelembab-Wajah-i.129229117.2606449260")</f>
        <v>https://shopee.co.id/Calmedi-Essential-Mix-Serum-10-ml-Serum-Pelembab-Wajah-i.129229117.2606449260</v>
      </c>
      <c r="C2894" s="6" t="s">
        <v>2931</v>
      </c>
      <c r="D2894" s="6" t="s">
        <v>2932</v>
      </c>
      <c r="E2894" s="6" t="s">
        <v>12</v>
      </c>
      <c r="F2894" s="6" t="s">
        <v>13</v>
      </c>
      <c r="G2894" s="6" t="s">
        <v>98</v>
      </c>
      <c r="H2894" s="8" t="s">
        <v>3981</v>
      </c>
      <c r="I2894" s="9">
        <v>0.0</v>
      </c>
      <c r="J2894" s="5" t="str">
        <f t="shared" ref="J2894:K2894" si="2894">SUBSTITUTE(H2894, ",", "")</f>
        <v>0</v>
      </c>
      <c r="K2894" s="5" t="str">
        <f t="shared" si="2894"/>
        <v>Rp0</v>
      </c>
      <c r="L2894" s="5" t="str">
        <f t="shared" si="3"/>
        <v>0</v>
      </c>
    </row>
    <row r="2895">
      <c r="A2895" s="6" t="s">
        <v>4183</v>
      </c>
      <c r="B2895" s="7" t="str">
        <f>HYPERLINK("https://shopee.co.id/Calmedi-Exfoliating-Essence-60-ml-Melembabkan-Kulit-Mencerahkan-dan-Mengangkat-Sel-Kulit-Mati-i.129229117.6030127434", "https://shopee.co.id/Calmedi-Exfoliating-Essence-60-ml-Melembabkan-Kulit-Mencerahkan-dan-Mengangkat-Sel-Kulit-Mati-i.129229117.6030127434")</f>
        <v>https://shopee.co.id/Calmedi-Exfoliating-Essence-60-ml-Melembabkan-Kulit-Mencerahkan-dan-Mengangkat-Sel-Kulit-Mati-i.129229117.6030127434</v>
      </c>
      <c r="C2895" s="6" t="s">
        <v>2931</v>
      </c>
      <c r="D2895" s="6" t="s">
        <v>2932</v>
      </c>
      <c r="E2895" s="6" t="s">
        <v>12</v>
      </c>
      <c r="F2895" s="6" t="s">
        <v>13</v>
      </c>
      <c r="G2895" s="6" t="s">
        <v>98</v>
      </c>
      <c r="H2895" s="8" t="s">
        <v>3981</v>
      </c>
      <c r="I2895" s="9">
        <v>0.0</v>
      </c>
      <c r="J2895" s="5" t="str">
        <f t="shared" ref="J2895:K2895" si="2895">SUBSTITUTE(H2895, ",", "")</f>
        <v>0</v>
      </c>
      <c r="K2895" s="5" t="str">
        <f t="shared" si="2895"/>
        <v>Rp0</v>
      </c>
      <c r="L2895" s="5" t="str">
        <f t="shared" si="3"/>
        <v>0</v>
      </c>
    </row>
    <row r="2896">
      <c r="A2896" s="6" t="s">
        <v>4184</v>
      </c>
      <c r="B2896" s="7" t="str">
        <f>HYPERLINK("https://shopee.co.id/Calmedi-Gold-Rejuvination-Series-Anti-Aging-for-All-Skin-Types-i.129229117.11622993154", "https://shopee.co.id/Calmedi-Gold-Rejuvination-Series-Anti-Aging-for-All-Skin-Types-i.129229117.11622993154")</f>
        <v>https://shopee.co.id/Calmedi-Gold-Rejuvination-Series-Anti-Aging-for-All-Skin-Types-i.129229117.11622993154</v>
      </c>
      <c r="C2896" s="6" t="s">
        <v>2931</v>
      </c>
      <c r="D2896" s="6" t="s">
        <v>2932</v>
      </c>
      <c r="E2896" s="6" t="s">
        <v>12</v>
      </c>
      <c r="F2896" s="6" t="s">
        <v>13</v>
      </c>
      <c r="G2896" s="6" t="s">
        <v>98</v>
      </c>
      <c r="H2896" s="8" t="s">
        <v>3981</v>
      </c>
      <c r="I2896" s="9">
        <v>0.0</v>
      </c>
      <c r="J2896" s="5" t="str">
        <f t="shared" ref="J2896:K2896" si="2896">SUBSTITUTE(H2896, ",", "")</f>
        <v>0</v>
      </c>
      <c r="K2896" s="5" t="str">
        <f t="shared" si="2896"/>
        <v>Rp0</v>
      </c>
      <c r="L2896" s="5" t="str">
        <f t="shared" si="3"/>
        <v>0</v>
      </c>
    </row>
    <row r="2897">
      <c r="A2897" s="6" t="s">
        <v>4185</v>
      </c>
      <c r="B2897" s="7" t="str">
        <f>HYPERLINK("https://shopee.co.id/Cell-Renew-Bio-Emulsion-150ml-i.58386356.6226663864", "https://shopee.co.id/Cell-Renew-Bio-Emulsion-150ml-i.58386356.6226663864")</f>
        <v>https://shopee.co.id/Cell-Renew-Bio-Emulsion-150ml-i.58386356.6226663864</v>
      </c>
      <c r="C2897" s="6" t="s">
        <v>2339</v>
      </c>
      <c r="D2897" s="6" t="s">
        <v>2340</v>
      </c>
      <c r="E2897" s="6" t="s">
        <v>12</v>
      </c>
      <c r="F2897" s="6" t="s">
        <v>13</v>
      </c>
      <c r="G2897" s="6" t="s">
        <v>21</v>
      </c>
      <c r="H2897" s="8" t="s">
        <v>3981</v>
      </c>
      <c r="I2897" s="9">
        <v>0.0</v>
      </c>
      <c r="J2897" s="5" t="str">
        <f t="shared" ref="J2897:K2897" si="2897">SUBSTITUTE(H2897, ",", "")</f>
        <v>0</v>
      </c>
      <c r="K2897" s="5" t="str">
        <f t="shared" si="2897"/>
        <v>Rp0</v>
      </c>
      <c r="L2897" s="5" t="str">
        <f t="shared" si="3"/>
        <v>0</v>
      </c>
    </row>
    <row r="2898">
      <c r="A2898" s="6" t="s">
        <v>4186</v>
      </c>
      <c r="B2898" s="7" t="str">
        <f>HYPERLINK("https://shopee.co.id/Cell-Renew-Bio-Essence-60ml-i.58386356.4732488023", "https://shopee.co.id/Cell-Renew-Bio-Essence-60ml-i.58386356.4732488023")</f>
        <v>https://shopee.co.id/Cell-Renew-Bio-Essence-60ml-i.58386356.4732488023</v>
      </c>
      <c r="C2898" s="6" t="s">
        <v>1254</v>
      </c>
      <c r="D2898" s="6" t="s">
        <v>2340</v>
      </c>
      <c r="E2898" s="6" t="s">
        <v>12</v>
      </c>
      <c r="F2898" s="6" t="s">
        <v>13</v>
      </c>
      <c r="G2898" s="6" t="s">
        <v>21</v>
      </c>
      <c r="H2898" s="8" t="s">
        <v>3981</v>
      </c>
      <c r="I2898" s="9">
        <v>0.0</v>
      </c>
      <c r="J2898" s="5" t="str">
        <f t="shared" ref="J2898:K2898" si="2898">SUBSTITUTE(H2898, ",", "")</f>
        <v>0</v>
      </c>
      <c r="K2898" s="5" t="str">
        <f t="shared" si="2898"/>
        <v>Rp0</v>
      </c>
      <c r="L2898" s="5" t="str">
        <f t="shared" si="3"/>
        <v>0</v>
      </c>
    </row>
    <row r="2899">
      <c r="A2899" s="6" t="s">
        <v>4187</v>
      </c>
      <c r="B2899" s="7" t="str">
        <f>HYPERLINK("https://shopee.co.id/CELLSCIENCE-Skeyndor-Clear-Balance-Pore-Refining-Repair-Serum-i.296546304.7748465266", "https://shopee.co.id/CELLSCIENCE-Skeyndor-Clear-Balance-Pore-Refining-Repair-Serum-i.296546304.7748465266")</f>
        <v>https://shopee.co.id/CELLSCIENCE-Skeyndor-Clear-Balance-Pore-Refining-Repair-Serum-i.296546304.7748465266</v>
      </c>
      <c r="C2899" s="6" t="s">
        <v>2215</v>
      </c>
      <c r="D2899" s="6" t="s">
        <v>4188</v>
      </c>
      <c r="E2899" s="6" t="s">
        <v>12</v>
      </c>
      <c r="F2899" s="6" t="s">
        <v>13</v>
      </c>
      <c r="G2899" s="6" t="s">
        <v>21</v>
      </c>
      <c r="H2899" s="8" t="s">
        <v>3981</v>
      </c>
      <c r="I2899" s="9">
        <v>0.0</v>
      </c>
      <c r="J2899" s="5" t="str">
        <f t="shared" ref="J2899:K2899" si="2899">SUBSTITUTE(H2899, ",", "")</f>
        <v>0</v>
      </c>
      <c r="K2899" s="5" t="str">
        <f t="shared" si="2899"/>
        <v>Rp0</v>
      </c>
      <c r="L2899" s="5" t="str">
        <f t="shared" si="3"/>
        <v>0</v>
      </c>
    </row>
    <row r="2900">
      <c r="A2900" s="6" t="s">
        <v>4189</v>
      </c>
      <c r="B2900" s="7" t="str">
        <f>HYPERLINK("https://shopee.co.id/Charlotte-Kay-Ageless-Firming-Serum-15ml-i.825870.5941475009", "https://shopee.co.id/Charlotte-Kay-Ageless-Firming-Serum-15ml-i.825870.5941475009")</f>
        <v>https://shopee.co.id/Charlotte-Kay-Ageless-Firming-Serum-15ml-i.825870.5941475009</v>
      </c>
      <c r="C2900" s="6" t="s">
        <v>4190</v>
      </c>
      <c r="D2900" s="6" t="s">
        <v>1184</v>
      </c>
      <c r="E2900" s="6" t="s">
        <v>12</v>
      </c>
      <c r="F2900" s="6" t="s">
        <v>13</v>
      </c>
      <c r="G2900" s="6" t="s">
        <v>21</v>
      </c>
      <c r="H2900" s="8" t="s">
        <v>3981</v>
      </c>
      <c r="I2900" s="9">
        <v>0.0</v>
      </c>
      <c r="J2900" s="5" t="str">
        <f t="shared" ref="J2900:K2900" si="2900">SUBSTITUTE(H2900, ",", "")</f>
        <v>0</v>
      </c>
      <c r="K2900" s="5" t="str">
        <f t="shared" si="2900"/>
        <v>Rp0</v>
      </c>
      <c r="L2900" s="5" t="str">
        <f t="shared" si="3"/>
        <v>0</v>
      </c>
    </row>
    <row r="2901">
      <c r="A2901" s="6" t="s">
        <v>4191</v>
      </c>
      <c r="B2901" s="7" t="str">
        <f>HYPERLINK("https://shopee.co.id/Charlotte-Kay-Whitening-Serum-20ml-i.825870.7741486639", "https://shopee.co.id/Charlotte-Kay-Whitening-Serum-20ml-i.825870.7741486639")</f>
        <v>https://shopee.co.id/Charlotte-Kay-Whitening-Serum-20ml-i.825870.7741486639</v>
      </c>
      <c r="C2901" s="6" t="s">
        <v>4190</v>
      </c>
      <c r="D2901" s="6" t="s">
        <v>1184</v>
      </c>
      <c r="E2901" s="6" t="s">
        <v>12</v>
      </c>
      <c r="F2901" s="6" t="s">
        <v>13</v>
      </c>
      <c r="G2901" s="6" t="s">
        <v>21</v>
      </c>
      <c r="H2901" s="8" t="s">
        <v>3981</v>
      </c>
      <c r="I2901" s="9">
        <v>0.0</v>
      </c>
      <c r="J2901" s="5" t="str">
        <f t="shared" ref="J2901:K2901" si="2901">SUBSTITUTE(H2901, ",", "")</f>
        <v>0</v>
      </c>
      <c r="K2901" s="5" t="str">
        <f t="shared" si="2901"/>
        <v>Rp0</v>
      </c>
      <c r="L2901" s="5" t="str">
        <f t="shared" si="3"/>
        <v>0</v>
      </c>
    </row>
    <row r="2902">
      <c r="A2902" s="6" t="s">
        <v>4192</v>
      </c>
      <c r="B2902" s="7" t="str">
        <f>HYPERLINK("https://shopee.co.id/Charlotte-Kay-Whitening-Serum-for-Oily-20ml-i.825870.4841492804", "https://shopee.co.id/Charlotte-Kay-Whitening-Serum-for-Oily-20ml-i.825870.4841492804")</f>
        <v>https://shopee.co.id/Charlotte-Kay-Whitening-Serum-for-Oily-20ml-i.825870.4841492804</v>
      </c>
      <c r="C2902" s="6" t="s">
        <v>4190</v>
      </c>
      <c r="D2902" s="6" t="s">
        <v>1184</v>
      </c>
      <c r="E2902" s="6" t="s">
        <v>12</v>
      </c>
      <c r="F2902" s="6" t="s">
        <v>13</v>
      </c>
      <c r="G2902" s="6" t="s">
        <v>21</v>
      </c>
      <c r="H2902" s="8" t="s">
        <v>3981</v>
      </c>
      <c r="I2902" s="9">
        <v>0.0</v>
      </c>
      <c r="J2902" s="5" t="str">
        <f t="shared" ref="J2902:K2902" si="2902">SUBSTITUTE(H2902, ",", "")</f>
        <v>0</v>
      </c>
      <c r="K2902" s="5" t="str">
        <f t="shared" si="2902"/>
        <v>Rp0</v>
      </c>
      <c r="L2902" s="5" t="str">
        <f t="shared" si="3"/>
        <v>0</v>
      </c>
    </row>
    <row r="2903">
      <c r="A2903" s="6" t="s">
        <v>4193</v>
      </c>
      <c r="B2903" s="7" t="str">
        <f>HYPERLINK("https://shopee.co.id/CHLODIO-Murier-Blanc-Brightening-Serum-30ml--i.238844228.3130758867", "https://shopee.co.id/CHLODIO-Murier-Blanc-Brightening-Serum-30ml--i.238844228.3130758867")</f>
        <v>https://shopee.co.id/CHLODIO-Murier-Blanc-Brightening-Serum-30ml--i.238844228.3130758867</v>
      </c>
      <c r="C2903" s="6" t="s">
        <v>4194</v>
      </c>
      <c r="D2903" s="6" t="s">
        <v>4195</v>
      </c>
      <c r="E2903" s="6" t="s">
        <v>12</v>
      </c>
      <c r="F2903" s="6" t="s">
        <v>13</v>
      </c>
      <c r="G2903" s="6" t="s">
        <v>98</v>
      </c>
      <c r="H2903" s="8" t="s">
        <v>3981</v>
      </c>
      <c r="I2903" s="9">
        <v>0.0</v>
      </c>
      <c r="J2903" s="5" t="str">
        <f t="shared" ref="J2903:K2903" si="2903">SUBSTITUTE(H2903, ",", "")</f>
        <v>0</v>
      </c>
      <c r="K2903" s="5" t="str">
        <f t="shared" si="2903"/>
        <v>Rp0</v>
      </c>
      <c r="L2903" s="5" t="str">
        <f t="shared" si="3"/>
        <v>0</v>
      </c>
    </row>
    <row r="2904">
      <c r="A2904" s="6" t="s">
        <v>4196</v>
      </c>
      <c r="B2904" s="7" t="str">
        <f>HYPERLINK("https://shopee.co.id/CHLODIO-Murier-Blanc-Brightening-Serum-Bundle-2-pcs-30ml--i.238844228.6923431224", "https://shopee.co.id/CHLODIO-Murier-Blanc-Brightening-Serum-Bundle-2-pcs-30ml--i.238844228.6923431224")</f>
        <v>https://shopee.co.id/CHLODIO-Murier-Blanc-Brightening-Serum-Bundle-2-pcs-30ml--i.238844228.6923431224</v>
      </c>
      <c r="C2904" s="6" t="s">
        <v>4194</v>
      </c>
      <c r="D2904" s="6" t="s">
        <v>4195</v>
      </c>
      <c r="E2904" s="6" t="s">
        <v>12</v>
      </c>
      <c r="F2904" s="6" t="s">
        <v>13</v>
      </c>
      <c r="G2904" s="6" t="s">
        <v>98</v>
      </c>
      <c r="H2904" s="8" t="s">
        <v>3981</v>
      </c>
      <c r="I2904" s="9">
        <v>0.0</v>
      </c>
      <c r="J2904" s="5" t="str">
        <f t="shared" ref="J2904:K2904" si="2904">SUBSTITUTE(H2904, ",", "")</f>
        <v>0</v>
      </c>
      <c r="K2904" s="5" t="str">
        <f t="shared" si="2904"/>
        <v>Rp0</v>
      </c>
      <c r="L2904" s="5" t="str">
        <f t="shared" si="3"/>
        <v>0</v>
      </c>
    </row>
    <row r="2905">
      <c r="A2905" s="6" t="s">
        <v>4197</v>
      </c>
      <c r="B2905" s="7" t="str">
        <f>HYPERLINK("https://shopee.co.id/CLEARANCESALE-SERUM-EXPIRED-SEPTEMBER-2021--i.93727097.8419830271", "https://shopee.co.id/CLEARANCESALE-SERUM-EXPIRED-SEPTEMBER-2021--i.93727097.8419830271")</f>
        <v>https://shopee.co.id/CLEARANCESALE-SERUM-EXPIRED-SEPTEMBER-2021--i.93727097.8419830271</v>
      </c>
      <c r="C2905" s="6" t="s">
        <v>2713</v>
      </c>
      <c r="D2905" s="6" t="s">
        <v>2714</v>
      </c>
      <c r="E2905" s="6" t="s">
        <v>12</v>
      </c>
      <c r="F2905" s="6" t="s">
        <v>13</v>
      </c>
      <c r="G2905" s="6" t="s">
        <v>1048</v>
      </c>
      <c r="H2905" s="8" t="s">
        <v>3981</v>
      </c>
      <c r="I2905" s="9">
        <v>0.0</v>
      </c>
      <c r="J2905" s="5" t="str">
        <f t="shared" ref="J2905:K2905" si="2905">SUBSTITUTE(H2905, ",", "")</f>
        <v>0</v>
      </c>
      <c r="K2905" s="5" t="str">
        <f t="shared" si="2905"/>
        <v>Rp0</v>
      </c>
      <c r="L2905" s="5" t="str">
        <f t="shared" si="3"/>
        <v>0</v>
      </c>
    </row>
    <row r="2906">
      <c r="A2906" s="6" t="s">
        <v>4198</v>
      </c>
      <c r="B2906" s="7" t="str">
        <f>HYPERLINK("https://shopee.co.id/Clinelle-Age-Revive-Emulsion-80ml-i.186214521.3633399130", "https://shopee.co.id/Clinelle-Age-Revive-Emulsion-80ml-i.186214521.3633399130")</f>
        <v>https://shopee.co.id/Clinelle-Age-Revive-Emulsion-80ml-i.186214521.3633399130</v>
      </c>
      <c r="C2906" s="6" t="s">
        <v>1456</v>
      </c>
      <c r="D2906" s="6" t="s">
        <v>2293</v>
      </c>
      <c r="E2906" s="6" t="s">
        <v>12</v>
      </c>
      <c r="F2906" s="6" t="s">
        <v>13</v>
      </c>
      <c r="G2906" s="6" t="s">
        <v>61</v>
      </c>
      <c r="H2906" s="8" t="s">
        <v>3981</v>
      </c>
      <c r="I2906" s="9">
        <v>0.0</v>
      </c>
      <c r="J2906" s="5" t="str">
        <f t="shared" ref="J2906:K2906" si="2906">SUBSTITUTE(H2906, ",", "")</f>
        <v>0</v>
      </c>
      <c r="K2906" s="5" t="str">
        <f t="shared" si="2906"/>
        <v>Rp0</v>
      </c>
      <c r="L2906" s="5" t="str">
        <f t="shared" si="3"/>
        <v>0</v>
      </c>
    </row>
    <row r="2907">
      <c r="A2907" s="6" t="s">
        <v>4199</v>
      </c>
      <c r="B2907" s="7" t="str">
        <f>HYPERLINK("https://shopee.co.id/Clinelle-Age-Revive-Youth-Essence-20ml-i.186214521.3533399126", "https://shopee.co.id/Clinelle-Age-Revive-Youth-Essence-20ml-i.186214521.3533399126")</f>
        <v>https://shopee.co.id/Clinelle-Age-Revive-Youth-Essence-20ml-i.186214521.3533399126</v>
      </c>
      <c r="C2907" s="6" t="s">
        <v>1456</v>
      </c>
      <c r="D2907" s="6" t="s">
        <v>2293</v>
      </c>
      <c r="E2907" s="6" t="s">
        <v>12</v>
      </c>
      <c r="F2907" s="6" t="s">
        <v>13</v>
      </c>
      <c r="G2907" s="6" t="s">
        <v>61</v>
      </c>
      <c r="H2907" s="8" t="s">
        <v>3981</v>
      </c>
      <c r="I2907" s="9">
        <v>0.0</v>
      </c>
      <c r="J2907" s="5" t="str">
        <f t="shared" ref="J2907:K2907" si="2907">SUBSTITUTE(H2907, ",", "")</f>
        <v>0</v>
      </c>
      <c r="K2907" s="5" t="str">
        <f t="shared" si="2907"/>
        <v>Rp0</v>
      </c>
      <c r="L2907" s="5" t="str">
        <f t="shared" si="3"/>
        <v>0</v>
      </c>
    </row>
    <row r="2908">
      <c r="A2908" s="6" t="s">
        <v>4200</v>
      </c>
      <c r="B2908" s="7" t="str">
        <f>HYPERLINK("https://shopee.co.id/Clinelle-Caviar-Gold-Firming-Serum-30-ml-i.186214521.6404532303", "https://shopee.co.id/Clinelle-Caviar-Gold-Firming-Serum-30-ml-i.186214521.6404532303")</f>
        <v>https://shopee.co.id/Clinelle-Caviar-Gold-Firming-Serum-30-ml-i.186214521.6404532303</v>
      </c>
      <c r="C2908" s="6" t="s">
        <v>1456</v>
      </c>
      <c r="D2908" s="6" t="s">
        <v>2293</v>
      </c>
      <c r="E2908" s="6" t="s">
        <v>12</v>
      </c>
      <c r="F2908" s="6" t="s">
        <v>13</v>
      </c>
      <c r="G2908" s="6" t="s">
        <v>61</v>
      </c>
      <c r="H2908" s="8" t="s">
        <v>3981</v>
      </c>
      <c r="I2908" s="9">
        <v>0.0</v>
      </c>
      <c r="J2908" s="5" t="str">
        <f t="shared" ref="J2908:K2908" si="2908">SUBSTITUTE(H2908, ",", "")</f>
        <v>0</v>
      </c>
      <c r="K2908" s="5" t="str">
        <f t="shared" si="2908"/>
        <v>Rp0</v>
      </c>
      <c r="L2908" s="5" t="str">
        <f t="shared" si="3"/>
        <v>0</v>
      </c>
    </row>
    <row r="2909">
      <c r="A2909" s="6" t="s">
        <v>4201</v>
      </c>
      <c r="B2909" s="7" t="str">
        <f>HYPERLINK("https://shopee.co.id/Clinelle-CaviarGold-Firming-Serum-30ml-i.10689.1449238228", "https://shopee.co.id/Clinelle-CaviarGold-Firming-Serum-30ml-i.10689.1449238228")</f>
        <v>https://shopee.co.id/Clinelle-CaviarGold-Firming-Serum-30ml-i.10689.1449238228</v>
      </c>
      <c r="C2909" s="6" t="s">
        <v>1456</v>
      </c>
      <c r="D2909" s="6" t="s">
        <v>745</v>
      </c>
      <c r="E2909" s="6" t="s">
        <v>12</v>
      </c>
      <c r="F2909" s="6" t="s">
        <v>13</v>
      </c>
      <c r="G2909" s="6" t="s">
        <v>61</v>
      </c>
      <c r="H2909" s="8" t="s">
        <v>3981</v>
      </c>
      <c r="I2909" s="9">
        <v>0.0</v>
      </c>
      <c r="J2909" s="5" t="str">
        <f t="shared" ref="J2909:K2909" si="2909">SUBSTITUTE(H2909, ",", "")</f>
        <v>0</v>
      </c>
      <c r="K2909" s="5" t="str">
        <f t="shared" si="2909"/>
        <v>Rp0</v>
      </c>
      <c r="L2909" s="5" t="str">
        <f t="shared" si="3"/>
        <v>0</v>
      </c>
    </row>
    <row r="2910">
      <c r="A2910" s="6" t="s">
        <v>4202</v>
      </c>
      <c r="B2910" s="7" t="str">
        <f>HYPERLINK("https://shopee.co.id/Clinelle-PureSWISS-Hydracalm-Serum-20ml-i.10689.1449189762", "https://shopee.co.id/Clinelle-PureSWISS-Hydracalm-Serum-20ml-i.10689.1449189762")</f>
        <v>https://shopee.co.id/Clinelle-PureSWISS-Hydracalm-Serum-20ml-i.10689.1449189762</v>
      </c>
      <c r="C2910" s="6" t="s">
        <v>1456</v>
      </c>
      <c r="D2910" s="6" t="s">
        <v>745</v>
      </c>
      <c r="E2910" s="6" t="s">
        <v>12</v>
      </c>
      <c r="F2910" s="6" t="s">
        <v>13</v>
      </c>
      <c r="G2910" s="6" t="s">
        <v>61</v>
      </c>
      <c r="H2910" s="8" t="s">
        <v>3981</v>
      </c>
      <c r="I2910" s="9">
        <v>0.0</v>
      </c>
      <c r="J2910" s="5" t="str">
        <f t="shared" ref="J2910:K2910" si="2910">SUBSTITUTE(H2910, ",", "")</f>
        <v>0</v>
      </c>
      <c r="K2910" s="5" t="str">
        <f t="shared" si="2910"/>
        <v>Rp0</v>
      </c>
      <c r="L2910" s="5" t="str">
        <f t="shared" si="3"/>
        <v>0</v>
      </c>
    </row>
    <row r="2911">
      <c r="A2911" s="6" t="s">
        <v>4203</v>
      </c>
      <c r="B2911" s="7" t="str">
        <f>HYPERLINK("https://shopee.co.id/Clove-Flower-Turmeric-Anti-Aging-Serum-i.69878037.1168212728", "https://shopee.co.id/Clove-Flower-Turmeric-Anti-Aging-Serum-i.69878037.1168212728")</f>
        <v>https://shopee.co.id/Clove-Flower-Turmeric-Anti-Aging-Serum-i.69878037.1168212728</v>
      </c>
      <c r="C2911" s="6" t="s">
        <v>3655</v>
      </c>
      <c r="D2911" s="6" t="s">
        <v>3656</v>
      </c>
      <c r="E2911" s="6" t="s">
        <v>12</v>
      </c>
      <c r="F2911" s="6" t="s">
        <v>13</v>
      </c>
      <c r="G2911" s="6" t="s">
        <v>532</v>
      </c>
      <c r="H2911" s="8" t="s">
        <v>3981</v>
      </c>
      <c r="I2911" s="9">
        <v>0.0</v>
      </c>
      <c r="J2911" s="5" t="str">
        <f t="shared" ref="J2911:K2911" si="2911">SUBSTITUTE(H2911, ",", "")</f>
        <v>0</v>
      </c>
      <c r="K2911" s="5" t="str">
        <f t="shared" si="2911"/>
        <v>Rp0</v>
      </c>
      <c r="L2911" s="5" t="str">
        <f t="shared" si="3"/>
        <v>0</v>
      </c>
    </row>
    <row r="2912">
      <c r="A2912" s="6" t="s">
        <v>4204</v>
      </c>
      <c r="B2912" s="7" t="str">
        <f>HYPERLINK("https://shopee.co.id/Collistar-2-Pack-Molecular-Spray-Collagen-Anti-Wrinkle-Firming-100-mL-i.399500781.6786487927", "https://shopee.co.id/Collistar-2-Pack-Molecular-Spray-Collagen-Anti-Wrinkle-Firming-100-mL-i.399500781.6786487927")</f>
        <v>https://shopee.co.id/Collistar-2-Pack-Molecular-Spray-Collagen-Anti-Wrinkle-Firming-100-mL-i.399500781.6786487927</v>
      </c>
      <c r="C2912" s="6" t="s">
        <v>4205</v>
      </c>
      <c r="D2912" s="6" t="s">
        <v>4206</v>
      </c>
      <c r="E2912" s="6" t="s">
        <v>12</v>
      </c>
      <c r="F2912" s="6" t="s">
        <v>13</v>
      </c>
      <c r="G2912" s="6" t="s">
        <v>61</v>
      </c>
      <c r="H2912" s="8" t="s">
        <v>3981</v>
      </c>
      <c r="I2912" s="9">
        <v>0.0</v>
      </c>
      <c r="J2912" s="5" t="str">
        <f t="shared" ref="J2912:K2912" si="2912">SUBSTITUTE(H2912, ",", "")</f>
        <v>0</v>
      </c>
      <c r="K2912" s="5" t="str">
        <f t="shared" si="2912"/>
        <v>Rp0</v>
      </c>
      <c r="L2912" s="5" t="str">
        <f t="shared" si="3"/>
        <v>0</v>
      </c>
    </row>
    <row r="2913">
      <c r="A2913" s="6" t="s">
        <v>4207</v>
      </c>
      <c r="B2913" s="7" t="str">
        <f>HYPERLINK("https://shopee.co.id/COSRX-Hyaluronic-Acid-Hydra-Power-Essence-100ml-i.187117294.8602504982", "https://shopee.co.id/COSRX-Hyaluronic-Acid-Hydra-Power-Essence-100ml-i.187117294.8602504982")</f>
        <v>https://shopee.co.id/COSRX-Hyaluronic-Acid-Hydra-Power-Essence-100ml-i.187117294.8602504982</v>
      </c>
      <c r="C2913" s="6" t="s">
        <v>305</v>
      </c>
      <c r="D2913" s="6" t="s">
        <v>2366</v>
      </c>
      <c r="E2913" s="6" t="s">
        <v>12</v>
      </c>
      <c r="F2913" s="6" t="s">
        <v>13</v>
      </c>
      <c r="G2913" s="6" t="s">
        <v>469</v>
      </c>
      <c r="H2913" s="8" t="s">
        <v>3981</v>
      </c>
      <c r="I2913" s="9">
        <v>0.0</v>
      </c>
      <c r="J2913" s="5" t="str">
        <f t="shared" ref="J2913:K2913" si="2913">SUBSTITUTE(H2913, ",", "")</f>
        <v>0</v>
      </c>
      <c r="K2913" s="5" t="str">
        <f t="shared" si="2913"/>
        <v>Rp0</v>
      </c>
      <c r="L2913" s="5" t="str">
        <f t="shared" si="3"/>
        <v>0</v>
      </c>
    </row>
    <row r="2914">
      <c r="A2914" s="6" t="s">
        <v>1181</v>
      </c>
      <c r="B2914" s="7" t="str">
        <f>HYPERLINK("https://shopee.co.id/COSRX-Advanced-Snail-96-Mucin-Power-Essence-100ml-i.10689.7654525987", "https://shopee.co.id/COSRX-Advanced-Snail-96-Mucin-Power-Essence-100ml-i.10689.7654525987")</f>
        <v>https://shopee.co.id/COSRX-Advanced-Snail-96-Mucin-Power-Essence-100ml-i.10689.7654525987</v>
      </c>
      <c r="C2914" s="6" t="s">
        <v>305</v>
      </c>
      <c r="D2914" s="6" t="s">
        <v>745</v>
      </c>
      <c r="E2914" s="6" t="s">
        <v>12</v>
      </c>
      <c r="F2914" s="6" t="s">
        <v>13</v>
      </c>
      <c r="G2914" s="6" t="s">
        <v>61</v>
      </c>
      <c r="H2914" s="8" t="s">
        <v>3981</v>
      </c>
      <c r="I2914" s="9">
        <v>0.0</v>
      </c>
      <c r="J2914" s="5" t="str">
        <f t="shared" ref="J2914:K2914" si="2914">SUBSTITUTE(H2914, ",", "")</f>
        <v>0</v>
      </c>
      <c r="K2914" s="5" t="str">
        <f t="shared" si="2914"/>
        <v>Rp0</v>
      </c>
      <c r="L2914" s="5" t="str">
        <f t="shared" si="3"/>
        <v>0</v>
      </c>
    </row>
    <row r="2915">
      <c r="A2915" s="6" t="s">
        <v>491</v>
      </c>
      <c r="B2915" s="7" t="str">
        <f>HYPERLINK("https://shopee.co.id/COSRX-Advanced-Snail-Mucin-96-Power-Essence-100-ml-Esens-Lendir-Siput-Skincare-i.47255270.7967676980", "https://shopee.co.id/COSRX-Advanced-Snail-Mucin-96-Power-Essence-100-ml-Esens-Lendir-Siput-Skincare-i.47255270.7967676980")</f>
        <v>https://shopee.co.id/COSRX-Advanced-Snail-Mucin-96-Power-Essence-100-ml-Esens-Lendir-Siput-Skincare-i.47255270.7967676980</v>
      </c>
      <c r="C2915" s="6" t="s">
        <v>305</v>
      </c>
      <c r="D2915" s="6" t="s">
        <v>1978</v>
      </c>
      <c r="E2915" s="6" t="s">
        <v>12</v>
      </c>
      <c r="F2915" s="6" t="s">
        <v>13</v>
      </c>
      <c r="G2915" s="6" t="s">
        <v>241</v>
      </c>
      <c r="H2915" s="8" t="s">
        <v>3981</v>
      </c>
      <c r="I2915" s="9">
        <v>0.0</v>
      </c>
      <c r="J2915" s="5" t="str">
        <f t="shared" ref="J2915:K2915" si="2915">SUBSTITUTE(H2915, ",", "")</f>
        <v>0</v>
      </c>
      <c r="K2915" s="5" t="str">
        <f t="shared" si="2915"/>
        <v>Rp0</v>
      </c>
      <c r="L2915" s="5" t="str">
        <f t="shared" si="3"/>
        <v>0</v>
      </c>
    </row>
    <row r="2916">
      <c r="A2916" s="6" t="s">
        <v>4208</v>
      </c>
      <c r="B2916" s="7" t="str">
        <f>HYPERLINK("https://shopee.co.id/COSRX-Hyaluronic-Acid-Hydra-Power-Essence-100ml--i.47255270.9716644514", "https://shopee.co.id/COSRX-Hyaluronic-Acid-Hydra-Power-Essence-100ml--i.47255270.9716644514")</f>
        <v>https://shopee.co.id/COSRX-Hyaluronic-Acid-Hydra-Power-Essence-100ml--i.47255270.9716644514</v>
      </c>
      <c r="C2916" s="6" t="s">
        <v>1814</v>
      </c>
      <c r="D2916" s="6" t="s">
        <v>1978</v>
      </c>
      <c r="E2916" s="6" t="s">
        <v>12</v>
      </c>
      <c r="F2916" s="6" t="s">
        <v>13</v>
      </c>
      <c r="G2916" s="6" t="s">
        <v>241</v>
      </c>
      <c r="H2916" s="8" t="s">
        <v>3981</v>
      </c>
      <c r="I2916" s="9">
        <v>0.0</v>
      </c>
      <c r="J2916" s="5" t="str">
        <f t="shared" ref="J2916:K2916" si="2916">SUBSTITUTE(H2916, ",", "")</f>
        <v>0</v>
      </c>
      <c r="K2916" s="5" t="str">
        <f t="shared" si="2916"/>
        <v>Rp0</v>
      </c>
      <c r="L2916" s="5" t="str">
        <f t="shared" si="3"/>
        <v>0</v>
      </c>
    </row>
    <row r="2917">
      <c r="A2917" s="6" t="s">
        <v>4209</v>
      </c>
      <c r="B2917" s="7" t="str">
        <f>HYPERLINK("https://shopee.co.id/Covermark-Cell-Advanced-Serum-WR-i.295808783.7147636315", "https://shopee.co.id/Covermark-Cell-Advanced-Serum-WR-i.295808783.7147636315")</f>
        <v>https://shopee.co.id/Covermark-Cell-Advanced-Serum-WR-i.295808783.7147636315</v>
      </c>
      <c r="C2917" s="6" t="s">
        <v>4210</v>
      </c>
      <c r="D2917" s="6" t="s">
        <v>4211</v>
      </c>
      <c r="E2917" s="6" t="s">
        <v>12</v>
      </c>
      <c r="F2917" s="6" t="s">
        <v>13</v>
      </c>
      <c r="G2917" s="6" t="s">
        <v>3901</v>
      </c>
      <c r="H2917" s="8" t="s">
        <v>3981</v>
      </c>
      <c r="I2917" s="9">
        <v>0.0</v>
      </c>
      <c r="J2917" s="5" t="str">
        <f t="shared" ref="J2917:K2917" si="2917">SUBSTITUTE(H2917, ",", "")</f>
        <v>0</v>
      </c>
      <c r="K2917" s="5" t="str">
        <f t="shared" si="2917"/>
        <v>Rp0</v>
      </c>
      <c r="L2917" s="5" t="str">
        <f t="shared" si="3"/>
        <v>0</v>
      </c>
    </row>
    <row r="2918">
      <c r="A2918" s="6" t="s">
        <v>4212</v>
      </c>
      <c r="B2918" s="7" t="str">
        <f>HYPERLINK("https://shopee.co.id/Crystallure-Daily-Glow-Package-i.59763733.9515612770", "https://shopee.co.id/Crystallure-Daily-Glow-Package-i.59763733.9515612770")</f>
        <v>https://shopee.co.id/Crystallure-Daily-Glow-Package-i.59763733.9515612770</v>
      </c>
      <c r="C2918" s="6" t="s">
        <v>169</v>
      </c>
      <c r="D2918" s="6" t="s">
        <v>170</v>
      </c>
      <c r="E2918" s="6" t="s">
        <v>12</v>
      </c>
      <c r="F2918" s="6" t="s">
        <v>13</v>
      </c>
      <c r="G2918" s="6" t="s">
        <v>98</v>
      </c>
      <c r="H2918" s="8" t="s">
        <v>3981</v>
      </c>
      <c r="I2918" s="9">
        <v>0.0</v>
      </c>
      <c r="J2918" s="5" t="str">
        <f t="shared" ref="J2918:K2918" si="2918">SUBSTITUTE(H2918, ",", "")</f>
        <v>0</v>
      </c>
      <c r="K2918" s="5" t="str">
        <f t="shared" si="2918"/>
        <v>Rp0</v>
      </c>
      <c r="L2918" s="5" t="str">
        <f t="shared" si="3"/>
        <v>0</v>
      </c>
    </row>
    <row r="2919">
      <c r="A2919" s="6" t="s">
        <v>4213</v>
      </c>
      <c r="B2919" s="7" t="str">
        <f>HYPERLINK("https://shopee.co.id/Crystallure-Glowing-Skin-1-i.59763733.2950443429", "https://shopee.co.id/Crystallure-Glowing-Skin-1-i.59763733.2950443429")</f>
        <v>https://shopee.co.id/Crystallure-Glowing-Skin-1-i.59763733.2950443429</v>
      </c>
      <c r="C2919" s="6" t="s">
        <v>169</v>
      </c>
      <c r="D2919" s="6" t="s">
        <v>170</v>
      </c>
      <c r="E2919" s="6" t="s">
        <v>12</v>
      </c>
      <c r="F2919" s="6" t="s">
        <v>13</v>
      </c>
      <c r="G2919" s="6" t="s">
        <v>98</v>
      </c>
      <c r="H2919" s="8" t="s">
        <v>3981</v>
      </c>
      <c r="I2919" s="9">
        <v>0.0</v>
      </c>
      <c r="J2919" s="5" t="str">
        <f t="shared" ref="J2919:K2919" si="2919">SUBSTITUTE(H2919, ",", "")</f>
        <v>0</v>
      </c>
      <c r="K2919" s="5" t="str">
        <f t="shared" si="2919"/>
        <v>Rp0</v>
      </c>
      <c r="L2919" s="5" t="str">
        <f t="shared" si="3"/>
        <v>0</v>
      </c>
    </row>
    <row r="2920">
      <c r="A2920" s="6" t="s">
        <v>4214</v>
      </c>
      <c r="B2920" s="7" t="str">
        <f>HYPERLINK("https://shopee.co.id/Daneen-3G-Ultra-Vitamin-C-Serum-10ml-i.328329669.5079304810", "https://shopee.co.id/Daneen-3G-Ultra-Vitamin-C-Serum-10ml-i.328329669.5079304810")</f>
        <v>https://shopee.co.id/Daneen-3G-Ultra-Vitamin-C-Serum-10ml-i.328329669.5079304810</v>
      </c>
      <c r="C2920" s="6" t="s">
        <v>2675</v>
      </c>
      <c r="D2920" s="6" t="s">
        <v>2676</v>
      </c>
      <c r="E2920" s="6" t="s">
        <v>12</v>
      </c>
      <c r="F2920" s="6" t="s">
        <v>13</v>
      </c>
      <c r="G2920" s="6" t="s">
        <v>36</v>
      </c>
      <c r="H2920" s="8" t="s">
        <v>3981</v>
      </c>
      <c r="I2920" s="9">
        <v>0.0</v>
      </c>
      <c r="J2920" s="5" t="str">
        <f t="shared" ref="J2920:K2920" si="2920">SUBSTITUTE(H2920, ",", "")</f>
        <v>0</v>
      </c>
      <c r="K2920" s="5" t="str">
        <f t="shared" si="2920"/>
        <v>Rp0</v>
      </c>
      <c r="L2920" s="5" t="str">
        <f t="shared" si="3"/>
        <v>0</v>
      </c>
    </row>
    <row r="2921">
      <c r="A2921" s="6" t="s">
        <v>3086</v>
      </c>
      <c r="B2921" s="7" t="str">
        <f>HYPERLINK("https://shopee.co.id/Dear-Me-Beauty-1-Bakuchiol-Blueberry-Extract-Face-Serum-i.10689.10213130425", "https://shopee.co.id/Dear-Me-Beauty-1-Bakuchiol-Blueberry-Extract-Face-Serum-i.10689.10213130425")</f>
        <v>https://shopee.co.id/Dear-Me-Beauty-1-Bakuchiol-Blueberry-Extract-Face-Serum-i.10689.10213130425</v>
      </c>
      <c r="C2921" s="6" t="s">
        <v>70</v>
      </c>
      <c r="D2921" s="6" t="s">
        <v>745</v>
      </c>
      <c r="E2921" s="6" t="s">
        <v>12</v>
      </c>
      <c r="F2921" s="6" t="s">
        <v>13</v>
      </c>
      <c r="G2921" s="6" t="s">
        <v>61</v>
      </c>
      <c r="H2921" s="8" t="s">
        <v>3981</v>
      </c>
      <c r="I2921" s="9">
        <v>0.0</v>
      </c>
      <c r="J2921" s="5" t="str">
        <f t="shared" ref="J2921:K2921" si="2921">SUBSTITUTE(H2921, ",", "")</f>
        <v>0</v>
      </c>
      <c r="K2921" s="5" t="str">
        <f t="shared" si="2921"/>
        <v>Rp0</v>
      </c>
      <c r="L2921" s="5" t="str">
        <f t="shared" si="3"/>
        <v>0</v>
      </c>
    </row>
    <row r="2922">
      <c r="A2922" s="6" t="s">
        <v>4215</v>
      </c>
      <c r="B2922" s="7" t="str">
        <f>HYPERLINK("https://shopee.co.id/Dear-Me-Beauty-10-Cica-Watermelon-Extract-Face-Serum-i.10689.11815766942", "https://shopee.co.id/Dear-Me-Beauty-10-Cica-Watermelon-Extract-Face-Serum-i.10689.11815766942")</f>
        <v>https://shopee.co.id/Dear-Me-Beauty-10-Cica-Watermelon-Extract-Face-Serum-i.10689.11815766942</v>
      </c>
      <c r="C2922" s="6" t="s">
        <v>70</v>
      </c>
      <c r="D2922" s="6" t="s">
        <v>745</v>
      </c>
      <c r="E2922" s="6" t="s">
        <v>12</v>
      </c>
      <c r="F2922" s="6" t="s">
        <v>13</v>
      </c>
      <c r="G2922" s="6" t="s">
        <v>61</v>
      </c>
      <c r="H2922" s="8" t="s">
        <v>3981</v>
      </c>
      <c r="I2922" s="9">
        <v>0.0</v>
      </c>
      <c r="J2922" s="5" t="str">
        <f t="shared" ref="J2922:K2922" si="2922">SUBSTITUTE(H2922, ",", "")</f>
        <v>0</v>
      </c>
      <c r="K2922" s="5" t="str">
        <f t="shared" si="2922"/>
        <v>Rp0</v>
      </c>
      <c r="L2922" s="5" t="str">
        <f t="shared" si="3"/>
        <v>0</v>
      </c>
    </row>
    <row r="2923">
      <c r="A2923" s="6" t="s">
        <v>4216</v>
      </c>
      <c r="B2923" s="7" t="str">
        <f>HYPERLINK("https://shopee.co.id/Dear-Me-Beauty-10-Lactobionic-Acid-PHA-Lime-Extract-Face-Serum-i.270965687.8770625029", "https://shopee.co.id/Dear-Me-Beauty-10-Lactobionic-Acid-PHA-Lime-Extract-Face-Serum-i.270965687.8770625029")</f>
        <v>https://shopee.co.id/Dear-Me-Beauty-10-Lactobionic-Acid-PHA-Lime-Extract-Face-Serum-i.270965687.8770625029</v>
      </c>
      <c r="C2923" s="6" t="s">
        <v>70</v>
      </c>
      <c r="D2923" s="6" t="s">
        <v>379</v>
      </c>
      <c r="E2923" s="6" t="s">
        <v>12</v>
      </c>
      <c r="F2923" s="6" t="s">
        <v>13</v>
      </c>
      <c r="G2923" s="6" t="s">
        <v>380</v>
      </c>
      <c r="H2923" s="8" t="s">
        <v>3981</v>
      </c>
      <c r="I2923" s="9">
        <v>0.0</v>
      </c>
      <c r="J2923" s="5" t="str">
        <f t="shared" ref="J2923:K2923" si="2923">SUBSTITUTE(H2923, ",", "")</f>
        <v>0</v>
      </c>
      <c r="K2923" s="5" t="str">
        <f t="shared" si="2923"/>
        <v>Rp0</v>
      </c>
      <c r="L2923" s="5" t="str">
        <f t="shared" si="3"/>
        <v>0</v>
      </c>
    </row>
    <row r="2924">
      <c r="A2924" s="6" t="s">
        <v>4217</v>
      </c>
      <c r="B2924" s="7" t="str">
        <f>HYPERLINK("https://shopee.co.id/Dear-Me-Beauty-10-Niacinamide-Watermelon-Extract-Face-Serum-12ml-i.45495764.3041294317", "https://shopee.co.id/Dear-Me-Beauty-10-Niacinamide-Watermelon-Extract-Face-Serum-12ml-i.45495764.3041294317")</f>
        <v>https://shopee.co.id/Dear-Me-Beauty-10-Niacinamide-Watermelon-Extract-Face-Serum-12ml-i.45495764.3041294317</v>
      </c>
      <c r="C2924" s="6" t="s">
        <v>70</v>
      </c>
      <c r="D2924" s="6" t="s">
        <v>71</v>
      </c>
      <c r="E2924" s="6" t="s">
        <v>12</v>
      </c>
      <c r="F2924" s="6" t="s">
        <v>13</v>
      </c>
      <c r="G2924" s="6" t="s">
        <v>61</v>
      </c>
      <c r="H2924" s="8" t="s">
        <v>3981</v>
      </c>
      <c r="I2924" s="9">
        <v>0.0</v>
      </c>
      <c r="J2924" s="5" t="str">
        <f t="shared" ref="J2924:K2924" si="2924">SUBSTITUTE(H2924, ",", "")</f>
        <v>0</v>
      </c>
      <c r="K2924" s="5" t="str">
        <f t="shared" si="2924"/>
        <v>Rp0</v>
      </c>
      <c r="L2924" s="5" t="str">
        <f t="shared" si="3"/>
        <v>0</v>
      </c>
    </row>
    <row r="2925">
      <c r="A2925" s="6" t="s">
        <v>4218</v>
      </c>
      <c r="B2925" s="7" t="str">
        <f>HYPERLINK("https://shopee.co.id/Dear-Me-Beauty-8-Snap-8-Peptide-Avocado-Extract-Face-Serum-12ml-i.10689.10820215598", "https://shopee.co.id/Dear-Me-Beauty-8-Snap-8-Peptide-Avocado-Extract-Face-Serum-12ml-i.10689.10820215598")</f>
        <v>https://shopee.co.id/Dear-Me-Beauty-8-Snap-8-Peptide-Avocado-Extract-Face-Serum-12ml-i.10689.10820215598</v>
      </c>
      <c r="C2925" s="6" t="s">
        <v>70</v>
      </c>
      <c r="D2925" s="6" t="s">
        <v>745</v>
      </c>
      <c r="E2925" s="6" t="s">
        <v>12</v>
      </c>
      <c r="F2925" s="6" t="s">
        <v>13</v>
      </c>
      <c r="G2925" s="6" t="s">
        <v>61</v>
      </c>
      <c r="H2925" s="8" t="s">
        <v>3981</v>
      </c>
      <c r="I2925" s="9">
        <v>0.0</v>
      </c>
      <c r="J2925" s="5" t="str">
        <f t="shared" ref="J2925:K2925" si="2925">SUBSTITUTE(H2925, ",", "")</f>
        <v>0</v>
      </c>
      <c r="K2925" s="5" t="str">
        <f t="shared" si="2925"/>
        <v>Rp0</v>
      </c>
      <c r="L2925" s="5" t="str">
        <f t="shared" si="3"/>
        <v>0</v>
      </c>
    </row>
    <row r="2926">
      <c r="A2926" s="6" t="s">
        <v>4219</v>
      </c>
      <c r="B2926" s="7" t="str">
        <f>HYPERLINK("https://shopee.co.id/DEAR-ME-BEAUTY-8-Snap-8-Peptide-Avocado-Extract-Face-Serum-12ml-i.270965687.8780377745", "https://shopee.co.id/DEAR-ME-BEAUTY-8-Snap-8-Peptide-Avocado-Extract-Face-Serum-12ml-i.270965687.8780377745")</f>
        <v>https://shopee.co.id/DEAR-ME-BEAUTY-8-Snap-8-Peptide-Avocado-Extract-Face-Serum-12ml-i.270965687.8780377745</v>
      </c>
      <c r="C2926" s="6" t="s">
        <v>70</v>
      </c>
      <c r="D2926" s="6" t="s">
        <v>379</v>
      </c>
      <c r="E2926" s="6" t="s">
        <v>12</v>
      </c>
      <c r="F2926" s="6" t="s">
        <v>13</v>
      </c>
      <c r="G2926" s="6" t="s">
        <v>380</v>
      </c>
      <c r="H2926" s="8" t="s">
        <v>3981</v>
      </c>
      <c r="I2926" s="9">
        <v>0.0</v>
      </c>
      <c r="J2926" s="5" t="str">
        <f t="shared" ref="J2926:K2926" si="2926">SUBSTITUTE(H2926, ",", "")</f>
        <v>0</v>
      </c>
      <c r="K2926" s="5" t="str">
        <f t="shared" si="2926"/>
        <v>Rp0</v>
      </c>
      <c r="L2926" s="5" t="str">
        <f t="shared" si="3"/>
        <v>0</v>
      </c>
    </row>
    <row r="2927">
      <c r="A2927" s="6" t="s">
        <v>4220</v>
      </c>
      <c r="B2927" s="7" t="str">
        <f>HYPERLINK("https://shopee.co.id/Dear-Me-Beauty-Paket-Anti-Kerutan-12ml-PHA-Peptide-i.45495764.12511664936", "https://shopee.co.id/Dear-Me-Beauty-Paket-Anti-Kerutan-12ml-PHA-Peptide-i.45495764.12511664936")</f>
        <v>https://shopee.co.id/Dear-Me-Beauty-Paket-Anti-Kerutan-12ml-PHA-Peptide-i.45495764.12511664936</v>
      </c>
      <c r="C2927" s="6" t="s">
        <v>70</v>
      </c>
      <c r="D2927" s="6" t="s">
        <v>71</v>
      </c>
      <c r="E2927" s="6" t="s">
        <v>12</v>
      </c>
      <c r="F2927" s="6" t="s">
        <v>13</v>
      </c>
      <c r="G2927" s="6" t="s">
        <v>61</v>
      </c>
      <c r="H2927" s="8" t="s">
        <v>3981</v>
      </c>
      <c r="I2927" s="9">
        <v>0.0</v>
      </c>
      <c r="J2927" s="5" t="str">
        <f t="shared" ref="J2927:K2927" si="2927">SUBSTITUTE(H2927, ",", "")</f>
        <v>0</v>
      </c>
      <c r="K2927" s="5" t="str">
        <f t="shared" si="2927"/>
        <v>Rp0</v>
      </c>
      <c r="L2927" s="5" t="str">
        <f t="shared" si="3"/>
        <v>0</v>
      </c>
    </row>
    <row r="2928">
      <c r="A2928" s="6" t="s">
        <v>4221</v>
      </c>
      <c r="B2928" s="7" t="str">
        <f>HYPERLINK("https://shopee.co.id/Dear-Me-Beauty-Paket-Serum-Jerawat-12-ml-Niacinamide-BHA-Saliyclic-Acid-i.45495764.2986700544", "https://shopee.co.id/Dear-Me-Beauty-Paket-Serum-Jerawat-12-ml-Niacinamide-BHA-Saliyclic-Acid-i.45495764.2986700544")</f>
        <v>https://shopee.co.id/Dear-Me-Beauty-Paket-Serum-Jerawat-12-ml-Niacinamide-BHA-Saliyclic-Acid-i.45495764.2986700544</v>
      </c>
      <c r="C2928" s="6" t="s">
        <v>70</v>
      </c>
      <c r="D2928" s="6" t="s">
        <v>71</v>
      </c>
      <c r="E2928" s="6" t="s">
        <v>12</v>
      </c>
      <c r="F2928" s="6" t="s">
        <v>13</v>
      </c>
      <c r="G2928" s="6" t="s">
        <v>61</v>
      </c>
      <c r="H2928" s="8" t="s">
        <v>3981</v>
      </c>
      <c r="I2928" s="9">
        <v>0.0</v>
      </c>
      <c r="J2928" s="5" t="str">
        <f t="shared" ref="J2928:K2928" si="2928">SUBSTITUTE(H2928, ",", "")</f>
        <v>0</v>
      </c>
      <c r="K2928" s="5" t="str">
        <f t="shared" si="2928"/>
        <v>Rp0</v>
      </c>
      <c r="L2928" s="5" t="str">
        <f t="shared" si="3"/>
        <v>0</v>
      </c>
    </row>
    <row r="2929">
      <c r="A2929" s="6" t="s">
        <v>4222</v>
      </c>
      <c r="B2929" s="7" t="str">
        <f>HYPERLINK("https://shopee.co.id/DEAR-ME-BEAUTY-Single-Active-Face-Serum-10-Cica-Watermelon-Extract-12ml-i.68111.11905223586", "https://shopee.co.id/DEAR-ME-BEAUTY-Single-Active-Face-Serum-10-Cica-Watermelon-Extract-12ml-i.68111.11905223586")</f>
        <v>https://shopee.co.id/DEAR-ME-BEAUTY-Single-Active-Face-Serum-10-Cica-Watermelon-Extract-12ml-i.68111.11905223586</v>
      </c>
      <c r="C2929" s="6" t="s">
        <v>70</v>
      </c>
      <c r="D2929" s="6" t="s">
        <v>441</v>
      </c>
      <c r="E2929" s="6" t="s">
        <v>12</v>
      </c>
      <c r="F2929" s="6" t="s">
        <v>13</v>
      </c>
      <c r="G2929" s="6" t="s">
        <v>130</v>
      </c>
      <c r="H2929" s="8" t="s">
        <v>3981</v>
      </c>
      <c r="I2929" s="9">
        <v>0.0</v>
      </c>
      <c r="J2929" s="5" t="str">
        <f t="shared" ref="J2929:K2929" si="2929">SUBSTITUTE(H2929, ",", "")</f>
        <v>0</v>
      </c>
      <c r="K2929" s="5" t="str">
        <f t="shared" si="2929"/>
        <v>Rp0</v>
      </c>
      <c r="L2929" s="5" t="str">
        <f t="shared" si="3"/>
        <v>0</v>
      </c>
    </row>
    <row r="2930">
      <c r="A2930" s="6" t="s">
        <v>4223</v>
      </c>
      <c r="B2930" s="7" t="str">
        <f>HYPERLINK("https://shopee.co.id/DEAR-ME-BEAUTY-Single-Active-Face-Serum-10-Vitamin-C-Orange-Extract-12ml-i.68111.11305221024", "https://shopee.co.id/DEAR-ME-BEAUTY-Single-Active-Face-Serum-10-Vitamin-C-Orange-Extract-12ml-i.68111.11305221024")</f>
        <v>https://shopee.co.id/DEAR-ME-BEAUTY-Single-Active-Face-Serum-10-Vitamin-C-Orange-Extract-12ml-i.68111.11305221024</v>
      </c>
      <c r="C2930" s="6" t="s">
        <v>70</v>
      </c>
      <c r="D2930" s="6" t="s">
        <v>441</v>
      </c>
      <c r="E2930" s="6" t="s">
        <v>12</v>
      </c>
      <c r="F2930" s="6" t="s">
        <v>13</v>
      </c>
      <c r="G2930" s="6" t="s">
        <v>130</v>
      </c>
      <c r="H2930" s="8" t="s">
        <v>3981</v>
      </c>
      <c r="I2930" s="9">
        <v>0.0</v>
      </c>
      <c r="J2930" s="5" t="str">
        <f t="shared" ref="J2930:K2930" si="2930">SUBSTITUTE(H2930, ",", "")</f>
        <v>0</v>
      </c>
      <c r="K2930" s="5" t="str">
        <f t="shared" si="2930"/>
        <v>Rp0</v>
      </c>
      <c r="L2930" s="5" t="str">
        <f t="shared" si="3"/>
        <v>0</v>
      </c>
    </row>
    <row r="2931">
      <c r="A2931" s="6" t="s">
        <v>4224</v>
      </c>
      <c r="B2931" s="7" t="str">
        <f>HYPERLINK("https://shopee.co.id/DeBiuryn-Give-Me-That-Glow-Essential-i.231437504.3067491156", "https://shopee.co.id/DeBiuryn-Give-Me-That-Glow-Essential-i.231437504.3067491156")</f>
        <v>https://shopee.co.id/DeBiuryn-Give-Me-That-Glow-Essential-i.231437504.3067491156</v>
      </c>
      <c r="C2931" s="6" t="s">
        <v>3484</v>
      </c>
      <c r="D2931" s="6" t="s">
        <v>3485</v>
      </c>
      <c r="E2931" s="6" t="s">
        <v>12</v>
      </c>
      <c r="F2931" s="6" t="s">
        <v>13</v>
      </c>
      <c r="G2931" s="6" t="s">
        <v>1480</v>
      </c>
      <c r="H2931" s="8" t="s">
        <v>3981</v>
      </c>
      <c r="I2931" s="9">
        <v>0.0</v>
      </c>
      <c r="J2931" s="5" t="str">
        <f t="shared" ref="J2931:K2931" si="2931">SUBSTITUTE(H2931, ",", "")</f>
        <v>0</v>
      </c>
      <c r="K2931" s="5" t="str">
        <f t="shared" si="2931"/>
        <v>Rp0</v>
      </c>
      <c r="L2931" s="5" t="str">
        <f t="shared" si="3"/>
        <v>0</v>
      </c>
    </row>
    <row r="2932">
      <c r="A2932" s="6" t="s">
        <v>4225</v>
      </c>
      <c r="B2932" s="7" t="str">
        <f>HYPERLINK("https://shopee.co.id/DeBiuryn-Skin-Energy-Serum-Anti-Aging-20ml-Retinol-Glow-i.231437504.6133080140", "https://shopee.co.id/DeBiuryn-Skin-Energy-Serum-Anti-Aging-20ml-Retinol-Glow-i.231437504.6133080140")</f>
        <v>https://shopee.co.id/DeBiuryn-Skin-Energy-Serum-Anti-Aging-20ml-Retinol-Glow-i.231437504.6133080140</v>
      </c>
      <c r="C2932" s="6" t="s">
        <v>3484</v>
      </c>
      <c r="D2932" s="6" t="s">
        <v>3485</v>
      </c>
      <c r="E2932" s="6" t="s">
        <v>12</v>
      </c>
      <c r="F2932" s="6" t="s">
        <v>13</v>
      </c>
      <c r="G2932" s="6" t="s">
        <v>1480</v>
      </c>
      <c r="H2932" s="8" t="s">
        <v>3981</v>
      </c>
      <c r="I2932" s="9">
        <v>0.0</v>
      </c>
      <c r="J2932" s="5" t="str">
        <f t="shared" ref="J2932:K2932" si="2932">SUBSTITUTE(H2932, ",", "")</f>
        <v>0</v>
      </c>
      <c r="K2932" s="5" t="str">
        <f t="shared" si="2932"/>
        <v>Rp0</v>
      </c>
      <c r="L2932" s="5" t="str">
        <f t="shared" si="3"/>
        <v>0</v>
      </c>
    </row>
    <row r="2933">
      <c r="A2933" s="6" t="s">
        <v>4226</v>
      </c>
      <c r="B2933" s="7" t="str">
        <f>HYPERLINK("https://shopee.co.id/Derma-Plan-Sensitive-Soothing-Treatment-Special-Set-i.58386356.5566742004", "https://shopee.co.id/Derma-Plan-Sensitive-Soothing-Treatment-Special-Set-i.58386356.5566742004")</f>
        <v>https://shopee.co.id/Derma-Plan-Sensitive-Soothing-Treatment-Special-Set-i.58386356.5566742004</v>
      </c>
      <c r="C2933" s="6" t="s">
        <v>1162</v>
      </c>
      <c r="D2933" s="6" t="s">
        <v>2340</v>
      </c>
      <c r="E2933" s="6" t="s">
        <v>12</v>
      </c>
      <c r="F2933" s="6" t="s">
        <v>13</v>
      </c>
      <c r="G2933" s="6" t="s">
        <v>21</v>
      </c>
      <c r="H2933" s="8" t="s">
        <v>3981</v>
      </c>
      <c r="I2933" s="9">
        <v>0.0</v>
      </c>
      <c r="J2933" s="5" t="str">
        <f t="shared" ref="J2933:K2933" si="2933">SUBSTITUTE(H2933, ",", "")</f>
        <v>0</v>
      </c>
      <c r="K2933" s="5" t="str">
        <f t="shared" si="2933"/>
        <v>Rp0</v>
      </c>
      <c r="L2933" s="5" t="str">
        <f t="shared" si="3"/>
        <v>0</v>
      </c>
    </row>
    <row r="2934">
      <c r="A2934" s="6" t="s">
        <v>4227</v>
      </c>
      <c r="B2934" s="7" t="str">
        <f>HYPERLINK("https://shopee.co.id/Derma-T-rra-Ageless-Anti-Aging-Serum-i.234808009.6727566110", "https://shopee.co.id/Derma-T-rra-Ageless-Anti-Aging-Serum-i.234808009.6727566110")</f>
        <v>https://shopee.co.id/Derma-T-rra-Ageless-Anti-Aging-Serum-i.234808009.6727566110</v>
      </c>
      <c r="C2934" s="6" t="s">
        <v>1162</v>
      </c>
      <c r="D2934" s="6" t="s">
        <v>4228</v>
      </c>
      <c r="E2934" s="6" t="s">
        <v>12</v>
      </c>
      <c r="F2934" s="6" t="s">
        <v>13</v>
      </c>
      <c r="G2934" s="6" t="s">
        <v>61</v>
      </c>
      <c r="H2934" s="8" t="s">
        <v>3981</v>
      </c>
      <c r="I2934" s="9">
        <v>0.0</v>
      </c>
      <c r="J2934" s="5" t="str">
        <f t="shared" ref="J2934:K2934" si="2934">SUBSTITUTE(H2934, ",", "")</f>
        <v>0</v>
      </c>
      <c r="K2934" s="5" t="str">
        <f t="shared" si="2934"/>
        <v>Rp0</v>
      </c>
      <c r="L2934" s="5" t="str">
        <f t="shared" si="3"/>
        <v>0</v>
      </c>
    </row>
    <row r="2935">
      <c r="A2935" s="6" t="s">
        <v>4229</v>
      </c>
      <c r="B2935" s="7" t="str">
        <f>HYPERLINK("https://shopee.co.id/dermalogica-AGE-Bright-Serum-30ml--i.230946408.7240026473", "https://shopee.co.id/dermalogica-AGE-Bright-Serum-30ml--i.230946408.7240026473")</f>
        <v>https://shopee.co.id/dermalogica-AGE-Bright-Serum-30ml--i.230946408.7240026473</v>
      </c>
      <c r="C2935" s="6" t="s">
        <v>1903</v>
      </c>
      <c r="D2935" s="6" t="s">
        <v>1904</v>
      </c>
      <c r="E2935" s="6" t="s">
        <v>12</v>
      </c>
      <c r="F2935" s="6" t="s">
        <v>13</v>
      </c>
      <c r="G2935" s="6" t="s">
        <v>21</v>
      </c>
      <c r="H2935" s="8" t="s">
        <v>3981</v>
      </c>
      <c r="I2935" s="9">
        <v>0.0</v>
      </c>
      <c r="J2935" s="5" t="str">
        <f t="shared" ref="J2935:K2935" si="2935">SUBSTITUTE(H2935, ",", "")</f>
        <v>0</v>
      </c>
      <c r="K2935" s="5" t="str">
        <f t="shared" si="2935"/>
        <v>Rp0</v>
      </c>
      <c r="L2935" s="5" t="str">
        <f t="shared" si="3"/>
        <v>0</v>
      </c>
    </row>
    <row r="2936">
      <c r="A2936" s="6" t="s">
        <v>4230</v>
      </c>
      <c r="B2936" s="7" t="str">
        <f>HYPERLINK("https://shopee.co.id/Dermaluz-Serum-Acne-Exfoliating-15Ml-i.175375997.6207014444", "https://shopee.co.id/Dermaluz-Serum-Acne-Exfoliating-15Ml-i.175375997.6207014444")</f>
        <v>https://shopee.co.id/Dermaluz-Serum-Acne-Exfoliating-15Ml-i.175375997.6207014444</v>
      </c>
      <c r="C2936" s="6" t="s">
        <v>1064</v>
      </c>
      <c r="D2936" s="6" t="s">
        <v>2123</v>
      </c>
      <c r="E2936" s="6" t="s">
        <v>12</v>
      </c>
      <c r="F2936" s="6" t="s">
        <v>13</v>
      </c>
      <c r="G2936" s="6" t="s">
        <v>36</v>
      </c>
      <c r="H2936" s="8" t="s">
        <v>3981</v>
      </c>
      <c r="I2936" s="9">
        <v>0.0</v>
      </c>
      <c r="J2936" s="5" t="str">
        <f t="shared" ref="J2936:K2936" si="2936">SUBSTITUTE(H2936, ",", "")</f>
        <v>0</v>
      </c>
      <c r="K2936" s="5" t="str">
        <f t="shared" si="2936"/>
        <v>Rp0</v>
      </c>
      <c r="L2936" s="5" t="str">
        <f t="shared" si="3"/>
        <v>0</v>
      </c>
    </row>
    <row r="2937">
      <c r="A2937" s="6" t="s">
        <v>4231</v>
      </c>
      <c r="B2937" s="7" t="str">
        <f>HYPERLINK("https://shopee.co.id/Dermies-Clear-Me-Acne-Control-Serum-20-ml-Serum-Wajah-Untuk-Kulit-Berminyak-dan-Berjerawat-i.260681089.3233515191", "https://shopee.co.id/Dermies-Clear-Me-Acne-Control-Serum-20-ml-Serum-Wajah-Untuk-Kulit-Berminyak-dan-Berjerawat-i.260681089.3233515191")</f>
        <v>https://shopee.co.id/Dermies-Clear-Me-Acne-Control-Serum-20-ml-Serum-Wajah-Untuk-Kulit-Berminyak-dan-Berjerawat-i.260681089.3233515191</v>
      </c>
      <c r="C2937" s="6" t="s">
        <v>2456</v>
      </c>
      <c r="D2937" s="6" t="s">
        <v>2457</v>
      </c>
      <c r="E2937" s="6" t="s">
        <v>12</v>
      </c>
      <c r="F2937" s="6" t="s">
        <v>13</v>
      </c>
      <c r="G2937" s="6" t="s">
        <v>296</v>
      </c>
      <c r="H2937" s="8" t="s">
        <v>3981</v>
      </c>
      <c r="I2937" s="9">
        <v>0.0</v>
      </c>
      <c r="J2937" s="5" t="str">
        <f t="shared" ref="J2937:K2937" si="2937">SUBSTITUTE(H2937, ",", "")</f>
        <v>0</v>
      </c>
      <c r="K2937" s="5" t="str">
        <f t="shared" si="2937"/>
        <v>Rp0</v>
      </c>
      <c r="L2937" s="5" t="str">
        <f t="shared" si="3"/>
        <v>0</v>
      </c>
    </row>
    <row r="2938">
      <c r="A2938" s="6" t="s">
        <v>4232</v>
      </c>
      <c r="B2938" s="7" t="str">
        <f>HYPERLINK("https://shopee.co.id/Disc-40-Anti-Aging-Skincare-W-III-Pre-Essence-Repair-Serum-i.178522399.7721729449", "https://shopee.co.id/Disc-40-Anti-Aging-Skincare-W-III-Pre-Essence-Repair-Serum-i.178522399.7721729449")</f>
        <v>https://shopee.co.id/Disc-40-Anti-Aging-Skincare-W-III-Pre-Essence-Repair-Serum-i.178522399.7721729449</v>
      </c>
      <c r="C2938" s="6" t="s">
        <v>4233</v>
      </c>
      <c r="D2938" s="6" t="s">
        <v>4234</v>
      </c>
      <c r="E2938" s="6" t="s">
        <v>12</v>
      </c>
      <c r="F2938" s="6" t="s">
        <v>13</v>
      </c>
      <c r="G2938" s="6" t="s">
        <v>61</v>
      </c>
      <c r="H2938" s="8" t="s">
        <v>3981</v>
      </c>
      <c r="I2938" s="9">
        <v>0.0</v>
      </c>
      <c r="J2938" s="5" t="str">
        <f t="shared" ref="J2938:K2938" si="2938">SUBSTITUTE(H2938, ",", "")</f>
        <v>0</v>
      </c>
      <c r="K2938" s="5" t="str">
        <f t="shared" si="2938"/>
        <v>Rp0</v>
      </c>
      <c r="L2938" s="5" t="str">
        <f t="shared" si="3"/>
        <v>0</v>
      </c>
    </row>
    <row r="2939">
      <c r="A2939" s="6" t="s">
        <v>4235</v>
      </c>
      <c r="B2939" s="7" t="str">
        <f>HYPERLINK("https://shopee.co.id/Disc-40-Anti-Aging-Skincare-W-III-Skin-Essence-Remodelling-Serum-i.178522399.4421740793", "https://shopee.co.id/Disc-40-Anti-Aging-Skincare-W-III-Skin-Essence-Remodelling-Serum-i.178522399.4421740793")</f>
        <v>https://shopee.co.id/Disc-40-Anti-Aging-Skincare-W-III-Skin-Essence-Remodelling-Serum-i.178522399.4421740793</v>
      </c>
      <c r="C2939" s="6" t="s">
        <v>4233</v>
      </c>
      <c r="D2939" s="6" t="s">
        <v>4234</v>
      </c>
      <c r="E2939" s="6" t="s">
        <v>12</v>
      </c>
      <c r="F2939" s="6" t="s">
        <v>13</v>
      </c>
      <c r="G2939" s="6" t="s">
        <v>61</v>
      </c>
      <c r="H2939" s="8" t="s">
        <v>3981</v>
      </c>
      <c r="I2939" s="9">
        <v>0.0</v>
      </c>
      <c r="J2939" s="5" t="str">
        <f t="shared" ref="J2939:K2939" si="2939">SUBSTITUTE(H2939, ",", "")</f>
        <v>0</v>
      </c>
      <c r="K2939" s="5" t="str">
        <f t="shared" si="2939"/>
        <v>Rp0</v>
      </c>
      <c r="L2939" s="5" t="str">
        <f t="shared" si="3"/>
        <v>0</v>
      </c>
    </row>
    <row r="2940">
      <c r="A2940" s="6" t="s">
        <v>4236</v>
      </c>
      <c r="B2940" s="7" t="str">
        <f>HYPERLINK("https://shopee.co.id/DNI-AHA-BHA-Pore-Serum-i.41174739.3186382285", "https://shopee.co.id/DNI-AHA-BHA-Pore-Serum-i.41174739.3186382285")</f>
        <v>https://shopee.co.id/DNI-AHA-BHA-Pore-Serum-i.41174739.3186382285</v>
      </c>
      <c r="C2940" s="6" t="s">
        <v>2026</v>
      </c>
      <c r="D2940" s="6" t="s">
        <v>2383</v>
      </c>
      <c r="E2940" s="6" t="s">
        <v>12</v>
      </c>
      <c r="F2940" s="6" t="s">
        <v>13</v>
      </c>
      <c r="G2940" s="6" t="s">
        <v>945</v>
      </c>
      <c r="H2940" s="8" t="s">
        <v>3981</v>
      </c>
      <c r="I2940" s="9">
        <v>0.0</v>
      </c>
      <c r="J2940" s="5" t="str">
        <f t="shared" ref="J2940:K2940" si="2940">SUBSTITUTE(H2940, ",", "")</f>
        <v>0</v>
      </c>
      <c r="K2940" s="5" t="str">
        <f t="shared" si="2940"/>
        <v>Rp0</v>
      </c>
      <c r="L2940" s="5" t="str">
        <f t="shared" si="3"/>
        <v>0</v>
      </c>
    </row>
    <row r="2941">
      <c r="A2941" s="6" t="s">
        <v>3605</v>
      </c>
      <c r="B2941" s="7" t="str">
        <f>HYPERLINK("https://shopee.co.id/DNI-Anti-Aging-Serum-i.60506784.2861366427", "https://shopee.co.id/DNI-Anti-Aging-Serum-i.60506784.2861366427")</f>
        <v>https://shopee.co.id/DNI-Anti-Aging-Serum-i.60506784.2861366427</v>
      </c>
      <c r="C2941" s="6" t="s">
        <v>3842</v>
      </c>
      <c r="D2941" s="6" t="s">
        <v>3843</v>
      </c>
      <c r="E2941" s="6" t="s">
        <v>12</v>
      </c>
      <c r="F2941" s="6" t="s">
        <v>13</v>
      </c>
      <c r="G2941" s="6" t="s">
        <v>3844</v>
      </c>
      <c r="H2941" s="8" t="s">
        <v>3981</v>
      </c>
      <c r="I2941" s="9">
        <v>0.0</v>
      </c>
      <c r="J2941" s="5" t="str">
        <f t="shared" ref="J2941:K2941" si="2941">SUBSTITUTE(H2941, ",", "")</f>
        <v>0</v>
      </c>
      <c r="K2941" s="5" t="str">
        <f t="shared" si="2941"/>
        <v>Rp0</v>
      </c>
      <c r="L2941" s="5" t="str">
        <f t="shared" si="3"/>
        <v>0</v>
      </c>
    </row>
    <row r="2942">
      <c r="A2942" s="6" t="s">
        <v>3053</v>
      </c>
      <c r="B2942" s="7" t="str">
        <f>HYPERLINK("https://shopee.co.id/DNI-Glowing-Snail-Serum-i.60506784.3213974814", "https://shopee.co.id/DNI-Glowing-Snail-Serum-i.60506784.3213974814")</f>
        <v>https://shopee.co.id/DNI-Glowing-Snail-Serum-i.60506784.3213974814</v>
      </c>
      <c r="C2942" s="6" t="s">
        <v>3842</v>
      </c>
      <c r="D2942" s="6" t="s">
        <v>3843</v>
      </c>
      <c r="E2942" s="6" t="s">
        <v>12</v>
      </c>
      <c r="F2942" s="6" t="s">
        <v>13</v>
      </c>
      <c r="G2942" s="6" t="s">
        <v>3844</v>
      </c>
      <c r="H2942" s="8" t="s">
        <v>3981</v>
      </c>
      <c r="I2942" s="9">
        <v>0.0</v>
      </c>
      <c r="J2942" s="5" t="str">
        <f t="shared" ref="J2942:K2942" si="2942">SUBSTITUTE(H2942, ",", "")</f>
        <v>0</v>
      </c>
      <c r="K2942" s="5" t="str">
        <f t="shared" si="2942"/>
        <v>Rp0</v>
      </c>
      <c r="L2942" s="5" t="str">
        <f t="shared" si="3"/>
        <v>0</v>
      </c>
    </row>
    <row r="2943">
      <c r="A2943" s="6" t="s">
        <v>4237</v>
      </c>
      <c r="B2943" s="7" t="str">
        <f>HYPERLINK("https://shopee.co.id/Dr-Babor-Pro-Vitamin-C-Concentrate-i.131188140.5356363894", "https://shopee.co.id/Dr-Babor-Pro-Vitamin-C-Concentrate-i.131188140.5356363894")</f>
        <v>https://shopee.co.id/Dr-Babor-Pro-Vitamin-C-Concentrate-i.131188140.5356363894</v>
      </c>
      <c r="C2943" s="6" t="s">
        <v>1433</v>
      </c>
      <c r="D2943" s="6" t="s">
        <v>1434</v>
      </c>
      <c r="E2943" s="6" t="s">
        <v>12</v>
      </c>
      <c r="F2943" s="6" t="s">
        <v>13</v>
      </c>
      <c r="G2943" s="6" t="s">
        <v>61</v>
      </c>
      <c r="H2943" s="8" t="s">
        <v>3981</v>
      </c>
      <c r="I2943" s="9">
        <v>0.0</v>
      </c>
      <c r="J2943" s="5" t="str">
        <f t="shared" ref="J2943:K2943" si="2943">SUBSTITUTE(H2943, ",", "")</f>
        <v>0</v>
      </c>
      <c r="K2943" s="5" t="str">
        <f t="shared" si="2943"/>
        <v>Rp0</v>
      </c>
      <c r="L2943" s="5" t="str">
        <f t="shared" si="3"/>
        <v>0</v>
      </c>
    </row>
    <row r="2944">
      <c r="A2944" s="6" t="s">
        <v>4238</v>
      </c>
      <c r="B2944" s="7" t="str">
        <f>HYPERLINK("https://shopee.co.id/DR-JART-NEW-Ceramidin-Serum-40ml-i.68111.1941642560", "https://shopee.co.id/DR-JART-NEW-Ceramidin-Serum-40ml-i.68111.1941642560")</f>
        <v>https://shopee.co.id/DR-JART-NEW-Ceramidin-Serum-40ml-i.68111.1941642560</v>
      </c>
      <c r="C2944" s="6" t="s">
        <v>639</v>
      </c>
      <c r="D2944" s="6" t="s">
        <v>441</v>
      </c>
      <c r="E2944" s="6" t="s">
        <v>12</v>
      </c>
      <c r="F2944" s="6" t="s">
        <v>13</v>
      </c>
      <c r="G2944" s="6" t="s">
        <v>130</v>
      </c>
      <c r="H2944" s="8" t="s">
        <v>3981</v>
      </c>
      <c r="I2944" s="9">
        <v>0.0</v>
      </c>
      <c r="J2944" s="5" t="str">
        <f t="shared" ref="J2944:K2944" si="2944">SUBSTITUTE(H2944, ",", "")</f>
        <v>0</v>
      </c>
      <c r="K2944" s="5" t="str">
        <f t="shared" si="2944"/>
        <v>Rp0</v>
      </c>
      <c r="L2944" s="5" t="str">
        <f t="shared" si="3"/>
        <v>0</v>
      </c>
    </row>
    <row r="2945">
      <c r="A2945" s="6" t="s">
        <v>4239</v>
      </c>
      <c r="B2945" s="7" t="str">
        <f>HYPERLINK("https://shopee.co.id/Dr-Althea-Premium-Intensive-Essence-Mask-14-sachet--i.295755423.5946610181", "https://shopee.co.id/Dr-Althea-Premium-Intensive-Essence-Mask-14-sachet--i.295755423.5946610181")</f>
        <v>https://shopee.co.id/Dr-Althea-Premium-Intensive-Essence-Mask-14-sachet--i.295755423.5946610181</v>
      </c>
      <c r="C2945" s="6" t="s">
        <v>4240</v>
      </c>
      <c r="D2945" s="6" t="s">
        <v>4241</v>
      </c>
      <c r="E2945" s="6" t="s">
        <v>12</v>
      </c>
      <c r="F2945" s="6" t="s">
        <v>13</v>
      </c>
      <c r="G2945" s="6" t="s">
        <v>21</v>
      </c>
      <c r="H2945" s="8" t="s">
        <v>3981</v>
      </c>
      <c r="I2945" s="9">
        <v>0.0</v>
      </c>
      <c r="J2945" s="5" t="str">
        <f t="shared" ref="J2945:K2945" si="2945">SUBSTITUTE(H2945, ",", "")</f>
        <v>0</v>
      </c>
      <c r="K2945" s="5" t="str">
        <f t="shared" si="2945"/>
        <v>Rp0</v>
      </c>
      <c r="L2945" s="5" t="str">
        <f t="shared" si="3"/>
        <v>0</v>
      </c>
    </row>
    <row r="2946">
      <c r="A2946" s="6" t="s">
        <v>4242</v>
      </c>
      <c r="B2946" s="7" t="str">
        <f>HYPERLINK("https://shopee.co.id/Dr-Babor-Refine-Cellular-Glow-Booster-Bi-Phase-Ampoule-i.131188140.6956372177", "https://shopee.co.id/Dr-Babor-Refine-Cellular-Glow-Booster-Bi-Phase-Ampoule-i.131188140.6956372177")</f>
        <v>https://shopee.co.id/Dr-Babor-Refine-Cellular-Glow-Booster-Bi-Phase-Ampoule-i.131188140.6956372177</v>
      </c>
      <c r="C2946" s="6" t="s">
        <v>1433</v>
      </c>
      <c r="D2946" s="6" t="s">
        <v>1434</v>
      </c>
      <c r="E2946" s="6" t="s">
        <v>12</v>
      </c>
      <c r="F2946" s="6" t="s">
        <v>13</v>
      </c>
      <c r="G2946" s="6" t="s">
        <v>61</v>
      </c>
      <c r="H2946" s="8" t="s">
        <v>3981</v>
      </c>
      <c r="I2946" s="9">
        <v>0.0</v>
      </c>
      <c r="J2946" s="5" t="str">
        <f t="shared" ref="J2946:K2946" si="2946">SUBSTITUTE(H2946, ",", "")</f>
        <v>0</v>
      </c>
      <c r="K2946" s="5" t="str">
        <f t="shared" si="2946"/>
        <v>Rp0</v>
      </c>
      <c r="L2946" s="5" t="str">
        <f t="shared" si="3"/>
        <v>0</v>
      </c>
    </row>
    <row r="2947">
      <c r="A2947" s="6" t="s">
        <v>4243</v>
      </c>
      <c r="B2947" s="7" t="str">
        <f>HYPERLINK("https://shopee.co.id/Dr-Ceuracle-Royal-Vita-Propolis-33-Ampoule-15-ml-Ampul-Mencerahkan-Glowing-Skincare-i.224957239.3231717645", "https://shopee.co.id/Dr-Ceuracle-Royal-Vita-Propolis-33-Ampoule-15-ml-Ampul-Mencerahkan-Glowing-Skincare-i.224957239.3231717645")</f>
        <v>https://shopee.co.id/Dr-Ceuracle-Royal-Vita-Propolis-33-Ampoule-15-ml-Ampul-Mencerahkan-Glowing-Skincare-i.224957239.3231717645</v>
      </c>
      <c r="C2947" s="6" t="s">
        <v>4244</v>
      </c>
      <c r="D2947" s="6" t="s">
        <v>492</v>
      </c>
      <c r="E2947" s="6" t="s">
        <v>12</v>
      </c>
      <c r="F2947" s="6" t="s">
        <v>13</v>
      </c>
      <c r="G2947" s="6" t="s">
        <v>21</v>
      </c>
      <c r="H2947" s="8" t="s">
        <v>3981</v>
      </c>
      <c r="I2947" s="9">
        <v>0.0</v>
      </c>
      <c r="J2947" s="5" t="str">
        <f t="shared" ref="J2947:K2947" si="2947">SUBSTITUTE(H2947, ",", "")</f>
        <v>0</v>
      </c>
      <c r="K2947" s="5" t="str">
        <f t="shared" si="2947"/>
        <v>Rp0</v>
      </c>
      <c r="L2947" s="5" t="str">
        <f t="shared" si="3"/>
        <v>0</v>
      </c>
    </row>
    <row r="2948">
      <c r="A2948" s="6" t="s">
        <v>4245</v>
      </c>
      <c r="B2948" s="7" t="str">
        <f>HYPERLINK("https://shopee.co.id/dr-Erna-Lightening-Serum-Brightening-Serum-Pencerah-Wajah-dr-Erna-Skincare-i.147564934.6269788623", "https://shopee.co.id/dr-Erna-Lightening-Serum-Brightening-Serum-Pencerah-Wajah-dr-Erna-Skincare-i.147564934.6269788623")</f>
        <v>https://shopee.co.id/dr-Erna-Lightening-Serum-Brightening-Serum-Pencerah-Wajah-dr-Erna-Skincare-i.147564934.6269788623</v>
      </c>
      <c r="C2948" s="6" t="s">
        <v>2222</v>
      </c>
      <c r="D2948" s="6" t="s">
        <v>2223</v>
      </c>
      <c r="E2948" s="6" t="s">
        <v>12</v>
      </c>
      <c r="F2948" s="6" t="s">
        <v>13</v>
      </c>
      <c r="G2948" s="6" t="s">
        <v>21</v>
      </c>
      <c r="H2948" s="8" t="s">
        <v>3981</v>
      </c>
      <c r="I2948" s="9">
        <v>0.0</v>
      </c>
      <c r="J2948" s="5" t="str">
        <f t="shared" ref="J2948:K2948" si="2948">SUBSTITUTE(H2948, ",", "")</f>
        <v>0</v>
      </c>
      <c r="K2948" s="5" t="str">
        <f t="shared" si="2948"/>
        <v>Rp0</v>
      </c>
      <c r="L2948" s="5" t="str">
        <f t="shared" si="3"/>
        <v>0</v>
      </c>
    </row>
    <row r="2949">
      <c r="A2949" s="6" t="s">
        <v>4246</v>
      </c>
      <c r="B2949" s="7" t="str">
        <f>HYPERLINK("https://shopee.co.id/dr-Erna-Serum-Acne-Serum-Anti-Jerawat-dr-Erna-Skincare-i.147564934.2237506042", "https://shopee.co.id/dr-Erna-Serum-Acne-Serum-Anti-Jerawat-dr-Erna-Skincare-i.147564934.2237506042")</f>
        <v>https://shopee.co.id/dr-Erna-Serum-Acne-Serum-Anti-Jerawat-dr-Erna-Skincare-i.147564934.2237506042</v>
      </c>
      <c r="C2949" s="6" t="s">
        <v>2222</v>
      </c>
      <c r="D2949" s="6" t="s">
        <v>2223</v>
      </c>
      <c r="E2949" s="6" t="s">
        <v>12</v>
      </c>
      <c r="F2949" s="6" t="s">
        <v>13</v>
      </c>
      <c r="G2949" s="6" t="s">
        <v>21</v>
      </c>
      <c r="H2949" s="8" t="s">
        <v>3981</v>
      </c>
      <c r="I2949" s="9">
        <v>0.0</v>
      </c>
      <c r="J2949" s="5" t="str">
        <f t="shared" ref="J2949:K2949" si="2949">SUBSTITUTE(H2949, ",", "")</f>
        <v>0</v>
      </c>
      <c r="K2949" s="5" t="str">
        <f t="shared" si="2949"/>
        <v>Rp0</v>
      </c>
      <c r="L2949" s="5" t="str">
        <f t="shared" si="3"/>
        <v>0</v>
      </c>
    </row>
    <row r="2950">
      <c r="A2950" s="6" t="s">
        <v>4247</v>
      </c>
      <c r="B2950" s="7" t="str">
        <f>HYPERLINK("https://shopee.co.id/Dr-Oracle-21-Stay-Acerola-C-Ampoule-i.17081863.4315067691", "https://shopee.co.id/Dr-Oracle-21-Stay-Acerola-C-Ampoule-i.17081863.4315067691")</f>
        <v>https://shopee.co.id/Dr-Oracle-21-Stay-Acerola-C-Ampoule-i.17081863.4315067691</v>
      </c>
      <c r="C2950" s="6" t="s">
        <v>3611</v>
      </c>
      <c r="D2950" s="6" t="s">
        <v>2497</v>
      </c>
      <c r="E2950" s="6" t="s">
        <v>12</v>
      </c>
      <c r="F2950" s="6" t="s">
        <v>13</v>
      </c>
      <c r="G2950" s="6" t="s">
        <v>21</v>
      </c>
      <c r="H2950" s="8" t="s">
        <v>3981</v>
      </c>
      <c r="I2950" s="9">
        <v>0.0</v>
      </c>
      <c r="J2950" s="5" t="str">
        <f t="shared" ref="J2950:K2950" si="2950">SUBSTITUTE(H2950, ",", "")</f>
        <v>0</v>
      </c>
      <c r="K2950" s="5" t="str">
        <f t="shared" si="2950"/>
        <v>Rp0</v>
      </c>
      <c r="L2950" s="5" t="str">
        <f t="shared" si="3"/>
        <v>0</v>
      </c>
    </row>
    <row r="2951">
      <c r="A2951" s="6" t="s">
        <v>4248</v>
      </c>
      <c r="B2951" s="7" t="str">
        <f>HYPERLINK("https://shopee.co.id/Dr-Oracle-21-Stay-Maca-Peptide-Ampoule-i.17081863.7115067237", "https://shopee.co.id/Dr-Oracle-21-Stay-Maca-Peptide-Ampoule-i.17081863.7115067237")</f>
        <v>https://shopee.co.id/Dr-Oracle-21-Stay-Maca-Peptide-Ampoule-i.17081863.7115067237</v>
      </c>
      <c r="C2951" s="6" t="s">
        <v>3611</v>
      </c>
      <c r="D2951" s="6" t="s">
        <v>2497</v>
      </c>
      <c r="E2951" s="6" t="s">
        <v>12</v>
      </c>
      <c r="F2951" s="6" t="s">
        <v>13</v>
      </c>
      <c r="G2951" s="6" t="s">
        <v>21</v>
      </c>
      <c r="H2951" s="8" t="s">
        <v>3981</v>
      </c>
      <c r="I2951" s="9">
        <v>0.0</v>
      </c>
      <c r="J2951" s="5" t="str">
        <f t="shared" ref="J2951:K2951" si="2951">SUBSTITUTE(H2951, ",", "")</f>
        <v>0</v>
      </c>
      <c r="K2951" s="5" t="str">
        <f t="shared" si="2951"/>
        <v>Rp0</v>
      </c>
      <c r="L2951" s="5" t="str">
        <f t="shared" si="3"/>
        <v>0</v>
      </c>
    </row>
    <row r="2952">
      <c r="A2952" s="6" t="s">
        <v>4249</v>
      </c>
      <c r="B2952" s="7" t="str">
        <f>HYPERLINK("https://shopee.co.id/Dr-Althea-Skin-Balancing-UV-Essence-i.295755423.5154814811", "https://shopee.co.id/Dr-Althea-Skin-Balancing-UV-Essence-i.295755423.5154814811")</f>
        <v>https://shopee.co.id/Dr-Althea-Skin-Balancing-UV-Essence-i.295755423.5154814811</v>
      </c>
      <c r="C2952" s="6" t="s">
        <v>4250</v>
      </c>
      <c r="D2952" s="6" t="s">
        <v>4241</v>
      </c>
      <c r="E2952" s="6" t="s">
        <v>12</v>
      </c>
      <c r="F2952" s="6" t="s">
        <v>13</v>
      </c>
      <c r="G2952" s="6" t="s">
        <v>21</v>
      </c>
      <c r="H2952" s="8" t="s">
        <v>3981</v>
      </c>
      <c r="I2952" s="9">
        <v>0.0</v>
      </c>
      <c r="J2952" s="5" t="str">
        <f t="shared" ref="J2952:K2952" si="2952">SUBSTITUTE(H2952, ",", "")</f>
        <v>0</v>
      </c>
      <c r="K2952" s="5" t="str">
        <f t="shared" si="2952"/>
        <v>Rp0</v>
      </c>
      <c r="L2952" s="5" t="str">
        <f t="shared" si="3"/>
        <v>0</v>
      </c>
    </row>
    <row r="2953">
      <c r="A2953" s="6" t="s">
        <v>4251</v>
      </c>
      <c r="B2953" s="7" t="str">
        <f>HYPERLINK("https://shopee.co.id/Dr-Jart-Cicapair-Serum-30ml-i.825870.2043749529", "https://shopee.co.id/Dr-Jart-Cicapair-Serum-30ml-i.825870.2043749529")</f>
        <v>https://shopee.co.id/Dr-Jart-Cicapair-Serum-30ml-i.825870.2043749529</v>
      </c>
      <c r="C2953" s="6" t="s">
        <v>639</v>
      </c>
      <c r="D2953" s="6" t="s">
        <v>1184</v>
      </c>
      <c r="E2953" s="6" t="s">
        <v>12</v>
      </c>
      <c r="F2953" s="6" t="s">
        <v>13</v>
      </c>
      <c r="G2953" s="6" t="s">
        <v>98</v>
      </c>
      <c r="H2953" s="8" t="s">
        <v>3981</v>
      </c>
      <c r="I2953" s="9">
        <v>0.0</v>
      </c>
      <c r="J2953" s="5" t="str">
        <f t="shared" ref="J2953:K2953" si="2953">SUBSTITUTE(H2953, ",", "")</f>
        <v>0</v>
      </c>
      <c r="K2953" s="5" t="str">
        <f t="shared" si="2953"/>
        <v>Rp0</v>
      </c>
      <c r="L2953" s="5" t="str">
        <f t="shared" si="3"/>
        <v>0</v>
      </c>
    </row>
    <row r="2954">
      <c r="A2954" s="6" t="s">
        <v>4252</v>
      </c>
      <c r="B2954" s="7" t="str">
        <f>HYPERLINK("https://shopee.co.id/Dr-Jart-Vital-Hydra-Solution-Biome-Essence-with-Blue-Shot-50ml-i.126014132.4520408452", "https://shopee.co.id/Dr-Jart-Vital-Hydra-Solution-Biome-Essence-with-Blue-Shot-50ml-i.126014132.4520408452")</f>
        <v>https://shopee.co.id/Dr-Jart-Vital-Hydra-Solution-Biome-Essence-with-Blue-Shot-50ml-i.126014132.4520408452</v>
      </c>
      <c r="C2954" s="6" t="s">
        <v>1814</v>
      </c>
      <c r="D2954" s="6" t="s">
        <v>640</v>
      </c>
      <c r="E2954" s="6" t="s">
        <v>12</v>
      </c>
      <c r="F2954" s="6" t="s">
        <v>13</v>
      </c>
      <c r="G2954" s="6" t="s">
        <v>61</v>
      </c>
      <c r="H2954" s="8" t="s">
        <v>3981</v>
      </c>
      <c r="I2954" s="9">
        <v>0.0</v>
      </c>
      <c r="J2954" s="5" t="str">
        <f t="shared" ref="J2954:K2954" si="2954">SUBSTITUTE(H2954, ",", "")</f>
        <v>0</v>
      </c>
      <c r="K2954" s="5" t="str">
        <f t="shared" si="2954"/>
        <v>Rp0</v>
      </c>
      <c r="L2954" s="5" t="str">
        <f t="shared" si="3"/>
        <v>0</v>
      </c>
    </row>
    <row r="2955">
      <c r="A2955" s="6" t="s">
        <v>4253</v>
      </c>
      <c r="B2955" s="7" t="str">
        <f>HYPERLINK("https://shopee.co.id/Duvaderm-Acne-Shot-15ml-i.825870.9133966482", "https://shopee.co.id/Duvaderm-Acne-Shot-15ml-i.825870.9133966482")</f>
        <v>https://shopee.co.id/Duvaderm-Acne-Shot-15ml-i.825870.9133966482</v>
      </c>
      <c r="C2955" s="6" t="s">
        <v>2752</v>
      </c>
      <c r="D2955" s="6" t="s">
        <v>1184</v>
      </c>
      <c r="E2955" s="6" t="s">
        <v>12</v>
      </c>
      <c r="F2955" s="6" t="s">
        <v>13</v>
      </c>
      <c r="G2955" s="6" t="s">
        <v>21</v>
      </c>
      <c r="H2955" s="8" t="s">
        <v>3981</v>
      </c>
      <c r="I2955" s="9">
        <v>0.0</v>
      </c>
      <c r="J2955" s="5" t="str">
        <f t="shared" ref="J2955:K2955" si="2955">SUBSTITUTE(H2955, ",", "")</f>
        <v>0</v>
      </c>
      <c r="K2955" s="5" t="str">
        <f t="shared" si="2955"/>
        <v>Rp0</v>
      </c>
      <c r="L2955" s="5" t="str">
        <f t="shared" si="3"/>
        <v>0</v>
      </c>
    </row>
    <row r="2956">
      <c r="A2956" s="6" t="s">
        <v>4254</v>
      </c>
      <c r="B2956" s="7" t="str">
        <f>HYPERLINK("https://shopee.co.id/Duvaderm-Hyaluronic-Calming-Serum-30ml-i.825870.6660574493", "https://shopee.co.id/Duvaderm-Hyaluronic-Calming-Serum-30ml-i.825870.6660574493")</f>
        <v>https://shopee.co.id/Duvaderm-Hyaluronic-Calming-Serum-30ml-i.825870.6660574493</v>
      </c>
      <c r="C2956" s="6" t="s">
        <v>2752</v>
      </c>
      <c r="D2956" s="6" t="s">
        <v>1184</v>
      </c>
      <c r="E2956" s="6" t="s">
        <v>12</v>
      </c>
      <c r="F2956" s="6" t="s">
        <v>13</v>
      </c>
      <c r="G2956" s="6" t="s">
        <v>21</v>
      </c>
      <c r="H2956" s="8" t="s">
        <v>3981</v>
      </c>
      <c r="I2956" s="9">
        <v>0.0</v>
      </c>
      <c r="J2956" s="5" t="str">
        <f t="shared" ref="J2956:K2956" si="2956">SUBSTITUTE(H2956, ",", "")</f>
        <v>0</v>
      </c>
      <c r="K2956" s="5" t="str">
        <f t="shared" si="2956"/>
        <v>Rp0</v>
      </c>
      <c r="L2956" s="5" t="str">
        <f t="shared" si="3"/>
        <v>0</v>
      </c>
    </row>
    <row r="2957">
      <c r="A2957" s="6" t="s">
        <v>3943</v>
      </c>
      <c r="B2957" s="7" t="str">
        <f>HYPERLINK("https://shopee.co.id/Ecla-C-Lite-Brightening-Serum-10G-i.353463233.5569715212", "https://shopee.co.id/Ecla-C-Lite-Brightening-Serum-10G-i.353463233.5569715212")</f>
        <v>https://shopee.co.id/Ecla-C-Lite-Brightening-Serum-10G-i.353463233.5569715212</v>
      </c>
      <c r="C2957" s="6" t="s">
        <v>3626</v>
      </c>
      <c r="D2957" s="6" t="s">
        <v>3968</v>
      </c>
      <c r="E2957" s="6" t="s">
        <v>12</v>
      </c>
      <c r="F2957" s="6" t="s">
        <v>13</v>
      </c>
      <c r="G2957" s="6" t="s">
        <v>350</v>
      </c>
      <c r="H2957" s="8" t="s">
        <v>3981</v>
      </c>
      <c r="I2957" s="9">
        <v>0.0</v>
      </c>
      <c r="J2957" s="5" t="str">
        <f t="shared" ref="J2957:K2957" si="2957">SUBSTITUTE(H2957, ",", "")</f>
        <v>0</v>
      </c>
      <c r="K2957" s="5" t="str">
        <f t="shared" si="2957"/>
        <v>Rp0</v>
      </c>
      <c r="L2957" s="5" t="str">
        <f t="shared" si="3"/>
        <v>0</v>
      </c>
    </row>
    <row r="2958">
      <c r="A2958" s="6" t="s">
        <v>4255</v>
      </c>
      <c r="B2958" s="7" t="str">
        <f>HYPERLINK("https://shopee.co.id/ECLA-Gold-Anti-Aging-Serum-i.14403453.498250700", "https://shopee.co.id/ECLA-Gold-Anti-Aging-Serum-i.14403453.498250700")</f>
        <v>https://shopee.co.id/ECLA-Gold-Anti-Aging-Serum-i.14403453.498250700</v>
      </c>
      <c r="C2958" s="6" t="s">
        <v>4256</v>
      </c>
      <c r="D2958" s="6" t="s">
        <v>3627</v>
      </c>
      <c r="E2958" s="6" t="s">
        <v>12</v>
      </c>
      <c r="F2958" s="6" t="s">
        <v>13</v>
      </c>
      <c r="G2958" s="6" t="s">
        <v>469</v>
      </c>
      <c r="H2958" s="8" t="s">
        <v>3981</v>
      </c>
      <c r="I2958" s="9">
        <v>0.0</v>
      </c>
      <c r="J2958" s="5" t="str">
        <f t="shared" ref="J2958:K2958" si="2958">SUBSTITUTE(H2958, ",", "")</f>
        <v>0</v>
      </c>
      <c r="K2958" s="5" t="str">
        <f t="shared" si="2958"/>
        <v>Rp0</v>
      </c>
      <c r="L2958" s="5" t="str">
        <f t="shared" si="3"/>
        <v>0</v>
      </c>
    </row>
    <row r="2959">
      <c r="A2959" s="6" t="s">
        <v>4257</v>
      </c>
      <c r="B2959" s="7" t="str">
        <f>HYPERLINK("https://shopee.co.id/Elemis-Dynamic-Resurfacing-Serum-30ml-i.298239433.3857297959", "https://shopee.co.id/Elemis-Dynamic-Resurfacing-Serum-30ml-i.298239433.3857297959")</f>
        <v>https://shopee.co.id/Elemis-Dynamic-Resurfacing-Serum-30ml-i.298239433.3857297959</v>
      </c>
      <c r="C2959" s="6" t="s">
        <v>4258</v>
      </c>
      <c r="D2959" s="6" t="s">
        <v>4259</v>
      </c>
      <c r="E2959" s="6" t="s">
        <v>12</v>
      </c>
      <c r="F2959" s="6" t="s">
        <v>13</v>
      </c>
      <c r="G2959" s="6" t="s">
        <v>532</v>
      </c>
      <c r="H2959" s="8" t="s">
        <v>3981</v>
      </c>
      <c r="I2959" s="9">
        <v>0.0</v>
      </c>
      <c r="J2959" s="5" t="str">
        <f t="shared" ref="J2959:K2959" si="2959">SUBSTITUTE(H2959, ",", "")</f>
        <v>0</v>
      </c>
      <c r="K2959" s="5" t="str">
        <f t="shared" si="2959"/>
        <v>Rp0</v>
      </c>
      <c r="L2959" s="5" t="str">
        <f t="shared" si="3"/>
        <v>0</v>
      </c>
    </row>
    <row r="2960">
      <c r="A2960" s="6" t="s">
        <v>4260</v>
      </c>
      <c r="B2960" s="7" t="str">
        <f>HYPERLINK("https://shopee.co.id/Elemis-Pro-Collagen-Quartz-Lift-Serum-30ml-i.298239433.7657173129", "https://shopee.co.id/Elemis-Pro-Collagen-Quartz-Lift-Serum-30ml-i.298239433.7657173129")</f>
        <v>https://shopee.co.id/Elemis-Pro-Collagen-Quartz-Lift-Serum-30ml-i.298239433.7657173129</v>
      </c>
      <c r="C2960" s="6" t="s">
        <v>4258</v>
      </c>
      <c r="D2960" s="6" t="s">
        <v>4259</v>
      </c>
      <c r="E2960" s="6" t="s">
        <v>12</v>
      </c>
      <c r="F2960" s="6" t="s">
        <v>13</v>
      </c>
      <c r="G2960" s="6" t="s">
        <v>532</v>
      </c>
      <c r="H2960" s="8" t="s">
        <v>3981</v>
      </c>
      <c r="I2960" s="9">
        <v>0.0</v>
      </c>
      <c r="J2960" s="5" t="str">
        <f t="shared" ref="J2960:K2960" si="2960">SUBSTITUTE(H2960, ",", "")</f>
        <v>0</v>
      </c>
      <c r="K2960" s="5" t="str">
        <f t="shared" si="2960"/>
        <v>Rp0</v>
      </c>
      <c r="L2960" s="5" t="str">
        <f t="shared" si="3"/>
        <v>0</v>
      </c>
    </row>
    <row r="2961">
      <c r="A2961" s="6" t="s">
        <v>4261</v>
      </c>
      <c r="B2961" s="7" t="str">
        <f>HYPERLINK("https://shopee.co.id/Elemis-Superfood-Cica-Calm-Booster-9ml-i.298239433.7057187343", "https://shopee.co.id/Elemis-Superfood-Cica-Calm-Booster-9ml-i.298239433.7057187343")</f>
        <v>https://shopee.co.id/Elemis-Superfood-Cica-Calm-Booster-9ml-i.298239433.7057187343</v>
      </c>
      <c r="C2961" s="6" t="s">
        <v>4258</v>
      </c>
      <c r="D2961" s="6" t="s">
        <v>4259</v>
      </c>
      <c r="E2961" s="6" t="s">
        <v>12</v>
      </c>
      <c r="F2961" s="6" t="s">
        <v>13</v>
      </c>
      <c r="G2961" s="6" t="s">
        <v>532</v>
      </c>
      <c r="H2961" s="8" t="s">
        <v>3981</v>
      </c>
      <c r="I2961" s="9">
        <v>0.0</v>
      </c>
      <c r="J2961" s="5" t="str">
        <f t="shared" ref="J2961:K2961" si="2961">SUBSTITUTE(H2961, ",", "")</f>
        <v>0</v>
      </c>
      <c r="K2961" s="5" t="str">
        <f t="shared" si="2961"/>
        <v>Rp0</v>
      </c>
      <c r="L2961" s="5" t="str">
        <f t="shared" si="3"/>
        <v>0</v>
      </c>
    </row>
    <row r="2962">
      <c r="A2962" s="6" t="s">
        <v>4262</v>
      </c>
      <c r="B2962" s="7" t="str">
        <f>HYPERLINK("https://shopee.co.id/Elemis-Superfood-Glow-Booster-9ml-i.298239433.11700821136", "https://shopee.co.id/Elemis-Superfood-Glow-Booster-9ml-i.298239433.11700821136")</f>
        <v>https://shopee.co.id/Elemis-Superfood-Glow-Booster-9ml-i.298239433.11700821136</v>
      </c>
      <c r="C2962" s="6" t="s">
        <v>4258</v>
      </c>
      <c r="D2962" s="6" t="s">
        <v>4259</v>
      </c>
      <c r="E2962" s="6" t="s">
        <v>12</v>
      </c>
      <c r="F2962" s="6" t="s">
        <v>13</v>
      </c>
      <c r="G2962" s="6" t="s">
        <v>532</v>
      </c>
      <c r="H2962" s="8" t="s">
        <v>3981</v>
      </c>
      <c r="I2962" s="9">
        <v>0.0</v>
      </c>
      <c r="J2962" s="5" t="str">
        <f t="shared" ref="J2962:K2962" si="2962">SUBSTITUTE(H2962, ",", "")</f>
        <v>0</v>
      </c>
      <c r="K2962" s="5" t="str">
        <f t="shared" si="2962"/>
        <v>Rp0</v>
      </c>
      <c r="L2962" s="5" t="str">
        <f t="shared" si="3"/>
        <v>0</v>
      </c>
    </row>
    <row r="2963">
      <c r="A2963" s="6" t="s">
        <v>4263</v>
      </c>
      <c r="B2963" s="7" t="str">
        <f>HYPERLINK("https://shopee.co.id/Elevatione-Nutrix-Facial-Serum-Preserve-Your-Youth-Collection-i.253186674.7432485328", "https://shopee.co.id/Elevatione-Nutrix-Facial-Serum-Preserve-Your-Youth-Collection-i.253186674.7432485328")</f>
        <v>https://shopee.co.id/Elevatione-Nutrix-Facial-Serum-Preserve-Your-Youth-Collection-i.253186674.7432485328</v>
      </c>
      <c r="C2963" s="6" t="s">
        <v>4264</v>
      </c>
      <c r="D2963" s="6" t="s">
        <v>4265</v>
      </c>
      <c r="E2963" s="6" t="s">
        <v>12</v>
      </c>
      <c r="F2963" s="6" t="s">
        <v>13</v>
      </c>
      <c r="G2963" s="6" t="s">
        <v>296</v>
      </c>
      <c r="H2963" s="8" t="s">
        <v>3981</v>
      </c>
      <c r="I2963" s="9">
        <v>0.0</v>
      </c>
      <c r="J2963" s="5" t="str">
        <f t="shared" ref="J2963:K2963" si="2963">SUBSTITUTE(H2963, ",", "")</f>
        <v>0</v>
      </c>
      <c r="K2963" s="5" t="str">
        <f t="shared" si="2963"/>
        <v>Rp0</v>
      </c>
      <c r="L2963" s="5" t="str">
        <f t="shared" si="3"/>
        <v>0</v>
      </c>
    </row>
    <row r="2964">
      <c r="A2964" s="6" t="s">
        <v>4266</v>
      </c>
      <c r="B2964" s="7" t="str">
        <f>HYPERLINK("https://shopee.co.id/Elsheskin-Active-Rejuvenating-Night-Serum-i.17081863.9321007574", "https://shopee.co.id/Elsheskin-Active-Rejuvenating-Night-Serum-i.17081863.9321007574")</f>
        <v>https://shopee.co.id/Elsheskin-Active-Rejuvenating-Night-Serum-i.17081863.9321007574</v>
      </c>
      <c r="C2964" s="6" t="s">
        <v>135</v>
      </c>
      <c r="D2964" s="6" t="s">
        <v>2497</v>
      </c>
      <c r="E2964" s="6" t="s">
        <v>12</v>
      </c>
      <c r="F2964" s="6" t="s">
        <v>13</v>
      </c>
      <c r="G2964" s="6" t="s">
        <v>21</v>
      </c>
      <c r="H2964" s="8" t="s">
        <v>3981</v>
      </c>
      <c r="I2964" s="9">
        <v>0.0</v>
      </c>
      <c r="J2964" s="5" t="str">
        <f t="shared" ref="J2964:K2964" si="2964">SUBSTITUTE(H2964, ",", "")</f>
        <v>0</v>
      </c>
      <c r="K2964" s="5" t="str">
        <f t="shared" si="2964"/>
        <v>Rp0</v>
      </c>
      <c r="L2964" s="5" t="str">
        <f t="shared" si="3"/>
        <v>0</v>
      </c>
    </row>
    <row r="2965">
      <c r="A2965" s="6" t="s">
        <v>4267</v>
      </c>
      <c r="B2965" s="7" t="str">
        <f>HYPERLINK("https://shopee.co.id/ElsheSkin-Active-Rejuvenating-Night-Serum-Limited-Edition-i.9035345.9537619151", "https://shopee.co.id/ElsheSkin-Active-Rejuvenating-Night-Serum-Limited-Edition-i.9035345.9537619151")</f>
        <v>https://shopee.co.id/ElsheSkin-Active-Rejuvenating-Night-Serum-Limited-Edition-i.9035345.9537619151</v>
      </c>
      <c r="C2965" s="6" t="s">
        <v>135</v>
      </c>
      <c r="D2965" s="6" t="s">
        <v>136</v>
      </c>
      <c r="E2965" s="6" t="s">
        <v>12</v>
      </c>
      <c r="F2965" s="6" t="s">
        <v>13</v>
      </c>
      <c r="G2965" s="6" t="s">
        <v>80</v>
      </c>
      <c r="H2965" s="8" t="s">
        <v>3981</v>
      </c>
      <c r="I2965" s="9">
        <v>0.0</v>
      </c>
      <c r="J2965" s="5" t="str">
        <f t="shared" ref="J2965:K2965" si="2965">SUBSTITUTE(H2965, ",", "")</f>
        <v>0</v>
      </c>
      <c r="K2965" s="5" t="str">
        <f t="shared" si="2965"/>
        <v>Rp0</v>
      </c>
      <c r="L2965" s="5" t="str">
        <f t="shared" si="3"/>
        <v>0</v>
      </c>
    </row>
    <row r="2966">
      <c r="A2966" s="6" t="s">
        <v>200</v>
      </c>
      <c r="B2966" s="7" t="str">
        <f>HYPERLINK("https://shopee.co.id/ElsheSkin-Radiant-Skin-Serum-i.17081863.9320873368", "https://shopee.co.id/ElsheSkin-Radiant-Skin-Serum-i.17081863.9320873368")</f>
        <v>https://shopee.co.id/ElsheSkin-Radiant-Skin-Serum-i.17081863.9320873368</v>
      </c>
      <c r="C2966" s="6" t="s">
        <v>135</v>
      </c>
      <c r="D2966" s="6" t="s">
        <v>2497</v>
      </c>
      <c r="E2966" s="6" t="s">
        <v>12</v>
      </c>
      <c r="F2966" s="6" t="s">
        <v>13</v>
      </c>
      <c r="G2966" s="6" t="s">
        <v>21</v>
      </c>
      <c r="H2966" s="8" t="s">
        <v>3981</v>
      </c>
      <c r="I2966" s="9">
        <v>0.0</v>
      </c>
      <c r="J2966" s="5" t="str">
        <f t="shared" ref="J2966:K2966" si="2966">SUBSTITUTE(H2966, ",", "")</f>
        <v>0</v>
      </c>
      <c r="K2966" s="5" t="str">
        <f t="shared" si="2966"/>
        <v>Rp0</v>
      </c>
      <c r="L2966" s="5" t="str">
        <f t="shared" si="3"/>
        <v>0</v>
      </c>
    </row>
    <row r="2967">
      <c r="A2967" s="6" t="s">
        <v>4268</v>
      </c>
      <c r="B2967" s="7" t="str">
        <f>HYPERLINK("https://shopee.co.id/ElsheSkin-Sebum-Reducer-Serum-20ml-i.825870.1945026413", "https://shopee.co.id/ElsheSkin-Sebum-Reducer-Serum-20ml-i.825870.1945026413")</f>
        <v>https://shopee.co.id/ElsheSkin-Sebum-Reducer-Serum-20ml-i.825870.1945026413</v>
      </c>
      <c r="C2967" s="6" t="s">
        <v>135</v>
      </c>
      <c r="D2967" s="6" t="s">
        <v>1184</v>
      </c>
      <c r="E2967" s="6" t="s">
        <v>12</v>
      </c>
      <c r="F2967" s="6" t="s">
        <v>13</v>
      </c>
      <c r="G2967" s="6" t="s">
        <v>21</v>
      </c>
      <c r="H2967" s="8" t="s">
        <v>3981</v>
      </c>
      <c r="I2967" s="9">
        <v>0.0</v>
      </c>
      <c r="J2967" s="5" t="str">
        <f t="shared" ref="J2967:K2967" si="2967">SUBSTITUTE(H2967, ",", "")</f>
        <v>0</v>
      </c>
      <c r="K2967" s="5" t="str">
        <f t="shared" si="2967"/>
        <v>Rp0</v>
      </c>
      <c r="L2967" s="5" t="str">
        <f t="shared" si="3"/>
        <v>0</v>
      </c>
    </row>
    <row r="2968">
      <c r="A2968" s="6" t="s">
        <v>4269</v>
      </c>
      <c r="B2968" s="7" t="str">
        <f>HYPERLINK("https://shopee.co.id/Elsheskin-Skin-Serum-i.136011044.6139556914", "https://shopee.co.id/Elsheskin-Skin-Serum-i.136011044.6139556914")</f>
        <v>https://shopee.co.id/Elsheskin-Skin-Serum-i.136011044.6139556914</v>
      </c>
      <c r="C2968" s="6" t="s">
        <v>135</v>
      </c>
      <c r="D2968" s="6" t="s">
        <v>632</v>
      </c>
      <c r="E2968" s="6" t="s">
        <v>12</v>
      </c>
      <c r="F2968" s="6" t="s">
        <v>13</v>
      </c>
      <c r="G2968" s="6" t="s">
        <v>21</v>
      </c>
      <c r="H2968" s="8" t="s">
        <v>3981</v>
      </c>
      <c r="I2968" s="9">
        <v>0.0</v>
      </c>
      <c r="J2968" s="5" t="str">
        <f t="shared" ref="J2968:K2968" si="2968">SUBSTITUTE(H2968, ",", "")</f>
        <v>0</v>
      </c>
      <c r="K2968" s="5" t="str">
        <f t="shared" si="2968"/>
        <v>Rp0</v>
      </c>
      <c r="L2968" s="5" t="str">
        <f t="shared" si="3"/>
        <v>0</v>
      </c>
    </row>
    <row r="2969">
      <c r="A2969" s="6" t="s">
        <v>780</v>
      </c>
      <c r="B2969" s="7" t="str">
        <f>HYPERLINK("https://shopee.co.id/ElsheSkin-Smoothing-Serum-For-Acne-Skin-i.17081863.6580729757", "https://shopee.co.id/ElsheSkin-Smoothing-Serum-For-Acne-Skin-i.17081863.6580729757")</f>
        <v>https://shopee.co.id/ElsheSkin-Smoothing-Serum-For-Acne-Skin-i.17081863.6580729757</v>
      </c>
      <c r="C2969" s="6" t="s">
        <v>135</v>
      </c>
      <c r="D2969" s="6" t="s">
        <v>2497</v>
      </c>
      <c r="E2969" s="6" t="s">
        <v>12</v>
      </c>
      <c r="F2969" s="6" t="s">
        <v>13</v>
      </c>
      <c r="G2969" s="6" t="s">
        <v>21</v>
      </c>
      <c r="H2969" s="8" t="s">
        <v>3981</v>
      </c>
      <c r="I2969" s="9">
        <v>0.0</v>
      </c>
      <c r="J2969" s="5" t="str">
        <f t="shared" ref="J2969:K2969" si="2969">SUBSTITUTE(H2969, ",", "")</f>
        <v>0</v>
      </c>
      <c r="K2969" s="5" t="str">
        <f t="shared" si="2969"/>
        <v>Rp0</v>
      </c>
      <c r="L2969" s="5" t="str">
        <f t="shared" si="3"/>
        <v>0</v>
      </c>
    </row>
    <row r="2970">
      <c r="A2970" s="6" t="s">
        <v>4270</v>
      </c>
      <c r="B2970" s="7" t="str">
        <f>HYPERLINK("https://shopee.co.id/ElsheSkin-Vitamin-C-Serum-20ml-i.825870.1924193278", "https://shopee.co.id/ElsheSkin-Vitamin-C-Serum-20ml-i.825870.1924193278")</f>
        <v>https://shopee.co.id/ElsheSkin-Vitamin-C-Serum-20ml-i.825870.1924193278</v>
      </c>
      <c r="C2970" s="6" t="s">
        <v>135</v>
      </c>
      <c r="D2970" s="6" t="s">
        <v>1184</v>
      </c>
      <c r="E2970" s="6" t="s">
        <v>12</v>
      </c>
      <c r="F2970" s="6" t="s">
        <v>13</v>
      </c>
      <c r="G2970" s="6" t="s">
        <v>21</v>
      </c>
      <c r="H2970" s="8" t="s">
        <v>3981</v>
      </c>
      <c r="I2970" s="9">
        <v>0.0</v>
      </c>
      <c r="J2970" s="5" t="str">
        <f t="shared" ref="J2970:K2970" si="2970">SUBSTITUTE(H2970, ",", "")</f>
        <v>0</v>
      </c>
      <c r="K2970" s="5" t="str">
        <f t="shared" si="2970"/>
        <v>Rp0</v>
      </c>
      <c r="L2970" s="5" t="str">
        <f t="shared" si="3"/>
        <v>0</v>
      </c>
    </row>
    <row r="2971">
      <c r="A2971" s="6" t="s">
        <v>4271</v>
      </c>
      <c r="B2971" s="7" t="str">
        <f>HYPERLINK("https://shopee.co.id/EMINA-Bright-Stuff-Face-Serum-i.187117294.8749438142", "https://shopee.co.id/EMINA-Bright-Stuff-Face-Serum-i.187117294.8749438142")</f>
        <v>https://shopee.co.id/EMINA-Bright-Stuff-Face-Serum-i.187117294.8749438142</v>
      </c>
      <c r="C2971" s="6" t="s">
        <v>209</v>
      </c>
      <c r="D2971" s="6" t="s">
        <v>2366</v>
      </c>
      <c r="E2971" s="6" t="s">
        <v>12</v>
      </c>
      <c r="F2971" s="6" t="s">
        <v>13</v>
      </c>
      <c r="G2971" s="6" t="s">
        <v>469</v>
      </c>
      <c r="H2971" s="8" t="s">
        <v>3981</v>
      </c>
      <c r="I2971" s="9">
        <v>0.0</v>
      </c>
      <c r="J2971" s="5" t="str">
        <f t="shared" ref="J2971:K2971" si="2971">SUBSTITUTE(H2971, ",", "")</f>
        <v>0</v>
      </c>
      <c r="K2971" s="5" t="str">
        <f t="shared" si="2971"/>
        <v>Rp0</v>
      </c>
      <c r="L2971" s="5" t="str">
        <f t="shared" si="3"/>
        <v>0</v>
      </c>
    </row>
    <row r="2972">
      <c r="A2972" s="6" t="s">
        <v>4272</v>
      </c>
      <c r="B2972" s="7" t="str">
        <f>HYPERLINK("https://shopee.co.id/Emina-It-s-Time-to-Glow-Up-Serum-Magic-Potion-i.63983008.9369210108", "https://shopee.co.id/Emina-It-s-Time-to-Glow-Up-Serum-Magic-Potion-i.63983008.9369210108")</f>
        <v>https://shopee.co.id/Emina-It-s-Time-to-Glow-Up-Serum-Magic-Potion-i.63983008.9369210108</v>
      </c>
      <c r="C2972" s="6" t="s">
        <v>209</v>
      </c>
      <c r="D2972" s="6" t="s">
        <v>210</v>
      </c>
      <c r="E2972" s="6" t="s">
        <v>12</v>
      </c>
      <c r="F2972" s="6" t="s">
        <v>13</v>
      </c>
      <c r="G2972" s="6" t="s">
        <v>98</v>
      </c>
      <c r="H2972" s="8" t="s">
        <v>3981</v>
      </c>
      <c r="I2972" s="9">
        <v>0.0</v>
      </c>
      <c r="J2972" s="5" t="str">
        <f t="shared" ref="J2972:K2972" si="2972">SUBSTITUTE(H2972, ",", "")</f>
        <v>0</v>
      </c>
      <c r="K2972" s="5" t="str">
        <f t="shared" si="2972"/>
        <v>Rp0</v>
      </c>
      <c r="L2972" s="5" t="str">
        <f t="shared" si="3"/>
        <v>0</v>
      </c>
    </row>
    <row r="2973">
      <c r="A2973" s="6" t="s">
        <v>4273</v>
      </c>
      <c r="B2973" s="7" t="str">
        <f>HYPERLINK("https://shopee.co.id/Emina-You-Glow-Girl-Serum-Creamatte-i.63983008.5592354429", "https://shopee.co.id/Emina-You-Glow-Girl-Serum-Creamatte-i.63983008.5592354429")</f>
        <v>https://shopee.co.id/Emina-You-Glow-Girl-Serum-Creamatte-i.63983008.5592354429</v>
      </c>
      <c r="C2973" s="6" t="s">
        <v>209</v>
      </c>
      <c r="D2973" s="6" t="s">
        <v>210</v>
      </c>
      <c r="E2973" s="6" t="s">
        <v>12</v>
      </c>
      <c r="F2973" s="6" t="s">
        <v>13</v>
      </c>
      <c r="G2973" s="6" t="s">
        <v>98</v>
      </c>
      <c r="H2973" s="8" t="s">
        <v>3981</v>
      </c>
      <c r="I2973" s="9">
        <v>0.0</v>
      </c>
      <c r="J2973" s="5" t="str">
        <f t="shared" ref="J2973:K2973" si="2973">SUBSTITUTE(H2973, ",", "")</f>
        <v>0</v>
      </c>
      <c r="K2973" s="5" t="str">
        <f t="shared" si="2973"/>
        <v>Rp0</v>
      </c>
      <c r="L2973" s="5" t="str">
        <f t="shared" si="3"/>
        <v>0</v>
      </c>
    </row>
    <row r="2974">
      <c r="A2974" s="6" t="s">
        <v>4274</v>
      </c>
      <c r="B2974" s="7" t="str">
        <f>HYPERLINK("https://shopee.co.id/Envygreen-Intensify-Brightening-Serum-with-AHA-8-BHA-Niacinamide-10gr-i.825870.9823544568", "https://shopee.co.id/Envygreen-Intensify-Brightening-Serum-with-AHA-8-BHA-Niacinamide-10gr-i.825870.9823544568")</f>
        <v>https://shopee.co.id/Envygreen-Intensify-Brightening-Serum-with-AHA-8-BHA-Niacinamide-10gr-i.825870.9823544568</v>
      </c>
      <c r="C2974" s="6" t="s">
        <v>2034</v>
      </c>
      <c r="D2974" s="6" t="s">
        <v>1184</v>
      </c>
      <c r="E2974" s="6" t="s">
        <v>12</v>
      </c>
      <c r="F2974" s="6" t="s">
        <v>13</v>
      </c>
      <c r="G2974" s="6" t="s">
        <v>21</v>
      </c>
      <c r="H2974" s="8" t="s">
        <v>3981</v>
      </c>
      <c r="I2974" s="9">
        <v>0.0</v>
      </c>
      <c r="J2974" s="5" t="str">
        <f t="shared" ref="J2974:K2974" si="2974">SUBSTITUTE(H2974, ",", "")</f>
        <v>0</v>
      </c>
      <c r="K2974" s="5" t="str">
        <f t="shared" si="2974"/>
        <v>Rp0</v>
      </c>
      <c r="L2974" s="5" t="str">
        <f t="shared" si="3"/>
        <v>0</v>
      </c>
    </row>
    <row r="2975">
      <c r="A2975" s="6" t="s">
        <v>4275</v>
      </c>
      <c r="B2975" s="7" t="str">
        <f>HYPERLINK("https://shopee.co.id/Envygreen-x-Wellisna-The-Right-Bright-Glow-Serum-20gr-i.825870.9323539622", "https://shopee.co.id/Envygreen-x-Wellisna-The-Right-Bright-Glow-Serum-20gr-i.825870.9323539622")</f>
        <v>https://shopee.co.id/Envygreen-x-Wellisna-The-Right-Bright-Glow-Serum-20gr-i.825870.9323539622</v>
      </c>
      <c r="C2975" s="6" t="s">
        <v>2034</v>
      </c>
      <c r="D2975" s="6" t="s">
        <v>1184</v>
      </c>
      <c r="E2975" s="6" t="s">
        <v>12</v>
      </c>
      <c r="F2975" s="6" t="s">
        <v>13</v>
      </c>
      <c r="G2975" s="6" t="s">
        <v>21</v>
      </c>
      <c r="H2975" s="8" t="s">
        <v>3981</v>
      </c>
      <c r="I2975" s="9">
        <v>0.0</v>
      </c>
      <c r="J2975" s="5" t="str">
        <f t="shared" ref="J2975:K2975" si="2975">SUBSTITUTE(H2975, ",", "")</f>
        <v>0</v>
      </c>
      <c r="K2975" s="5" t="str">
        <f t="shared" si="2975"/>
        <v>Rp0</v>
      </c>
      <c r="L2975" s="5" t="str">
        <f t="shared" si="3"/>
        <v>0</v>
      </c>
    </row>
    <row r="2976">
      <c r="A2976" s="6" t="s">
        <v>4276</v>
      </c>
      <c r="B2976" s="7" t="str">
        <f>HYPERLINK("https://shopee.co.id/ERHA-hiserha-gentle-acne-essence-all-in-one-i.187117294.4965909957", "https://shopee.co.id/ERHA-hiserha-gentle-acne-essence-all-in-one-i.187117294.4965909957")</f>
        <v>https://shopee.co.id/ERHA-hiserha-gentle-acne-essence-all-in-one-i.187117294.4965909957</v>
      </c>
      <c r="C2976" s="6" t="s">
        <v>181</v>
      </c>
      <c r="D2976" s="6" t="s">
        <v>2366</v>
      </c>
      <c r="E2976" s="6" t="s">
        <v>12</v>
      </c>
      <c r="F2976" s="6" t="s">
        <v>13</v>
      </c>
      <c r="G2976" s="6" t="s">
        <v>469</v>
      </c>
      <c r="H2976" s="8" t="s">
        <v>3981</v>
      </c>
      <c r="I2976" s="9">
        <v>0.0</v>
      </c>
      <c r="J2976" s="5" t="str">
        <f t="shared" ref="J2976:K2976" si="2976">SUBSTITUTE(H2976, ",", "")</f>
        <v>0</v>
      </c>
      <c r="K2976" s="5" t="str">
        <f t="shared" si="2976"/>
        <v>Rp0</v>
      </c>
      <c r="L2976" s="5" t="str">
        <f t="shared" si="3"/>
        <v>0</v>
      </c>
    </row>
    <row r="2977">
      <c r="A2977" s="6" t="s">
        <v>4277</v>
      </c>
      <c r="B2977" s="7" t="str">
        <f>HYPERLINK("https://shopee.co.id/ERHA-Age-Corrector-Moisture-Control-Booster-15ML-Anti-Aging-Booster-i.187117294.8354835616", "https://shopee.co.id/ERHA-Age-Corrector-Moisture-Control-Booster-15ML-Anti-Aging-Booster-i.187117294.8354835616")</f>
        <v>https://shopee.co.id/ERHA-Age-Corrector-Moisture-Control-Booster-15ML-Anti-Aging-Booster-i.187117294.8354835616</v>
      </c>
      <c r="C2977" s="6" t="s">
        <v>181</v>
      </c>
      <c r="D2977" s="6" t="s">
        <v>2366</v>
      </c>
      <c r="E2977" s="6" t="s">
        <v>12</v>
      </c>
      <c r="F2977" s="6" t="s">
        <v>13</v>
      </c>
      <c r="G2977" s="6" t="s">
        <v>469</v>
      </c>
      <c r="H2977" s="8" t="s">
        <v>3981</v>
      </c>
      <c r="I2977" s="9">
        <v>0.0</v>
      </c>
      <c r="J2977" s="5" t="str">
        <f t="shared" ref="J2977:K2977" si="2977">SUBSTITUTE(H2977, ",", "")</f>
        <v>0</v>
      </c>
      <c r="K2977" s="5" t="str">
        <f t="shared" si="2977"/>
        <v>Rp0</v>
      </c>
      <c r="L2977" s="5" t="str">
        <f t="shared" si="3"/>
        <v>0</v>
      </c>
    </row>
    <row r="2978">
      <c r="A2978" s="6" t="s">
        <v>4278</v>
      </c>
      <c r="B2978" s="7" t="str">
        <f>HYPERLINK("https://shopee.co.id/ERHA-Age-Corrector-Skin-Renew-Booster-15ML-Anti-Aging-Booster-i.187117294.9854840086", "https://shopee.co.id/ERHA-Age-Corrector-Skin-Renew-Booster-15ML-Anti-Aging-Booster-i.187117294.9854840086")</f>
        <v>https://shopee.co.id/ERHA-Age-Corrector-Skin-Renew-Booster-15ML-Anti-Aging-Booster-i.187117294.9854840086</v>
      </c>
      <c r="C2978" s="6" t="s">
        <v>181</v>
      </c>
      <c r="D2978" s="6" t="s">
        <v>2366</v>
      </c>
      <c r="E2978" s="6" t="s">
        <v>12</v>
      </c>
      <c r="F2978" s="6" t="s">
        <v>13</v>
      </c>
      <c r="G2978" s="6" t="s">
        <v>469</v>
      </c>
      <c r="H2978" s="8" t="s">
        <v>3981</v>
      </c>
      <c r="I2978" s="9">
        <v>0.0</v>
      </c>
      <c r="J2978" s="5" t="str">
        <f t="shared" ref="J2978:K2978" si="2978">SUBSTITUTE(H2978, ",", "")</f>
        <v>0</v>
      </c>
      <c r="K2978" s="5" t="str">
        <f t="shared" si="2978"/>
        <v>Rp0</v>
      </c>
      <c r="L2978" s="5" t="str">
        <f t="shared" si="3"/>
        <v>0</v>
      </c>
    </row>
    <row r="2979">
      <c r="A2979" s="6" t="s">
        <v>4279</v>
      </c>
      <c r="B2979" s="7" t="str">
        <f>HYPERLINK("https://shopee.co.id/Erha-Truwhite-Activator-C-Serum-19ml-i.30736001.3537157618", "https://shopee.co.id/Erha-Truwhite-Activator-C-Serum-19ml-i.30736001.3537157618")</f>
        <v>https://shopee.co.id/Erha-Truwhite-Activator-C-Serum-19ml-i.30736001.3537157618</v>
      </c>
      <c r="C2979" s="6" t="s">
        <v>181</v>
      </c>
      <c r="D2979" s="6" t="s">
        <v>335</v>
      </c>
      <c r="E2979" s="6" t="s">
        <v>12</v>
      </c>
      <c r="F2979" s="6" t="s">
        <v>13</v>
      </c>
      <c r="G2979" s="6" t="s">
        <v>36</v>
      </c>
      <c r="H2979" s="8" t="s">
        <v>3981</v>
      </c>
      <c r="I2979" s="9">
        <v>0.0</v>
      </c>
      <c r="J2979" s="5" t="str">
        <f t="shared" ref="J2979:K2979" si="2979">SUBSTITUTE(H2979, ",", "")</f>
        <v>0</v>
      </c>
      <c r="K2979" s="5" t="str">
        <f t="shared" si="2979"/>
        <v>Rp0</v>
      </c>
      <c r="L2979" s="5" t="str">
        <f t="shared" si="3"/>
        <v>0</v>
      </c>
    </row>
    <row r="2980">
      <c r="A2980" s="6" t="s">
        <v>4280</v>
      </c>
      <c r="B2980" s="7" t="str">
        <f>HYPERLINK("https://shopee.co.id/ERHA-X-AQUA-Refresh-Hydrating-Serum-i.187117294.8519876376", "https://shopee.co.id/ERHA-X-AQUA-Refresh-Hydrating-Serum-i.187117294.8519876376")</f>
        <v>https://shopee.co.id/ERHA-X-AQUA-Refresh-Hydrating-Serum-i.187117294.8519876376</v>
      </c>
      <c r="C2980" s="6" t="s">
        <v>181</v>
      </c>
      <c r="D2980" s="6" t="s">
        <v>2366</v>
      </c>
      <c r="E2980" s="6" t="s">
        <v>12</v>
      </c>
      <c r="F2980" s="6" t="s">
        <v>13</v>
      </c>
      <c r="G2980" s="6" t="s">
        <v>469</v>
      </c>
      <c r="H2980" s="8" t="s">
        <v>3981</v>
      </c>
      <c r="I2980" s="9">
        <v>0.0</v>
      </c>
      <c r="J2980" s="5" t="str">
        <f t="shared" ref="J2980:K2980" si="2980">SUBSTITUTE(H2980, ",", "")</f>
        <v>0</v>
      </c>
      <c r="K2980" s="5" t="str">
        <f t="shared" si="2980"/>
        <v>Rp0</v>
      </c>
      <c r="L2980" s="5" t="str">
        <f t="shared" si="3"/>
        <v>0</v>
      </c>
    </row>
    <row r="2981">
      <c r="A2981" s="6" t="s">
        <v>4281</v>
      </c>
      <c r="B2981" s="7" t="str">
        <f>HYPERLINK("https://shopee.co.id/ERHA21-Age-Corrector-Serum-BUY-1-AGE-CORRECTOR-SERUM-FREE-1-WHITE-JADE-ROLLER--i.187117294.4149962745", "https://shopee.co.id/ERHA21-Age-Corrector-Serum-BUY-1-AGE-CORRECTOR-SERUM-FREE-1-WHITE-JADE-ROLLER--i.187117294.4149962745")</f>
        <v>https://shopee.co.id/ERHA21-Age-Corrector-Serum-BUY-1-AGE-CORRECTOR-SERUM-FREE-1-WHITE-JADE-ROLLER--i.187117294.4149962745</v>
      </c>
      <c r="C2981" s="6" t="s">
        <v>4282</v>
      </c>
      <c r="D2981" s="6" t="s">
        <v>2366</v>
      </c>
      <c r="E2981" s="6" t="s">
        <v>12</v>
      </c>
      <c r="F2981" s="6" t="s">
        <v>13</v>
      </c>
      <c r="G2981" s="6" t="s">
        <v>469</v>
      </c>
      <c r="H2981" s="8" t="s">
        <v>3981</v>
      </c>
      <c r="I2981" s="9">
        <v>0.0</v>
      </c>
      <c r="J2981" s="5" t="str">
        <f t="shared" ref="J2981:K2981" si="2981">SUBSTITUTE(H2981, ",", "")</f>
        <v>0</v>
      </c>
      <c r="K2981" s="5" t="str">
        <f t="shared" si="2981"/>
        <v>Rp0</v>
      </c>
      <c r="L2981" s="5" t="str">
        <f t="shared" si="3"/>
        <v>0</v>
      </c>
    </row>
    <row r="2982">
      <c r="A2982" s="6" t="s">
        <v>4283</v>
      </c>
      <c r="B2982" s="7" t="str">
        <f>HYPERLINK("https://shopee.co.id/ESSENCE-Insta-Perfect-Liquid-Make-Up-i.47255270.4416051759", "https://shopee.co.id/ESSENCE-Insta-Perfect-Liquid-Make-Up-i.47255270.4416051759")</f>
        <v>https://shopee.co.id/ESSENCE-Insta-Perfect-Liquid-Make-Up-i.47255270.4416051759</v>
      </c>
      <c r="C2982" s="6" t="s">
        <v>4284</v>
      </c>
      <c r="D2982" s="6" t="s">
        <v>1978</v>
      </c>
      <c r="E2982" s="6" t="s">
        <v>12</v>
      </c>
      <c r="F2982" s="6" t="s">
        <v>13</v>
      </c>
      <c r="G2982" s="6" t="s">
        <v>241</v>
      </c>
      <c r="H2982" s="8" t="s">
        <v>3981</v>
      </c>
      <c r="I2982" s="9">
        <v>0.0</v>
      </c>
      <c r="J2982" s="5" t="str">
        <f t="shared" ref="J2982:K2982" si="2982">SUBSTITUTE(H2982, ",", "")</f>
        <v>0</v>
      </c>
      <c r="K2982" s="5" t="str">
        <f t="shared" si="2982"/>
        <v>Rp0</v>
      </c>
      <c r="L2982" s="5" t="str">
        <f t="shared" si="3"/>
        <v>0</v>
      </c>
    </row>
    <row r="2983">
      <c r="A2983" s="6" t="s">
        <v>4285</v>
      </c>
      <c r="B2983" s="7" t="str">
        <f>HYPERLINK("https://shopee.co.id/Estetiderma-Skin-Refining-Serum-Value-Pack-Isi-2-Serum-Wajah-i.61653681.5552896718", "https://shopee.co.id/Estetiderma-Skin-Refining-Serum-Value-Pack-Isi-2-Serum-Wajah-i.61653681.5552896718")</f>
        <v>https://shopee.co.id/Estetiderma-Skin-Refining-Serum-Value-Pack-Isi-2-Serum-Wajah-i.61653681.5552896718</v>
      </c>
      <c r="C2983" s="6" t="s">
        <v>2451</v>
      </c>
      <c r="D2983" s="6" t="s">
        <v>2452</v>
      </c>
      <c r="E2983" s="6" t="s">
        <v>12</v>
      </c>
      <c r="F2983" s="6" t="s">
        <v>13</v>
      </c>
      <c r="G2983" s="6" t="s">
        <v>98</v>
      </c>
      <c r="H2983" s="8" t="s">
        <v>3981</v>
      </c>
      <c r="I2983" s="9">
        <v>0.0</v>
      </c>
      <c r="J2983" s="5" t="str">
        <f t="shared" ref="J2983:K2983" si="2983">SUBSTITUTE(H2983, ",", "")</f>
        <v>0</v>
      </c>
      <c r="K2983" s="5" t="str">
        <f t="shared" si="2983"/>
        <v>Rp0</v>
      </c>
      <c r="L2983" s="5" t="str">
        <f t="shared" si="3"/>
        <v>0</v>
      </c>
    </row>
    <row r="2984">
      <c r="A2984" s="6" t="s">
        <v>4286</v>
      </c>
      <c r="B2984" s="7" t="str">
        <f>HYPERLINK("https://shopee.co.id/Esther-Acne-Serum-4-Ampoules-i.258793984.4132828613", "https://shopee.co.id/Esther-Acne-Serum-4-Ampoules-i.258793984.4132828613")</f>
        <v>https://shopee.co.id/Esther-Acne-Serum-4-Ampoules-i.258793984.4132828613</v>
      </c>
      <c r="C2984" s="6" t="s">
        <v>3398</v>
      </c>
      <c r="D2984" s="6" t="s">
        <v>3399</v>
      </c>
      <c r="E2984" s="6" t="s">
        <v>12</v>
      </c>
      <c r="F2984" s="6" t="s">
        <v>13</v>
      </c>
      <c r="G2984" s="6" t="s">
        <v>350</v>
      </c>
      <c r="H2984" s="8" t="s">
        <v>3981</v>
      </c>
      <c r="I2984" s="9">
        <v>0.0</v>
      </c>
      <c r="J2984" s="5" t="str">
        <f t="shared" ref="J2984:K2984" si="2984">SUBSTITUTE(H2984, ",", "")</f>
        <v>0</v>
      </c>
      <c r="K2984" s="5" t="str">
        <f t="shared" si="2984"/>
        <v>Rp0</v>
      </c>
      <c r="L2984" s="5" t="str">
        <f t="shared" si="3"/>
        <v>0</v>
      </c>
    </row>
    <row r="2985">
      <c r="A2985" s="6" t="s">
        <v>4287</v>
      </c>
      <c r="B2985" s="7" t="str">
        <f>HYPERLINK("https://shopee.co.id/Esther-Calming-Serum-20ml-i.258793984.2925995419", "https://shopee.co.id/Esther-Calming-Serum-20ml-i.258793984.2925995419")</f>
        <v>https://shopee.co.id/Esther-Calming-Serum-20ml-i.258793984.2925995419</v>
      </c>
      <c r="C2985" s="6" t="s">
        <v>3398</v>
      </c>
      <c r="D2985" s="6" t="s">
        <v>3399</v>
      </c>
      <c r="E2985" s="6" t="s">
        <v>12</v>
      </c>
      <c r="F2985" s="6" t="s">
        <v>13</v>
      </c>
      <c r="G2985" s="6" t="s">
        <v>350</v>
      </c>
      <c r="H2985" s="8" t="s">
        <v>3981</v>
      </c>
      <c r="I2985" s="9">
        <v>0.0</v>
      </c>
      <c r="J2985" s="5" t="str">
        <f t="shared" ref="J2985:K2985" si="2985">SUBSTITUTE(H2985, ",", "")</f>
        <v>0</v>
      </c>
      <c r="K2985" s="5" t="str">
        <f t="shared" si="2985"/>
        <v>Rp0</v>
      </c>
      <c r="L2985" s="5" t="str">
        <f t="shared" si="3"/>
        <v>0</v>
      </c>
    </row>
    <row r="2986">
      <c r="A2986" s="6" t="s">
        <v>4288</v>
      </c>
      <c r="B2986" s="7" t="str">
        <f>HYPERLINK("https://shopee.co.id/Esther-Intensive-Serum-i.258793984.3732924449", "https://shopee.co.id/Esther-Intensive-Serum-i.258793984.3732924449")</f>
        <v>https://shopee.co.id/Esther-Intensive-Serum-i.258793984.3732924449</v>
      </c>
      <c r="C2986" s="6" t="s">
        <v>3398</v>
      </c>
      <c r="D2986" s="6" t="s">
        <v>3399</v>
      </c>
      <c r="E2986" s="6" t="s">
        <v>12</v>
      </c>
      <c r="F2986" s="6" t="s">
        <v>13</v>
      </c>
      <c r="G2986" s="6" t="s">
        <v>350</v>
      </c>
      <c r="H2986" s="8" t="s">
        <v>3981</v>
      </c>
      <c r="I2986" s="9">
        <v>0.0</v>
      </c>
      <c r="J2986" s="5" t="str">
        <f t="shared" ref="J2986:K2986" si="2986">SUBSTITUTE(H2986, ",", "")</f>
        <v>0</v>
      </c>
      <c r="K2986" s="5" t="str">
        <f t="shared" si="2986"/>
        <v>Rp0</v>
      </c>
      <c r="L2986" s="5" t="str">
        <f t="shared" si="3"/>
        <v>0</v>
      </c>
    </row>
    <row r="2987">
      <c r="A2987" s="6" t="s">
        <v>4289</v>
      </c>
      <c r="B2987" s="7" t="str">
        <f>HYPERLINK("https://shopee.co.id/EverShine-Bright-Sakura-Serum-20ml-i.825870.3319107634", "https://shopee.co.id/EverShine-Bright-Sakura-Serum-20ml-i.825870.3319107634")</f>
        <v>https://shopee.co.id/EverShine-Bright-Sakura-Serum-20ml-i.825870.3319107634</v>
      </c>
      <c r="C2987" s="6" t="s">
        <v>1061</v>
      </c>
      <c r="D2987" s="6" t="s">
        <v>1184</v>
      </c>
      <c r="E2987" s="6" t="s">
        <v>12</v>
      </c>
      <c r="F2987" s="6" t="s">
        <v>13</v>
      </c>
      <c r="G2987" s="6" t="s">
        <v>98</v>
      </c>
      <c r="H2987" s="8" t="s">
        <v>3981</v>
      </c>
      <c r="I2987" s="9">
        <v>0.0</v>
      </c>
      <c r="J2987" s="5" t="str">
        <f t="shared" ref="J2987:K2987" si="2987">SUBSTITUTE(H2987, ",", "")</f>
        <v>0</v>
      </c>
      <c r="K2987" s="5" t="str">
        <f t="shared" si="2987"/>
        <v>Rp0</v>
      </c>
      <c r="L2987" s="5" t="str">
        <f t="shared" si="3"/>
        <v>0</v>
      </c>
    </row>
    <row r="2988">
      <c r="A2988" s="6" t="s">
        <v>4290</v>
      </c>
      <c r="B2988" s="7" t="str">
        <f>HYPERLINK("https://shopee.co.id/EVERSHINE-Fruit-Mix-Willow-Peeling-Glow-Serum-i.68111.11337535850", "https://shopee.co.id/EVERSHINE-Fruit-Mix-Willow-Peeling-Glow-Serum-i.68111.11337535850")</f>
        <v>https://shopee.co.id/EVERSHINE-Fruit-Mix-Willow-Peeling-Glow-Serum-i.68111.11337535850</v>
      </c>
      <c r="C2988" s="6" t="s">
        <v>1061</v>
      </c>
      <c r="D2988" s="6" t="s">
        <v>441</v>
      </c>
      <c r="E2988" s="6" t="s">
        <v>12</v>
      </c>
      <c r="F2988" s="6" t="s">
        <v>13</v>
      </c>
      <c r="G2988" s="6" t="s">
        <v>130</v>
      </c>
      <c r="H2988" s="8" t="s">
        <v>3981</v>
      </c>
      <c r="I2988" s="9">
        <v>0.0</v>
      </c>
      <c r="J2988" s="5" t="str">
        <f t="shared" ref="J2988:K2988" si="2988">SUBSTITUTE(H2988, ",", "")</f>
        <v>0</v>
      </c>
      <c r="K2988" s="5" t="str">
        <f t="shared" si="2988"/>
        <v>Rp0</v>
      </c>
      <c r="L2988" s="5" t="str">
        <f t="shared" si="3"/>
        <v>0</v>
      </c>
    </row>
    <row r="2989">
      <c r="A2989" s="6" t="s">
        <v>4291</v>
      </c>
      <c r="B2989" s="7" t="str">
        <f>HYPERLINK("https://shopee.co.id/EVERSHINE-Pure-Bakuchiol-2-Blemish-Age-Define-Serum-i.68111.10137529854", "https://shopee.co.id/EVERSHINE-Pure-Bakuchiol-2-Blemish-Age-Define-Serum-i.68111.10137529854")</f>
        <v>https://shopee.co.id/EVERSHINE-Pure-Bakuchiol-2-Blemish-Age-Define-Serum-i.68111.10137529854</v>
      </c>
      <c r="C2989" s="6" t="s">
        <v>1061</v>
      </c>
      <c r="D2989" s="6" t="s">
        <v>441</v>
      </c>
      <c r="E2989" s="6" t="s">
        <v>12</v>
      </c>
      <c r="F2989" s="6" t="s">
        <v>13</v>
      </c>
      <c r="G2989" s="6" t="s">
        <v>130</v>
      </c>
      <c r="H2989" s="8" t="s">
        <v>3981</v>
      </c>
      <c r="I2989" s="9">
        <v>0.0</v>
      </c>
      <c r="J2989" s="5" t="str">
        <f t="shared" ref="J2989:K2989" si="2989">SUBSTITUTE(H2989, ",", "")</f>
        <v>0</v>
      </c>
      <c r="K2989" s="5" t="str">
        <f t="shared" si="2989"/>
        <v>Rp0</v>
      </c>
      <c r="L2989" s="5" t="str">
        <f t="shared" si="3"/>
        <v>0</v>
      </c>
    </row>
    <row r="2990">
      <c r="A2990" s="6" t="s">
        <v>4292</v>
      </c>
      <c r="B2990" s="7" t="str">
        <f>HYPERLINK("https://shopee.co.id/EverShine-Silk-Gold-Serum-whitening-booster-i.73969875.1914979443", "https://shopee.co.id/EverShine-Silk-Gold-Serum-whitening-booster-i.73969875.1914979443")</f>
        <v>https://shopee.co.id/EverShine-Silk-Gold-Serum-whitening-booster-i.73969875.1914979443</v>
      </c>
      <c r="C2990" s="6" t="s">
        <v>1061</v>
      </c>
      <c r="D2990" s="6" t="s">
        <v>896</v>
      </c>
      <c r="E2990" s="6" t="s">
        <v>12</v>
      </c>
      <c r="F2990" s="6" t="s">
        <v>13</v>
      </c>
      <c r="G2990" s="6" t="s">
        <v>21</v>
      </c>
      <c r="H2990" s="8" t="s">
        <v>3981</v>
      </c>
      <c r="I2990" s="9">
        <v>0.0</v>
      </c>
      <c r="J2990" s="5" t="str">
        <f t="shared" ref="J2990:K2990" si="2990">SUBSTITUTE(H2990, ",", "")</f>
        <v>0</v>
      </c>
      <c r="K2990" s="5" t="str">
        <f t="shared" si="2990"/>
        <v>Rp0</v>
      </c>
      <c r="L2990" s="5" t="str">
        <f t="shared" si="3"/>
        <v>0</v>
      </c>
    </row>
    <row r="2991">
      <c r="A2991" s="6" t="s">
        <v>4293</v>
      </c>
      <c r="B2991" s="7" t="str">
        <f>HYPERLINK("https://shopee.co.id/EverShine-Silk-Gold-Serum-X-Lumecolors-Foundation-i.73969875.3022797400", "https://shopee.co.id/EverShine-Silk-Gold-Serum-X-Lumecolors-Foundation-i.73969875.3022797400")</f>
        <v>https://shopee.co.id/EverShine-Silk-Gold-Serum-X-Lumecolors-Foundation-i.73969875.3022797400</v>
      </c>
      <c r="C2991" s="6" t="s">
        <v>1061</v>
      </c>
      <c r="D2991" s="6" t="s">
        <v>896</v>
      </c>
      <c r="E2991" s="6" t="s">
        <v>12</v>
      </c>
      <c r="F2991" s="6" t="s">
        <v>13</v>
      </c>
      <c r="G2991" s="6" t="s">
        <v>21</v>
      </c>
      <c r="H2991" s="8" t="s">
        <v>3981</v>
      </c>
      <c r="I2991" s="9">
        <v>0.0</v>
      </c>
      <c r="J2991" s="5" t="str">
        <f t="shared" ref="J2991:K2991" si="2991">SUBSTITUTE(H2991, ",", "")</f>
        <v>0</v>
      </c>
      <c r="K2991" s="5" t="str">
        <f t="shared" si="2991"/>
        <v>Rp0</v>
      </c>
      <c r="L2991" s="5" t="str">
        <f t="shared" si="3"/>
        <v>0</v>
      </c>
    </row>
    <row r="2992">
      <c r="A2992" s="6" t="s">
        <v>4294</v>
      </c>
      <c r="B2992" s="7" t="str">
        <f>HYPERLINK("https://shopee.co.id/Everwhite-Brightening-Essence-Serum-i.53887195.6919435933", "https://shopee.co.id/Everwhite-Brightening-Essence-Serum-i.53887195.6919435933")</f>
        <v>https://shopee.co.id/Everwhite-Brightening-Essence-Serum-i.53887195.6919435933</v>
      </c>
      <c r="C2992" s="6" t="s">
        <v>157</v>
      </c>
      <c r="D2992" s="6" t="s">
        <v>1026</v>
      </c>
      <c r="E2992" s="6" t="s">
        <v>12</v>
      </c>
      <c r="F2992" s="6" t="s">
        <v>13</v>
      </c>
      <c r="G2992" s="6" t="s">
        <v>80</v>
      </c>
      <c r="H2992" s="8" t="s">
        <v>3981</v>
      </c>
      <c r="I2992" s="9">
        <v>0.0</v>
      </c>
      <c r="J2992" s="5" t="str">
        <f t="shared" ref="J2992:K2992" si="2992">SUBSTITUTE(H2992, ",", "")</f>
        <v>0</v>
      </c>
      <c r="K2992" s="5" t="str">
        <f t="shared" si="2992"/>
        <v>Rp0</v>
      </c>
      <c r="L2992" s="5" t="str">
        <f t="shared" si="3"/>
        <v>0</v>
      </c>
    </row>
    <row r="2993">
      <c r="A2993" s="6" t="s">
        <v>4295</v>
      </c>
      <c r="B2993" s="7" t="str">
        <f>HYPERLINK("https://shopee.co.id/Everwhite-Brightening-Essence-Serum-15-Gr-Brightening-Everwhite-i.185943783.3335764127", "https://shopee.co.id/Everwhite-Brightening-Essence-Serum-15-Gr-Brightening-Everwhite-i.185943783.3335764127")</f>
        <v>https://shopee.co.id/Everwhite-Brightening-Essence-Serum-15-Gr-Brightening-Everwhite-i.185943783.3335764127</v>
      </c>
      <c r="C2993" s="6" t="s">
        <v>157</v>
      </c>
      <c r="D2993" s="6" t="s">
        <v>3429</v>
      </c>
      <c r="E2993" s="6" t="s">
        <v>12</v>
      </c>
      <c r="F2993" s="6" t="s">
        <v>13</v>
      </c>
      <c r="G2993" s="6" t="s">
        <v>36</v>
      </c>
      <c r="H2993" s="8" t="s">
        <v>3981</v>
      </c>
      <c r="I2993" s="9">
        <v>0.0</v>
      </c>
      <c r="J2993" s="5" t="str">
        <f t="shared" ref="J2993:K2993" si="2993">SUBSTITUTE(H2993, ",", "")</f>
        <v>0</v>
      </c>
      <c r="K2993" s="5" t="str">
        <f t="shared" si="2993"/>
        <v>Rp0</v>
      </c>
      <c r="L2993" s="5" t="str">
        <f t="shared" si="3"/>
        <v>0</v>
      </c>
    </row>
    <row r="2994">
      <c r="A2994" s="6" t="s">
        <v>4295</v>
      </c>
      <c r="B2994" s="7" t="str">
        <f>HYPERLINK("https://shopee.co.id/Everwhite-Brightening-Essence-Serum-15-Gr-Brightening-Everwhite-i.175375997.7500249007", "https://shopee.co.id/Everwhite-Brightening-Essence-Serum-15-Gr-Brightening-Everwhite-i.175375997.7500249007")</f>
        <v>https://shopee.co.id/Everwhite-Brightening-Essence-Serum-15-Gr-Brightening-Everwhite-i.175375997.7500249007</v>
      </c>
      <c r="C2994" s="6" t="s">
        <v>157</v>
      </c>
      <c r="D2994" s="6" t="s">
        <v>2123</v>
      </c>
      <c r="E2994" s="6" t="s">
        <v>12</v>
      </c>
      <c r="F2994" s="6" t="s">
        <v>13</v>
      </c>
      <c r="G2994" s="6" t="s">
        <v>36</v>
      </c>
      <c r="H2994" s="8" t="s">
        <v>3981</v>
      </c>
      <c r="I2994" s="9">
        <v>0.0</v>
      </c>
      <c r="J2994" s="5" t="str">
        <f t="shared" ref="J2994:K2994" si="2994">SUBSTITUTE(H2994, ",", "")</f>
        <v>0</v>
      </c>
      <c r="K2994" s="5" t="str">
        <f t="shared" si="2994"/>
        <v>Rp0</v>
      </c>
      <c r="L2994" s="5" t="str">
        <f t="shared" si="3"/>
        <v>0</v>
      </c>
    </row>
    <row r="2995">
      <c r="A2995" s="6" t="s">
        <v>4296</v>
      </c>
      <c r="B2995" s="7" t="str">
        <f>HYPERLINK("https://shopee.co.id/Everwhite-Brightening-Essence-Serum-15g-i.30736001.8368323904", "https://shopee.co.id/Everwhite-Brightening-Essence-Serum-15g-i.30736001.8368323904")</f>
        <v>https://shopee.co.id/Everwhite-Brightening-Essence-Serum-15g-i.30736001.8368323904</v>
      </c>
      <c r="C2995" s="6" t="s">
        <v>157</v>
      </c>
      <c r="D2995" s="6" t="s">
        <v>335</v>
      </c>
      <c r="E2995" s="6" t="s">
        <v>12</v>
      </c>
      <c r="F2995" s="6" t="s">
        <v>13</v>
      </c>
      <c r="G2995" s="6" t="s">
        <v>36</v>
      </c>
      <c r="H2995" s="8" t="s">
        <v>3981</v>
      </c>
      <c r="I2995" s="9">
        <v>0.0</v>
      </c>
      <c r="J2995" s="5" t="str">
        <f t="shared" ref="J2995:K2995" si="2995">SUBSTITUTE(H2995, ",", "")</f>
        <v>0</v>
      </c>
      <c r="K2995" s="5" t="str">
        <f t="shared" si="2995"/>
        <v>Rp0</v>
      </c>
      <c r="L2995" s="5" t="str">
        <f t="shared" si="3"/>
        <v>0</v>
      </c>
    </row>
    <row r="2996">
      <c r="A2996" s="6" t="s">
        <v>4297</v>
      </c>
      <c r="B2996" s="7" t="str">
        <f>HYPERLINK("https://shopee.co.id/Everwhite-Brightening-Essence-Serum-15Gr-Memutihkan-Wajah-Mencerahkan-i.114789399.2645935807", "https://shopee.co.id/Everwhite-Brightening-Essence-Serum-15Gr-Memutihkan-Wajah-Mencerahkan-i.114789399.2645935807")</f>
        <v>https://shopee.co.id/Everwhite-Brightening-Essence-Serum-15Gr-Memutihkan-Wajah-Mencerahkan-i.114789399.2645935807</v>
      </c>
      <c r="C2996" s="6" t="s">
        <v>157</v>
      </c>
      <c r="D2996" s="6" t="s">
        <v>2531</v>
      </c>
      <c r="E2996" s="6" t="s">
        <v>12</v>
      </c>
      <c r="F2996" s="6" t="s">
        <v>13</v>
      </c>
      <c r="G2996" s="6" t="s">
        <v>36</v>
      </c>
      <c r="H2996" s="8" t="s">
        <v>3981</v>
      </c>
      <c r="I2996" s="9">
        <v>0.0</v>
      </c>
      <c r="J2996" s="5" t="str">
        <f t="shared" ref="J2996:K2996" si="2996">SUBSTITUTE(H2996, ",", "")</f>
        <v>0</v>
      </c>
      <c r="K2996" s="5" t="str">
        <f t="shared" si="2996"/>
        <v>Rp0</v>
      </c>
      <c r="L2996" s="5" t="str">
        <f t="shared" si="3"/>
        <v>0</v>
      </c>
    </row>
    <row r="2997">
      <c r="A2997" s="6" t="s">
        <v>4298</v>
      </c>
      <c r="B2997" s="7" t="str">
        <f>HYPERLINK("https://shopee.co.id/EVERWHITE-CICA-SOOTHING-SERUM-Centella-Asiatica-Acne-Care-Acne-Series-i.187117294.9603863576", "https://shopee.co.id/EVERWHITE-CICA-SOOTHING-SERUM-Centella-Asiatica-Acne-Care-Acne-Series-i.187117294.9603863576")</f>
        <v>https://shopee.co.id/EVERWHITE-CICA-SOOTHING-SERUM-Centella-Asiatica-Acne-Care-Acne-Series-i.187117294.9603863576</v>
      </c>
      <c r="C2997" s="6" t="s">
        <v>157</v>
      </c>
      <c r="D2997" s="6" t="s">
        <v>2366</v>
      </c>
      <c r="E2997" s="6" t="s">
        <v>12</v>
      </c>
      <c r="F2997" s="6" t="s">
        <v>13</v>
      </c>
      <c r="G2997" s="6" t="s">
        <v>469</v>
      </c>
      <c r="H2997" s="8" t="s">
        <v>3981</v>
      </c>
      <c r="I2997" s="9">
        <v>0.0</v>
      </c>
      <c r="J2997" s="5" t="str">
        <f t="shared" ref="J2997:K2997" si="2997">SUBSTITUTE(H2997, ",", "")</f>
        <v>0</v>
      </c>
      <c r="K2997" s="5" t="str">
        <f t="shared" si="2997"/>
        <v>Rp0</v>
      </c>
      <c r="L2997" s="5" t="str">
        <f t="shared" si="3"/>
        <v>0</v>
      </c>
    </row>
    <row r="2998">
      <c r="A2998" s="6" t="s">
        <v>4299</v>
      </c>
      <c r="B2998" s="7" t="str">
        <f>HYPERLINK("https://shopee.co.id/Everwhite-Cica-Soothing-Serum-30ml-i.30736001.10512281061", "https://shopee.co.id/Everwhite-Cica-Soothing-Serum-30ml-i.30736001.10512281061")</f>
        <v>https://shopee.co.id/Everwhite-Cica-Soothing-Serum-30ml-i.30736001.10512281061</v>
      </c>
      <c r="C2998" s="6" t="s">
        <v>157</v>
      </c>
      <c r="D2998" s="6" t="s">
        <v>335</v>
      </c>
      <c r="E2998" s="6" t="s">
        <v>12</v>
      </c>
      <c r="F2998" s="6" t="s">
        <v>13</v>
      </c>
      <c r="G2998" s="6" t="s">
        <v>36</v>
      </c>
      <c r="H2998" s="8" t="s">
        <v>3981</v>
      </c>
      <c r="I2998" s="9">
        <v>0.0</v>
      </c>
      <c r="J2998" s="5" t="str">
        <f t="shared" ref="J2998:K2998" si="2998">SUBSTITUTE(H2998, ",", "")</f>
        <v>0</v>
      </c>
      <c r="K2998" s="5" t="str">
        <f t="shared" si="2998"/>
        <v>Rp0</v>
      </c>
      <c r="L2998" s="5" t="str">
        <f t="shared" si="3"/>
        <v>0</v>
      </c>
    </row>
    <row r="2999">
      <c r="A2999" s="6" t="s">
        <v>4300</v>
      </c>
      <c r="B2999" s="7" t="str">
        <f>HYPERLINK("https://shopee.co.id/Everwhite-Niacinamide-Brightening-Serum-20ml-i.825870.8736369544", "https://shopee.co.id/Everwhite-Niacinamide-Brightening-Serum-20ml-i.825870.8736369544")</f>
        <v>https://shopee.co.id/Everwhite-Niacinamide-Brightening-Serum-20ml-i.825870.8736369544</v>
      </c>
      <c r="C2999" s="6" t="s">
        <v>157</v>
      </c>
      <c r="D2999" s="6" t="s">
        <v>1184</v>
      </c>
      <c r="E2999" s="6" t="s">
        <v>12</v>
      </c>
      <c r="F2999" s="6" t="s">
        <v>13</v>
      </c>
      <c r="G2999" s="6" t="s">
        <v>21</v>
      </c>
      <c r="H2999" s="8" t="s">
        <v>3981</v>
      </c>
      <c r="I2999" s="9">
        <v>0.0</v>
      </c>
      <c r="J2999" s="5" t="str">
        <f t="shared" ref="J2999:K2999" si="2999">SUBSTITUTE(H2999, ",", "")</f>
        <v>0</v>
      </c>
      <c r="K2999" s="5" t="str">
        <f t="shared" si="2999"/>
        <v>Rp0</v>
      </c>
      <c r="L2999" s="5" t="str">
        <f t="shared" si="3"/>
        <v>0</v>
      </c>
    </row>
    <row r="3000">
      <c r="A3000" s="6" t="s">
        <v>4301</v>
      </c>
      <c r="B3000" s="7" t="str">
        <f>HYPERLINK("https://shopee.co.id/Everwhite-Niacinamide-Brightening-Serum-20ml-i.136011044.6385790605", "https://shopee.co.id/Everwhite-Niacinamide-Brightening-Serum-20ml-i.136011044.6385790605")</f>
        <v>https://shopee.co.id/Everwhite-Niacinamide-Brightening-Serum-20ml-i.136011044.6385790605</v>
      </c>
      <c r="C3000" s="6" t="s">
        <v>157</v>
      </c>
      <c r="D3000" s="6" t="s">
        <v>632</v>
      </c>
      <c r="E3000" s="6" t="s">
        <v>12</v>
      </c>
      <c r="F3000" s="6" t="s">
        <v>13</v>
      </c>
      <c r="G3000" s="6" t="s">
        <v>21</v>
      </c>
      <c r="H3000" s="8" t="s">
        <v>3981</v>
      </c>
      <c r="I3000" s="9">
        <v>0.0</v>
      </c>
      <c r="J3000" s="5" t="str">
        <f t="shared" ref="J3000:K3000" si="3000">SUBSTITUTE(H3000, ",", "")</f>
        <v>0</v>
      </c>
      <c r="K3000" s="5" t="str">
        <f t="shared" si="3000"/>
        <v>Rp0</v>
      </c>
      <c r="L3000" s="5" t="str">
        <f t="shared" si="3"/>
        <v>0</v>
      </c>
    </row>
    <row r="3001">
      <c r="A3001" s="6" t="s">
        <v>4302</v>
      </c>
      <c r="B3001" s="7" t="str">
        <f>HYPERLINK("https://shopee.co.id/Everwhite-Peptide-Anti-Aging-Serum-15ml-i.136011044.4085793305", "https://shopee.co.id/Everwhite-Peptide-Anti-Aging-Serum-15ml-i.136011044.4085793305")</f>
        <v>https://shopee.co.id/Everwhite-Peptide-Anti-Aging-Serum-15ml-i.136011044.4085793305</v>
      </c>
      <c r="C3001" s="6" t="s">
        <v>157</v>
      </c>
      <c r="D3001" s="6" t="s">
        <v>632</v>
      </c>
      <c r="E3001" s="6" t="s">
        <v>12</v>
      </c>
      <c r="F3001" s="6" t="s">
        <v>13</v>
      </c>
      <c r="G3001" s="6" t="s">
        <v>21</v>
      </c>
      <c r="H3001" s="8" t="s">
        <v>3981</v>
      </c>
      <c r="I3001" s="9">
        <v>0.0</v>
      </c>
      <c r="J3001" s="5" t="str">
        <f t="shared" ref="J3001:K3001" si="3001">SUBSTITUTE(H3001, ",", "")</f>
        <v>0</v>
      </c>
      <c r="K3001" s="5" t="str">
        <f t="shared" si="3001"/>
        <v>Rp0</v>
      </c>
      <c r="L3001" s="5" t="str">
        <f t="shared" si="3"/>
        <v>0</v>
      </c>
    </row>
    <row r="3002">
      <c r="A3002" s="6" t="s">
        <v>4303</v>
      </c>
      <c r="B3002" s="7" t="str">
        <f>HYPERLINK("https://shopee.co.id/Exclusive-Box-1-Shiseido-Ultimune-Power-Infusing-Concentrate-30ml-i.345419471.9962597263", "https://shopee.co.id/Exclusive-Box-1-Shiseido-Ultimune-Power-Infusing-Concentrate-30ml-i.345419471.9962597263")</f>
        <v>https://shopee.co.id/Exclusive-Box-1-Shiseido-Ultimune-Power-Infusing-Concentrate-30ml-i.345419471.9962597263</v>
      </c>
      <c r="C3002" s="6" t="s">
        <v>868</v>
      </c>
      <c r="D3002" s="6" t="s">
        <v>869</v>
      </c>
      <c r="E3002" s="6" t="s">
        <v>12</v>
      </c>
      <c r="F3002" s="6" t="s">
        <v>13</v>
      </c>
      <c r="G3002" s="6" t="s">
        <v>130</v>
      </c>
      <c r="H3002" s="8" t="s">
        <v>3981</v>
      </c>
      <c r="I3002" s="9">
        <v>0.0</v>
      </c>
      <c r="J3002" s="5" t="str">
        <f t="shared" ref="J3002:K3002" si="3002">SUBSTITUTE(H3002, ",", "")</f>
        <v>0</v>
      </c>
      <c r="K3002" s="5" t="str">
        <f t="shared" si="3002"/>
        <v>Rp0</v>
      </c>
      <c r="L3002" s="5" t="str">
        <f t="shared" si="3"/>
        <v>0</v>
      </c>
    </row>
    <row r="3003">
      <c r="A3003" s="6" t="s">
        <v>4304</v>
      </c>
      <c r="B3003" s="7" t="str">
        <f>HYPERLINK("https://shopee.co.id/Exclusive-Bundle-Votre-Peau-Brightening-Essence-50ml-Quesella-Jeju-Aloe-Vera-100ml-i.46300234.5494597327", "https://shopee.co.id/Exclusive-Bundle-Votre-Peau-Brightening-Essence-50ml-Quesella-Jeju-Aloe-Vera-100ml-i.46300234.5494597327")</f>
        <v>https://shopee.co.id/Exclusive-Bundle-Votre-Peau-Brightening-Essence-50ml-Quesella-Jeju-Aloe-Vera-100ml-i.46300234.5494597327</v>
      </c>
      <c r="C3003" s="6" t="s">
        <v>471</v>
      </c>
      <c r="D3003" s="6" t="s">
        <v>472</v>
      </c>
      <c r="E3003" s="6" t="s">
        <v>12</v>
      </c>
      <c r="F3003" s="6" t="s">
        <v>13</v>
      </c>
      <c r="G3003" s="6" t="s">
        <v>98</v>
      </c>
      <c r="H3003" s="8" t="s">
        <v>3981</v>
      </c>
      <c r="I3003" s="9">
        <v>0.0</v>
      </c>
      <c r="J3003" s="5" t="str">
        <f t="shared" ref="J3003:K3003" si="3003">SUBSTITUTE(H3003, ",", "")</f>
        <v>0</v>
      </c>
      <c r="K3003" s="5" t="str">
        <f t="shared" si="3003"/>
        <v>Rp0</v>
      </c>
      <c r="L3003" s="5" t="str">
        <f t="shared" si="3"/>
        <v>0</v>
      </c>
    </row>
    <row r="3004">
      <c r="A3004" s="6" t="s">
        <v>4305</v>
      </c>
      <c r="B3004" s="7" t="str">
        <f>HYPERLINK("https://shopee.co.id/Exclusive-Bundle-Votre-Peau-Saharan-Face-Emulsion-15ml-Quesella-Facial-Cleanser-100ml-i.46300234.4494576729", "https://shopee.co.id/Exclusive-Bundle-Votre-Peau-Saharan-Face-Emulsion-15ml-Quesella-Facial-Cleanser-100ml-i.46300234.4494576729")</f>
        <v>https://shopee.co.id/Exclusive-Bundle-Votre-Peau-Saharan-Face-Emulsion-15ml-Quesella-Facial-Cleanser-100ml-i.46300234.4494576729</v>
      </c>
      <c r="C3004" s="6" t="s">
        <v>471</v>
      </c>
      <c r="D3004" s="6" t="s">
        <v>472</v>
      </c>
      <c r="E3004" s="6" t="s">
        <v>12</v>
      </c>
      <c r="F3004" s="6" t="s">
        <v>13</v>
      </c>
      <c r="G3004" s="6" t="s">
        <v>98</v>
      </c>
      <c r="H3004" s="8" t="s">
        <v>3981</v>
      </c>
      <c r="I3004" s="9">
        <v>0.0</v>
      </c>
      <c r="J3004" s="5" t="str">
        <f t="shared" ref="J3004:K3004" si="3004">SUBSTITUTE(H3004, ",", "")</f>
        <v>0</v>
      </c>
      <c r="K3004" s="5" t="str">
        <f t="shared" si="3004"/>
        <v>Rp0</v>
      </c>
      <c r="L3004" s="5" t="str">
        <f t="shared" si="3"/>
        <v>0</v>
      </c>
    </row>
    <row r="3005">
      <c r="A3005" s="6" t="s">
        <v>4306</v>
      </c>
      <c r="B3005" s="7" t="str">
        <f>HYPERLINK("https://shopee.co.id/Fabil-Chromanyl-Translucent-Brightening-Serum-100g-i.3990192.8961212284", "https://shopee.co.id/Fabil-Chromanyl-Translucent-Brightening-Serum-100g-i.3990192.8961212284")</f>
        <v>https://shopee.co.id/Fabil-Chromanyl-Translucent-Brightening-Serum-100g-i.3990192.8961212284</v>
      </c>
      <c r="C3005" s="6" t="s">
        <v>2579</v>
      </c>
      <c r="D3005" s="6" t="s">
        <v>2580</v>
      </c>
      <c r="E3005" s="6" t="s">
        <v>12</v>
      </c>
      <c r="F3005" s="6" t="s">
        <v>13</v>
      </c>
      <c r="G3005" s="6" t="s">
        <v>1085</v>
      </c>
      <c r="H3005" s="8" t="s">
        <v>3981</v>
      </c>
      <c r="I3005" s="9">
        <v>0.0</v>
      </c>
      <c r="J3005" s="5" t="str">
        <f t="shared" ref="J3005:K3005" si="3005">SUBSTITUTE(H3005, ",", "")</f>
        <v>0</v>
      </c>
      <c r="K3005" s="5" t="str">
        <f t="shared" si="3005"/>
        <v>Rp0</v>
      </c>
      <c r="L3005" s="5" t="str">
        <f t="shared" si="3"/>
        <v>0</v>
      </c>
    </row>
    <row r="3006">
      <c r="A3006" s="6" t="s">
        <v>4307</v>
      </c>
      <c r="B3006" s="7" t="str">
        <f>HYPERLINK("https://shopee.co.id/FABIL-Intensive-Acne-Care-Serum-BIG-SALE-RAMADHAN-i.3990192.8044533914", "https://shopee.co.id/FABIL-Intensive-Acne-Care-Serum-BIG-SALE-RAMADHAN-i.3990192.8044533914")</f>
        <v>https://shopee.co.id/FABIL-Intensive-Acne-Care-Serum-BIG-SALE-RAMADHAN-i.3990192.8044533914</v>
      </c>
      <c r="C3006" s="6" t="s">
        <v>2579</v>
      </c>
      <c r="D3006" s="6" t="s">
        <v>2580</v>
      </c>
      <c r="E3006" s="6" t="s">
        <v>12</v>
      </c>
      <c r="F3006" s="6" t="s">
        <v>13</v>
      </c>
      <c r="G3006" s="6" t="s">
        <v>1085</v>
      </c>
      <c r="H3006" s="8" t="s">
        <v>3981</v>
      </c>
      <c r="I3006" s="9">
        <v>0.0</v>
      </c>
      <c r="J3006" s="5" t="str">
        <f t="shared" ref="J3006:K3006" si="3006">SUBSTITUTE(H3006, ",", "")</f>
        <v>0</v>
      </c>
      <c r="K3006" s="5" t="str">
        <f t="shared" si="3006"/>
        <v>Rp0</v>
      </c>
      <c r="L3006" s="5" t="str">
        <f t="shared" si="3"/>
        <v>0</v>
      </c>
    </row>
    <row r="3007">
      <c r="A3007" s="6" t="s">
        <v>4308</v>
      </c>
      <c r="B3007" s="7" t="str">
        <f>HYPERLINK("https://shopee.co.id/FARMONA-HYDRAQUEST-Serum-Wajah-Untuk-Kulit-kering-Active-Moistirising-Concentrate-i.255300129.7154942552", "https://shopee.co.id/FARMONA-HYDRAQUEST-Serum-Wajah-Untuk-Kulit-kering-Active-Moistirising-Concentrate-i.255300129.7154942552")</f>
        <v>https://shopee.co.id/FARMONA-HYDRAQUEST-Serum-Wajah-Untuk-Kulit-kering-Active-Moistirising-Concentrate-i.255300129.7154942552</v>
      </c>
      <c r="C3007" s="6" t="s">
        <v>4309</v>
      </c>
      <c r="D3007" s="6" t="s">
        <v>4310</v>
      </c>
      <c r="E3007" s="6" t="s">
        <v>12</v>
      </c>
      <c r="F3007" s="6" t="s">
        <v>13</v>
      </c>
      <c r="G3007" s="6" t="s">
        <v>61</v>
      </c>
      <c r="H3007" s="8" t="s">
        <v>3981</v>
      </c>
      <c r="I3007" s="9">
        <v>0.0</v>
      </c>
      <c r="J3007" s="5" t="str">
        <f t="shared" ref="J3007:K3007" si="3007">SUBSTITUTE(H3007, ",", "")</f>
        <v>0</v>
      </c>
      <c r="K3007" s="5" t="str">
        <f t="shared" si="3007"/>
        <v>Rp0</v>
      </c>
      <c r="L3007" s="5" t="str">
        <f t="shared" si="3"/>
        <v>0</v>
      </c>
    </row>
    <row r="3008">
      <c r="A3008" s="6" t="s">
        <v>4311</v>
      </c>
      <c r="B3008" s="7" t="str">
        <f>HYPERLINK("https://shopee.co.id/Farmona-Microneedle-Skin-Exfoliation-With-Acid-Farmona-Serum-Ampul-Bb-Glow-Dermapen-i.255300129.6631955637", "https://shopee.co.id/Farmona-Microneedle-Skin-Exfoliation-With-Acid-Farmona-Serum-Ampul-Bb-Glow-Dermapen-i.255300129.6631955637")</f>
        <v>https://shopee.co.id/Farmona-Microneedle-Skin-Exfoliation-With-Acid-Farmona-Serum-Ampul-Bb-Glow-Dermapen-i.255300129.6631955637</v>
      </c>
      <c r="C3008" s="6" t="s">
        <v>4309</v>
      </c>
      <c r="D3008" s="6" t="s">
        <v>4310</v>
      </c>
      <c r="E3008" s="6" t="s">
        <v>12</v>
      </c>
      <c r="F3008" s="6" t="s">
        <v>13</v>
      </c>
      <c r="G3008" s="6" t="s">
        <v>61</v>
      </c>
      <c r="H3008" s="8" t="s">
        <v>3981</v>
      </c>
      <c r="I3008" s="9">
        <v>0.0</v>
      </c>
      <c r="J3008" s="5" t="str">
        <f t="shared" ref="J3008:K3008" si="3008">SUBSTITUTE(H3008, ",", "")</f>
        <v>0</v>
      </c>
      <c r="K3008" s="5" t="str">
        <f t="shared" si="3008"/>
        <v>Rp0</v>
      </c>
      <c r="L3008" s="5" t="str">
        <f t="shared" si="3"/>
        <v>0</v>
      </c>
    </row>
    <row r="3009">
      <c r="A3009" s="6" t="s">
        <v>4312</v>
      </c>
      <c r="B3009" s="7" t="str">
        <f>HYPERLINK("https://shopee.co.id/Farmona-Revolu-C-White-Glowing-Serum-Glowing-Mask-Vit-C-Mask-Serum-Pemutih-Masker--i.255300129.6037513719", "https://shopee.co.id/Farmona-Revolu-C-White-Glowing-Serum-Glowing-Mask-Vit-C-Mask-Serum-Pemutih-Masker--i.255300129.6037513719")</f>
        <v>https://shopee.co.id/Farmona-Revolu-C-White-Glowing-Serum-Glowing-Mask-Vit-C-Mask-Serum-Pemutih-Masker--i.255300129.6037513719</v>
      </c>
      <c r="C3009" s="6" t="s">
        <v>4309</v>
      </c>
      <c r="D3009" s="6" t="s">
        <v>4310</v>
      </c>
      <c r="E3009" s="6" t="s">
        <v>12</v>
      </c>
      <c r="F3009" s="6" t="s">
        <v>13</v>
      </c>
      <c r="G3009" s="6" t="s">
        <v>61</v>
      </c>
      <c r="H3009" s="8" t="s">
        <v>3981</v>
      </c>
      <c r="I3009" s="9">
        <v>0.0</v>
      </c>
      <c r="J3009" s="5" t="str">
        <f t="shared" ref="J3009:K3009" si="3009">SUBSTITUTE(H3009, ",", "")</f>
        <v>0</v>
      </c>
      <c r="K3009" s="5" t="str">
        <f t="shared" si="3009"/>
        <v>Rp0</v>
      </c>
      <c r="L3009" s="5" t="str">
        <f t="shared" si="3"/>
        <v>0</v>
      </c>
    </row>
    <row r="3010">
      <c r="A3010" s="6" t="s">
        <v>4313</v>
      </c>
      <c r="B3010" s="7" t="str">
        <f>HYPERLINK("https://shopee.co.id/Farmona-Serum-Jerawat-Dermaacne-Active-Normalizing-Concentrate-i.255300129.6531955624", "https://shopee.co.id/Farmona-Serum-Jerawat-Dermaacne-Active-Normalizing-Concentrate-i.255300129.6531955624")</f>
        <v>https://shopee.co.id/Farmona-Serum-Jerawat-Dermaacne-Active-Normalizing-Concentrate-i.255300129.6531955624</v>
      </c>
      <c r="C3010" s="6" t="s">
        <v>4309</v>
      </c>
      <c r="D3010" s="6" t="s">
        <v>4310</v>
      </c>
      <c r="E3010" s="6" t="s">
        <v>12</v>
      </c>
      <c r="F3010" s="6" t="s">
        <v>13</v>
      </c>
      <c r="G3010" s="6" t="s">
        <v>61</v>
      </c>
      <c r="H3010" s="8" t="s">
        <v>3981</v>
      </c>
      <c r="I3010" s="9">
        <v>0.0</v>
      </c>
      <c r="J3010" s="5" t="str">
        <f t="shared" ref="J3010:K3010" si="3010">SUBSTITUTE(H3010, ",", "")</f>
        <v>0</v>
      </c>
      <c r="K3010" s="5" t="str">
        <f t="shared" si="3010"/>
        <v>Rp0</v>
      </c>
      <c r="L3010" s="5" t="str">
        <f t="shared" si="3"/>
        <v>0</v>
      </c>
    </row>
    <row r="3011">
      <c r="A3011" s="6" t="s">
        <v>4314</v>
      </c>
      <c r="B3011" s="7" t="str">
        <f>HYPERLINK("https://shopee.co.id/FIRST-LAB-FIRST-LAB-Probiotic-REVERSE-Skin-Essence-150ml-i.68111.2258718661", "https://shopee.co.id/FIRST-LAB-FIRST-LAB-Probiotic-REVERSE-Skin-Essence-150ml-i.68111.2258718661")</f>
        <v>https://shopee.co.id/FIRST-LAB-FIRST-LAB-Probiotic-REVERSE-Skin-Essence-150ml-i.68111.2258718661</v>
      </c>
      <c r="C3011" s="6" t="s">
        <v>1617</v>
      </c>
      <c r="D3011" s="6" t="s">
        <v>441</v>
      </c>
      <c r="E3011" s="6" t="s">
        <v>12</v>
      </c>
      <c r="F3011" s="6" t="s">
        <v>13</v>
      </c>
      <c r="G3011" s="6" t="s">
        <v>130</v>
      </c>
      <c r="H3011" s="8" t="s">
        <v>3981</v>
      </c>
      <c r="I3011" s="9">
        <v>0.0</v>
      </c>
      <c r="J3011" s="5" t="str">
        <f t="shared" ref="J3011:K3011" si="3011">SUBSTITUTE(H3011, ",", "")</f>
        <v>0</v>
      </c>
      <c r="K3011" s="5" t="str">
        <f t="shared" si="3011"/>
        <v>Rp0</v>
      </c>
      <c r="L3011" s="5" t="str">
        <f t="shared" si="3"/>
        <v>0</v>
      </c>
    </row>
    <row r="3012">
      <c r="A3012" s="6" t="s">
        <v>4315</v>
      </c>
      <c r="B3012" s="7" t="str">
        <f>HYPERLINK("https://shopee.co.id/FIRST-LAB-PROBIOTIC-SKIN-ESSENCE-SIGNATURE-150ml-i.187117294.8602666268", "https://shopee.co.id/FIRST-LAB-PROBIOTIC-SKIN-ESSENCE-SIGNATURE-150ml-i.187117294.8602666268")</f>
        <v>https://shopee.co.id/FIRST-LAB-PROBIOTIC-SKIN-ESSENCE-SIGNATURE-150ml-i.187117294.8602666268</v>
      </c>
      <c r="C3012" s="6" t="s">
        <v>1617</v>
      </c>
      <c r="D3012" s="6" t="s">
        <v>2366</v>
      </c>
      <c r="E3012" s="6" t="s">
        <v>12</v>
      </c>
      <c r="F3012" s="6" t="s">
        <v>13</v>
      </c>
      <c r="G3012" s="6" t="s">
        <v>469</v>
      </c>
      <c r="H3012" s="8" t="s">
        <v>3981</v>
      </c>
      <c r="I3012" s="9">
        <v>0.0</v>
      </c>
      <c r="J3012" s="5" t="str">
        <f t="shared" ref="J3012:K3012" si="3012">SUBSTITUTE(H3012, ",", "")</f>
        <v>0</v>
      </c>
      <c r="K3012" s="5" t="str">
        <f t="shared" si="3012"/>
        <v>Rp0</v>
      </c>
      <c r="L3012" s="5" t="str">
        <f t="shared" si="3"/>
        <v>0</v>
      </c>
    </row>
    <row r="3013">
      <c r="A3013" s="6" t="s">
        <v>4316</v>
      </c>
      <c r="B3013" s="7" t="str">
        <f>HYPERLINK("https://shopee.co.id/For-Skin-s-Sake-FSS-Retinol-Serum-30ml-i.136011044.3025502990", "https://shopee.co.id/For-Skin-s-Sake-FSS-Retinol-Serum-30ml-i.136011044.3025502990")</f>
        <v>https://shopee.co.id/For-Skin-s-Sake-FSS-Retinol-Serum-30ml-i.136011044.3025502990</v>
      </c>
      <c r="C3013" s="6" t="s">
        <v>1772</v>
      </c>
      <c r="D3013" s="6" t="s">
        <v>632</v>
      </c>
      <c r="E3013" s="6" t="s">
        <v>12</v>
      </c>
      <c r="F3013" s="6" t="s">
        <v>13</v>
      </c>
      <c r="G3013" s="6" t="s">
        <v>21</v>
      </c>
      <c r="H3013" s="8" t="s">
        <v>3981</v>
      </c>
      <c r="I3013" s="9">
        <v>0.0</v>
      </c>
      <c r="J3013" s="5" t="str">
        <f t="shared" ref="J3013:K3013" si="3013">SUBSTITUTE(H3013, ",", "")</f>
        <v>0</v>
      </c>
      <c r="K3013" s="5" t="str">
        <f t="shared" si="3013"/>
        <v>Rp0</v>
      </c>
      <c r="L3013" s="5" t="str">
        <f t="shared" si="3"/>
        <v>0</v>
      </c>
    </row>
    <row r="3014">
      <c r="A3014" s="6" t="s">
        <v>4317</v>
      </c>
      <c r="B3014" s="7" t="str">
        <f>HYPERLINK("https://shopee.co.id/For-Skin-s-Sake-FSS-Vitamin-C-Serum-30ml-i.136011044.6083959309", "https://shopee.co.id/For-Skin-s-Sake-FSS-Vitamin-C-Serum-30ml-i.136011044.6083959309")</f>
        <v>https://shopee.co.id/For-Skin-s-Sake-FSS-Vitamin-C-Serum-30ml-i.136011044.6083959309</v>
      </c>
      <c r="C3014" s="6" t="s">
        <v>1772</v>
      </c>
      <c r="D3014" s="6" t="s">
        <v>632</v>
      </c>
      <c r="E3014" s="6" t="s">
        <v>12</v>
      </c>
      <c r="F3014" s="6" t="s">
        <v>13</v>
      </c>
      <c r="G3014" s="6" t="s">
        <v>21</v>
      </c>
      <c r="H3014" s="8" t="s">
        <v>3981</v>
      </c>
      <c r="I3014" s="9">
        <v>0.0</v>
      </c>
      <c r="J3014" s="5" t="str">
        <f t="shared" ref="J3014:K3014" si="3014">SUBSTITUTE(H3014, ",", "")</f>
        <v>0</v>
      </c>
      <c r="K3014" s="5" t="str">
        <f t="shared" si="3014"/>
        <v>Rp0</v>
      </c>
      <c r="L3014" s="5" t="str">
        <f t="shared" si="3"/>
        <v>0</v>
      </c>
    </row>
    <row r="3015">
      <c r="A3015" s="6" t="s">
        <v>4318</v>
      </c>
      <c r="B3015" s="7" t="str">
        <f>HYPERLINK("https://shopee.co.id/FOR-SKINS-SAKE-Hyaluronic-Acid-Serum-30ml-i.68111.7315660309", "https://shopee.co.id/FOR-SKINS-SAKE-Hyaluronic-Acid-Serum-30ml-i.68111.7315660309")</f>
        <v>https://shopee.co.id/FOR-SKINS-SAKE-Hyaluronic-Acid-Serum-30ml-i.68111.7315660309</v>
      </c>
      <c r="C3015" s="6" t="s">
        <v>3529</v>
      </c>
      <c r="D3015" s="6" t="s">
        <v>441</v>
      </c>
      <c r="E3015" s="6" t="s">
        <v>12</v>
      </c>
      <c r="F3015" s="6" t="s">
        <v>13</v>
      </c>
      <c r="G3015" s="6" t="s">
        <v>130</v>
      </c>
      <c r="H3015" s="8" t="s">
        <v>3981</v>
      </c>
      <c r="I3015" s="9">
        <v>0.0</v>
      </c>
      <c r="J3015" s="5" t="str">
        <f t="shared" ref="J3015:K3015" si="3015">SUBSTITUTE(H3015, ",", "")</f>
        <v>0</v>
      </c>
      <c r="K3015" s="5" t="str">
        <f t="shared" si="3015"/>
        <v>Rp0</v>
      </c>
      <c r="L3015" s="5" t="str">
        <f t="shared" si="3"/>
        <v>0</v>
      </c>
    </row>
    <row r="3016">
      <c r="A3016" s="6" t="s">
        <v>4319</v>
      </c>
      <c r="B3016" s="7" t="str">
        <f>HYPERLINK("https://shopee.co.id/FOR-SKINS-SAKE-Vitamin-C-Serum-30ml-i.68111.6516787793", "https://shopee.co.id/FOR-SKINS-SAKE-Vitamin-C-Serum-30ml-i.68111.6516787793")</f>
        <v>https://shopee.co.id/FOR-SKINS-SAKE-Vitamin-C-Serum-30ml-i.68111.6516787793</v>
      </c>
      <c r="C3016" s="6" t="s">
        <v>3529</v>
      </c>
      <c r="D3016" s="6" t="s">
        <v>441</v>
      </c>
      <c r="E3016" s="6" t="s">
        <v>12</v>
      </c>
      <c r="F3016" s="6" t="s">
        <v>13</v>
      </c>
      <c r="G3016" s="6" t="s">
        <v>130</v>
      </c>
      <c r="H3016" s="8" t="s">
        <v>3981</v>
      </c>
      <c r="I3016" s="9">
        <v>0.0</v>
      </c>
      <c r="J3016" s="5" t="str">
        <f t="shared" ref="J3016:K3016" si="3016">SUBSTITUTE(H3016, ",", "")</f>
        <v>0</v>
      </c>
      <c r="K3016" s="5" t="str">
        <f t="shared" si="3016"/>
        <v>Rp0</v>
      </c>
      <c r="L3016" s="5" t="str">
        <f t="shared" si="3"/>
        <v>0</v>
      </c>
    </row>
    <row r="3017">
      <c r="A3017" s="6" t="s">
        <v>4320</v>
      </c>
      <c r="B3017" s="7" t="str">
        <f>HYPERLINK("https://shopee.co.id/FSS-For-Skin-s-Sake-Hyaluronic-Acid-Hydrate--i.187117294.6845118585", "https://shopee.co.id/FSS-For-Skin-s-Sake-Hyaluronic-Acid-Hydrate--i.187117294.6845118585")</f>
        <v>https://shopee.co.id/FSS-For-Skin-s-Sake-Hyaluronic-Acid-Hydrate--i.187117294.6845118585</v>
      </c>
      <c r="C3017" s="6" t="s">
        <v>4321</v>
      </c>
      <c r="D3017" s="6" t="s">
        <v>2366</v>
      </c>
      <c r="E3017" s="6" t="s">
        <v>12</v>
      </c>
      <c r="F3017" s="6" t="s">
        <v>13</v>
      </c>
      <c r="G3017" s="6" t="s">
        <v>469</v>
      </c>
      <c r="H3017" s="8" t="s">
        <v>3981</v>
      </c>
      <c r="I3017" s="9">
        <v>0.0</v>
      </c>
      <c r="J3017" s="5" t="str">
        <f t="shared" ref="J3017:K3017" si="3017">SUBSTITUTE(H3017, ",", "")</f>
        <v>0</v>
      </c>
      <c r="K3017" s="5" t="str">
        <f t="shared" si="3017"/>
        <v>Rp0</v>
      </c>
      <c r="L3017" s="5" t="str">
        <f t="shared" si="3"/>
        <v>0</v>
      </c>
    </row>
    <row r="3018">
      <c r="A3018" s="6" t="s">
        <v>4322</v>
      </c>
      <c r="B3018" s="7" t="str">
        <f>HYPERLINK("https://shopee.co.id/FSS-For-Skin-s-Sake-Retinol-Serum-Concentrate-i.187117294.7245119862", "https://shopee.co.id/FSS-For-Skin-s-Sake-Retinol-Serum-Concentrate-i.187117294.7245119862")</f>
        <v>https://shopee.co.id/FSS-For-Skin-s-Sake-Retinol-Serum-Concentrate-i.187117294.7245119862</v>
      </c>
      <c r="C3018" s="6" t="s">
        <v>2700</v>
      </c>
      <c r="D3018" s="6" t="s">
        <v>2366</v>
      </c>
      <c r="E3018" s="6" t="s">
        <v>12</v>
      </c>
      <c r="F3018" s="6" t="s">
        <v>13</v>
      </c>
      <c r="G3018" s="6" t="s">
        <v>469</v>
      </c>
      <c r="H3018" s="8" t="s">
        <v>3981</v>
      </c>
      <c r="I3018" s="9">
        <v>0.0</v>
      </c>
      <c r="J3018" s="5" t="str">
        <f t="shared" ref="J3018:K3018" si="3018">SUBSTITUTE(H3018, ",", "")</f>
        <v>0</v>
      </c>
      <c r="K3018" s="5" t="str">
        <f t="shared" si="3018"/>
        <v>Rp0</v>
      </c>
      <c r="L3018" s="5" t="str">
        <f t="shared" si="3"/>
        <v>0</v>
      </c>
    </row>
    <row r="3019">
      <c r="A3019" s="6" t="s">
        <v>4323</v>
      </c>
      <c r="B3019" s="7" t="str">
        <f>HYPERLINK("https://shopee.co.id/FSS-For-Skins-s-Sake-Vit-C-Serum-Concentrate-i.187117294.7245116323", "https://shopee.co.id/FSS-For-Skins-s-Sake-Vit-C-Serum-Concentrate-i.187117294.7245116323")</f>
        <v>https://shopee.co.id/FSS-For-Skins-s-Sake-Vit-C-Serum-Concentrate-i.187117294.7245116323</v>
      </c>
      <c r="C3019" s="6" t="s">
        <v>2700</v>
      </c>
      <c r="D3019" s="6" t="s">
        <v>2366</v>
      </c>
      <c r="E3019" s="6" t="s">
        <v>12</v>
      </c>
      <c r="F3019" s="6" t="s">
        <v>13</v>
      </c>
      <c r="G3019" s="6" t="s">
        <v>469</v>
      </c>
      <c r="H3019" s="8" t="s">
        <v>3981</v>
      </c>
      <c r="I3019" s="9">
        <v>0.0</v>
      </c>
      <c r="J3019" s="5" t="str">
        <f t="shared" ref="J3019:K3019" si="3019">SUBSTITUTE(H3019, ",", "")</f>
        <v>0</v>
      </c>
      <c r="K3019" s="5" t="str">
        <f t="shared" si="3019"/>
        <v>Rp0</v>
      </c>
      <c r="L3019" s="5" t="str">
        <f t="shared" si="3"/>
        <v>0</v>
      </c>
    </row>
    <row r="3020">
      <c r="A3020" s="6" t="s">
        <v>4324</v>
      </c>
      <c r="B3020" s="7" t="str">
        <f>HYPERLINK("https://shopee.co.id/FSS-Refresh-Vitamin-C-20-Serum-Concentrate-30ml-i.825870.1704059538", "https://shopee.co.id/FSS-Refresh-Vitamin-C-20-Serum-Concentrate-30ml-i.825870.1704059538")</f>
        <v>https://shopee.co.id/FSS-Refresh-Vitamin-C-20-Serum-Concentrate-30ml-i.825870.1704059538</v>
      </c>
      <c r="C3020" s="6" t="s">
        <v>4325</v>
      </c>
      <c r="D3020" s="6" t="s">
        <v>1184</v>
      </c>
      <c r="E3020" s="6" t="s">
        <v>12</v>
      </c>
      <c r="F3020" s="6" t="s">
        <v>13</v>
      </c>
      <c r="G3020" s="6" t="s">
        <v>21</v>
      </c>
      <c r="H3020" s="8" t="s">
        <v>3981</v>
      </c>
      <c r="I3020" s="9">
        <v>0.0</v>
      </c>
      <c r="J3020" s="5" t="str">
        <f t="shared" ref="J3020:K3020" si="3020">SUBSTITUTE(H3020, ",", "")</f>
        <v>0</v>
      </c>
      <c r="K3020" s="5" t="str">
        <f t="shared" si="3020"/>
        <v>Rp0</v>
      </c>
      <c r="L3020" s="5" t="str">
        <f t="shared" si="3"/>
        <v>0</v>
      </c>
    </row>
    <row r="3021">
      <c r="A3021" s="6" t="s">
        <v>4326</v>
      </c>
      <c r="B3021" s="7" t="str">
        <f>HYPERLINK("https://shopee.co.id/Furatasse-Keratin-Serum-i.226441010.5716778258", "https://shopee.co.id/Furatasse-Keratin-Serum-i.226441010.5716778258")</f>
        <v>https://shopee.co.id/Furatasse-Keratin-Serum-i.226441010.5716778258</v>
      </c>
      <c r="C3021" s="6" t="s">
        <v>4327</v>
      </c>
      <c r="D3021" s="6" t="s">
        <v>4328</v>
      </c>
      <c r="E3021" s="6" t="s">
        <v>12</v>
      </c>
      <c r="F3021" s="6" t="s">
        <v>13</v>
      </c>
      <c r="G3021" s="6" t="s">
        <v>2690</v>
      </c>
      <c r="H3021" s="8" t="s">
        <v>3981</v>
      </c>
      <c r="I3021" s="9">
        <v>0.0</v>
      </c>
      <c r="J3021" s="5" t="str">
        <f t="shared" ref="J3021:K3021" si="3021">SUBSTITUTE(H3021, ",", "")</f>
        <v>0</v>
      </c>
      <c r="K3021" s="5" t="str">
        <f t="shared" si="3021"/>
        <v>Rp0</v>
      </c>
      <c r="L3021" s="5" t="str">
        <f t="shared" si="3"/>
        <v>0</v>
      </c>
    </row>
    <row r="3022">
      <c r="A3022" s="6" t="s">
        <v>4329</v>
      </c>
      <c r="B3022" s="7" t="str">
        <f>HYPERLINK("https://shopee.co.id/G9Skin-Bulgarian-Rose-Hydrogel-Essence-i.137563500.2068604676", "https://shopee.co.id/G9Skin-Bulgarian-Rose-Hydrogel-Essence-i.137563500.2068604676")</f>
        <v>https://shopee.co.id/G9Skin-Bulgarian-Rose-Hydrogel-Essence-i.137563500.2068604676</v>
      </c>
      <c r="C3022" s="6" t="s">
        <v>3584</v>
      </c>
      <c r="D3022" s="6" t="s">
        <v>3585</v>
      </c>
      <c r="E3022" s="6" t="s">
        <v>12</v>
      </c>
      <c r="F3022" s="6" t="s">
        <v>13</v>
      </c>
      <c r="G3022" s="6" t="s">
        <v>532</v>
      </c>
      <c r="H3022" s="8" t="s">
        <v>3981</v>
      </c>
      <c r="I3022" s="9">
        <v>0.0</v>
      </c>
      <c r="J3022" s="5" t="str">
        <f t="shared" ref="J3022:K3022" si="3022">SUBSTITUTE(H3022, ",", "")</f>
        <v>0</v>
      </c>
      <c r="K3022" s="5" t="str">
        <f t="shared" si="3022"/>
        <v>Rp0</v>
      </c>
      <c r="L3022" s="5" t="str">
        <f t="shared" si="3"/>
        <v>0</v>
      </c>
    </row>
    <row r="3023">
      <c r="A3023" s="6" t="s">
        <v>4330</v>
      </c>
      <c r="B3023" s="7" t="str">
        <f>HYPERLINK("https://shopee.co.id/G9Skin-Serum-in-Spray-Mask-i.137563500.2075769992", "https://shopee.co.id/G9Skin-Serum-in-Spray-Mask-i.137563500.2075769992")</f>
        <v>https://shopee.co.id/G9Skin-Serum-in-Spray-Mask-i.137563500.2075769992</v>
      </c>
      <c r="C3023" s="6" t="s">
        <v>3584</v>
      </c>
      <c r="D3023" s="6" t="s">
        <v>3585</v>
      </c>
      <c r="E3023" s="6" t="s">
        <v>12</v>
      </c>
      <c r="F3023" s="6" t="s">
        <v>13</v>
      </c>
      <c r="G3023" s="6" t="s">
        <v>532</v>
      </c>
      <c r="H3023" s="8" t="s">
        <v>3981</v>
      </c>
      <c r="I3023" s="9">
        <v>0.0</v>
      </c>
      <c r="J3023" s="5" t="str">
        <f t="shared" ref="J3023:K3023" si="3023">SUBSTITUTE(H3023, ",", "")</f>
        <v>0</v>
      </c>
      <c r="K3023" s="5" t="str">
        <f t="shared" si="3023"/>
        <v>Rp0</v>
      </c>
      <c r="L3023" s="5" t="str">
        <f t="shared" si="3"/>
        <v>0</v>
      </c>
    </row>
    <row r="3024">
      <c r="A3024" s="6" t="s">
        <v>4331</v>
      </c>
      <c r="B3024" s="7" t="str">
        <f>HYPERLINK("https://shopee.co.id/G9Skin-White-in-Milk-Capsule-Serum-i.137563500.2074321318", "https://shopee.co.id/G9Skin-White-in-Milk-Capsule-Serum-i.137563500.2074321318")</f>
        <v>https://shopee.co.id/G9Skin-White-in-Milk-Capsule-Serum-i.137563500.2074321318</v>
      </c>
      <c r="C3024" s="6" t="s">
        <v>3584</v>
      </c>
      <c r="D3024" s="6" t="s">
        <v>3585</v>
      </c>
      <c r="E3024" s="6" t="s">
        <v>12</v>
      </c>
      <c r="F3024" s="6" t="s">
        <v>13</v>
      </c>
      <c r="G3024" s="6" t="s">
        <v>532</v>
      </c>
      <c r="H3024" s="8" t="s">
        <v>3981</v>
      </c>
      <c r="I3024" s="9">
        <v>0.0</v>
      </c>
      <c r="J3024" s="5" t="str">
        <f t="shared" ref="J3024:K3024" si="3024">SUBSTITUTE(H3024, ",", "")</f>
        <v>0</v>
      </c>
      <c r="K3024" s="5" t="str">
        <f t="shared" si="3024"/>
        <v>Rp0</v>
      </c>
      <c r="L3024" s="5" t="str">
        <f t="shared" si="3"/>
        <v>0</v>
      </c>
    </row>
    <row r="3025">
      <c r="A3025" s="6" t="s">
        <v>4332</v>
      </c>
      <c r="B3025" s="7" t="str">
        <f>HYPERLINK("https://shopee.co.id/G9Skin-White-In-Milk-Capsule-Serum-50ml-i.10689.4410235910", "https://shopee.co.id/G9Skin-White-In-Milk-Capsule-Serum-50ml-i.10689.4410235910")</f>
        <v>https://shopee.co.id/G9Skin-White-In-Milk-Capsule-Serum-50ml-i.10689.4410235910</v>
      </c>
      <c r="C3025" s="6" t="s">
        <v>3584</v>
      </c>
      <c r="D3025" s="6" t="s">
        <v>745</v>
      </c>
      <c r="E3025" s="6" t="s">
        <v>12</v>
      </c>
      <c r="F3025" s="6" t="s">
        <v>13</v>
      </c>
      <c r="G3025" s="6" t="s">
        <v>61</v>
      </c>
      <c r="H3025" s="8" t="s">
        <v>3981</v>
      </c>
      <c r="I3025" s="9">
        <v>0.0</v>
      </c>
      <c r="J3025" s="5" t="str">
        <f t="shared" ref="J3025:K3025" si="3025">SUBSTITUTE(H3025, ",", "")</f>
        <v>0</v>
      </c>
      <c r="K3025" s="5" t="str">
        <f t="shared" si="3025"/>
        <v>Rp0</v>
      </c>
      <c r="L3025" s="5" t="str">
        <f t="shared" si="3"/>
        <v>0</v>
      </c>
    </row>
    <row r="3026">
      <c r="A3026" s="6" t="s">
        <v>4333</v>
      </c>
      <c r="B3026" s="7" t="str">
        <f>HYPERLINK("https://shopee.co.id/Garnier-Bright-Complete-White-Speed-Day-Serum-Cream-Uva-Uvb-Skin-Care-40-ml-i.65323877.10919057707", "https://shopee.co.id/Garnier-Bright-Complete-White-Speed-Day-Serum-Cream-Uva-Uvb-Skin-Care-40-ml-i.65323877.10919057707")</f>
        <v>https://shopee.co.id/Garnier-Bright-Complete-White-Speed-Day-Serum-Cream-Uva-Uvb-Skin-Care-40-ml-i.65323877.10919057707</v>
      </c>
      <c r="C3026" s="6" t="s">
        <v>74</v>
      </c>
      <c r="D3026" s="6" t="s">
        <v>1600</v>
      </c>
      <c r="E3026" s="6" t="s">
        <v>12</v>
      </c>
      <c r="F3026" s="6" t="s">
        <v>13</v>
      </c>
      <c r="G3026" s="6" t="s">
        <v>296</v>
      </c>
      <c r="H3026" s="8" t="s">
        <v>3981</v>
      </c>
      <c r="I3026" s="9">
        <v>0.0</v>
      </c>
      <c r="J3026" s="5" t="str">
        <f t="shared" ref="J3026:K3026" si="3026">SUBSTITUTE(H3026, ",", "")</f>
        <v>0</v>
      </c>
      <c r="K3026" s="5" t="str">
        <f t="shared" si="3026"/>
        <v>Rp0</v>
      </c>
      <c r="L3026" s="5" t="str">
        <f t="shared" si="3"/>
        <v>0</v>
      </c>
    </row>
    <row r="3027">
      <c r="A3027" s="6" t="s">
        <v>4334</v>
      </c>
      <c r="B3027" s="7" t="str">
        <f>HYPERLINK("https://shopee.co.id/Garnier-Light-Complete-Sunscreen-Booster-Serum--i.186214521.9147110819", "https://shopee.co.id/Garnier-Light-Complete-Sunscreen-Booster-Serum--i.186214521.9147110819")</f>
        <v>https://shopee.co.id/Garnier-Light-Complete-Sunscreen-Booster-Serum--i.186214521.9147110819</v>
      </c>
      <c r="C3027" s="6" t="s">
        <v>74</v>
      </c>
      <c r="D3027" s="6" t="s">
        <v>2293</v>
      </c>
      <c r="E3027" s="6" t="s">
        <v>12</v>
      </c>
      <c r="F3027" s="6" t="s">
        <v>13</v>
      </c>
      <c r="G3027" s="6" t="s">
        <v>61</v>
      </c>
      <c r="H3027" s="8" t="s">
        <v>3981</v>
      </c>
      <c r="I3027" s="9">
        <v>0.0</v>
      </c>
      <c r="J3027" s="5" t="str">
        <f t="shared" ref="J3027:K3027" si="3027">SUBSTITUTE(H3027, ",", "")</f>
        <v>0</v>
      </c>
      <c r="K3027" s="5" t="str">
        <f t="shared" si="3027"/>
        <v>Rp0</v>
      </c>
      <c r="L3027" s="5" t="str">
        <f t="shared" si="3"/>
        <v>0</v>
      </c>
    </row>
    <row r="3028">
      <c r="A3028" s="6" t="s">
        <v>4335</v>
      </c>
      <c r="B3028" s="7" t="str">
        <f>HYPERLINK("https://shopee.co.id/Garnier-Light-Complete-Booster-Serum-15-ml-Bright-Up-Mask-5-pcs-Untuk-Kulit-Cerah-Seketika--i.62583853.5179230740", "https://shopee.co.id/Garnier-Light-Complete-Booster-Serum-15-ml-Bright-Up-Mask-5-pcs-Untuk-Kulit-Cerah-Seketika--i.62583853.5179230740")</f>
        <v>https://shopee.co.id/Garnier-Light-Complete-Booster-Serum-15-ml-Bright-Up-Mask-5-pcs-Untuk-Kulit-Cerah-Seketika--i.62583853.5179230740</v>
      </c>
      <c r="C3028" s="6" t="s">
        <v>74</v>
      </c>
      <c r="D3028" s="6" t="s">
        <v>75</v>
      </c>
      <c r="E3028" s="6" t="s">
        <v>12</v>
      </c>
      <c r="F3028" s="6" t="s">
        <v>13</v>
      </c>
      <c r="G3028" s="6" t="s">
        <v>61</v>
      </c>
      <c r="H3028" s="8" t="s">
        <v>3981</v>
      </c>
      <c r="I3028" s="9">
        <v>0.0</v>
      </c>
      <c r="J3028" s="5" t="str">
        <f t="shared" ref="J3028:K3028" si="3028">SUBSTITUTE(H3028, ",", "")</f>
        <v>0</v>
      </c>
      <c r="K3028" s="5" t="str">
        <f t="shared" si="3028"/>
        <v>Rp0</v>
      </c>
      <c r="L3028" s="5" t="str">
        <f t="shared" si="3"/>
        <v>0</v>
      </c>
    </row>
    <row r="3029">
      <c r="A3029" s="6" t="s">
        <v>4336</v>
      </c>
      <c r="B3029" s="7" t="str">
        <f>HYPERLINK("https://shopee.co.id/Garnier-Light-Complete-Speed-Serum-Cream-321231--i.16735262.10205257054", "https://shopee.co.id/Garnier-Light-Complete-Speed-Serum-Cream-321231--i.16735262.10205257054")</f>
        <v>https://shopee.co.id/Garnier-Light-Complete-Speed-Serum-Cream-321231--i.16735262.10205257054</v>
      </c>
      <c r="C3029" s="6" t="s">
        <v>74</v>
      </c>
      <c r="D3029" s="6" t="s">
        <v>3598</v>
      </c>
      <c r="E3029" s="6" t="s">
        <v>12</v>
      </c>
      <c r="F3029" s="6" t="s">
        <v>13</v>
      </c>
      <c r="G3029" s="6" t="s">
        <v>36</v>
      </c>
      <c r="H3029" s="8" t="s">
        <v>3981</v>
      </c>
      <c r="I3029" s="9">
        <v>0.0</v>
      </c>
      <c r="J3029" s="5" t="str">
        <f t="shared" ref="J3029:K3029" si="3029">SUBSTITUTE(H3029, ",", "")</f>
        <v>0</v>
      </c>
      <c r="K3029" s="5" t="str">
        <f t="shared" si="3029"/>
        <v>Rp0</v>
      </c>
      <c r="L3029" s="5" t="str">
        <f t="shared" si="3"/>
        <v>0</v>
      </c>
    </row>
    <row r="3030">
      <c r="A3030" s="6" t="s">
        <v>4337</v>
      </c>
      <c r="B3030" s="7" t="str">
        <f>HYPERLINK("https://shopee.co.id/Garnier-Sakura-Glow-Hyaluron-Water-Glow-Essence-Skin-Care-x-2-pcs-Untuk-Kulit-Glowing-Dari-Dalam--i.62583853.8542110518", "https://shopee.co.id/Garnier-Sakura-Glow-Hyaluron-Water-Glow-Essence-Skin-Care-x-2-pcs-Untuk-Kulit-Glowing-Dari-Dalam--i.62583853.8542110518")</f>
        <v>https://shopee.co.id/Garnier-Sakura-Glow-Hyaluron-Water-Glow-Essence-Skin-Care-x-2-pcs-Untuk-Kulit-Glowing-Dari-Dalam--i.62583853.8542110518</v>
      </c>
      <c r="C3030" s="6" t="s">
        <v>74</v>
      </c>
      <c r="D3030" s="6" t="s">
        <v>75</v>
      </c>
      <c r="E3030" s="6" t="s">
        <v>12</v>
      </c>
      <c r="F3030" s="6" t="s">
        <v>13</v>
      </c>
      <c r="G3030" s="6" t="s">
        <v>61</v>
      </c>
      <c r="H3030" s="8" t="s">
        <v>3981</v>
      </c>
      <c r="I3030" s="9">
        <v>0.0</v>
      </c>
      <c r="J3030" s="5" t="str">
        <f t="shared" ref="J3030:K3030" si="3030">SUBSTITUTE(H3030, ",", "")</f>
        <v>0</v>
      </c>
      <c r="K3030" s="5" t="str">
        <f t="shared" si="3030"/>
        <v>Rp0</v>
      </c>
      <c r="L3030" s="5" t="str">
        <f t="shared" si="3"/>
        <v>0</v>
      </c>
    </row>
    <row r="3031">
      <c r="A3031" s="6" t="s">
        <v>4338</v>
      </c>
      <c r="B3031" s="7" t="str">
        <f>HYPERLINK("https://shopee.co.id/Garnier-Sakura-Glow-Hyaluron-Water-Glow-Essence-3-x-30-mL-i.65323877.10719476240", "https://shopee.co.id/Garnier-Sakura-Glow-Hyaluron-Water-Glow-Essence-3-x-30-mL-i.65323877.10719476240")</f>
        <v>https://shopee.co.id/Garnier-Sakura-Glow-Hyaluron-Water-Glow-Essence-3-x-30-mL-i.65323877.10719476240</v>
      </c>
      <c r="C3031" s="6" t="s">
        <v>74</v>
      </c>
      <c r="D3031" s="6" t="s">
        <v>1600</v>
      </c>
      <c r="E3031" s="6" t="s">
        <v>12</v>
      </c>
      <c r="F3031" s="6" t="s">
        <v>13</v>
      </c>
      <c r="G3031" s="6" t="s">
        <v>296</v>
      </c>
      <c r="H3031" s="8" t="s">
        <v>3981</v>
      </c>
      <c r="I3031" s="9">
        <v>0.0</v>
      </c>
      <c r="J3031" s="5" t="str">
        <f t="shared" ref="J3031:K3031" si="3031">SUBSTITUTE(H3031, ",", "")</f>
        <v>0</v>
      </c>
      <c r="K3031" s="5" t="str">
        <f t="shared" si="3031"/>
        <v>Rp0</v>
      </c>
      <c r="L3031" s="5" t="str">
        <f t="shared" si="3"/>
        <v>0</v>
      </c>
    </row>
    <row r="3032">
      <c r="A3032" s="6" t="s">
        <v>4339</v>
      </c>
      <c r="B3032" s="7" t="str">
        <f>HYPERLINK("https://shopee.co.id/Garnier-Sakura-White-Booster-Serum-15-ml-Waterglow-Mask-5-pcs-Untuk-Kulit-Glowing-Seketika--i.62583853.4579230506", "https://shopee.co.id/Garnier-Sakura-White-Booster-Serum-15-ml-Waterglow-Mask-5-pcs-Untuk-Kulit-Glowing-Seketika--i.62583853.4579230506")</f>
        <v>https://shopee.co.id/Garnier-Sakura-White-Booster-Serum-15-ml-Waterglow-Mask-5-pcs-Untuk-Kulit-Glowing-Seketika--i.62583853.4579230506</v>
      </c>
      <c r="C3032" s="6" t="s">
        <v>74</v>
      </c>
      <c r="D3032" s="6" t="s">
        <v>75</v>
      </c>
      <c r="E3032" s="6" t="s">
        <v>12</v>
      </c>
      <c r="F3032" s="6" t="s">
        <v>13</v>
      </c>
      <c r="G3032" s="6" t="s">
        <v>61</v>
      </c>
      <c r="H3032" s="8" t="s">
        <v>3981</v>
      </c>
      <c r="I3032" s="9">
        <v>0.0</v>
      </c>
      <c r="J3032" s="5" t="str">
        <f t="shared" ref="J3032:K3032" si="3032">SUBSTITUTE(H3032, ",", "")</f>
        <v>0</v>
      </c>
      <c r="K3032" s="5" t="str">
        <f t="shared" si="3032"/>
        <v>Rp0</v>
      </c>
      <c r="L3032" s="5" t="str">
        <f t="shared" si="3"/>
        <v>0</v>
      </c>
    </row>
    <row r="3033">
      <c r="A3033" s="6" t="s">
        <v>4340</v>
      </c>
      <c r="B3033" s="7" t="str">
        <f>HYPERLINK("https://shopee.co.id/Garnier-Serum-Sakura-White-Hyaluron-30x-Booster-Skin-Care-30-mL-i.65323877.9279237865", "https://shopee.co.id/Garnier-Serum-Sakura-White-Hyaluron-30x-Booster-Skin-Care-30-mL-i.65323877.9279237865")</f>
        <v>https://shopee.co.id/Garnier-Serum-Sakura-White-Hyaluron-30x-Booster-Skin-Care-30-mL-i.65323877.9279237865</v>
      </c>
      <c r="C3033" s="6" t="s">
        <v>74</v>
      </c>
      <c r="D3033" s="6" t="s">
        <v>1600</v>
      </c>
      <c r="E3033" s="6" t="s">
        <v>12</v>
      </c>
      <c r="F3033" s="6" t="s">
        <v>13</v>
      </c>
      <c r="G3033" s="6" t="s">
        <v>296</v>
      </c>
      <c r="H3033" s="8" t="s">
        <v>3981</v>
      </c>
      <c r="I3033" s="9">
        <v>0.0</v>
      </c>
      <c r="J3033" s="5" t="str">
        <f t="shared" ref="J3033:K3033" si="3033">SUBSTITUTE(H3033, ",", "")</f>
        <v>0</v>
      </c>
      <c r="K3033" s="5" t="str">
        <f t="shared" si="3033"/>
        <v>Rp0</v>
      </c>
      <c r="L3033" s="5" t="str">
        <f t="shared" si="3"/>
        <v>0</v>
      </c>
    </row>
    <row r="3034">
      <c r="A3034" s="6" t="s">
        <v>4341</v>
      </c>
      <c r="B3034" s="7" t="str">
        <f>HYPERLINK("https://shopee.co.id/GARNIER-SKIN-NATURAL-LIGHT-COMPLETE-WHITE-SPEED-ESSENCE-10-ML-i.30736001.621029862", "https://shopee.co.id/GARNIER-SKIN-NATURAL-LIGHT-COMPLETE-WHITE-SPEED-ESSENCE-10-ML-i.30736001.621029862")</f>
        <v>https://shopee.co.id/GARNIER-SKIN-NATURAL-LIGHT-COMPLETE-WHITE-SPEED-ESSENCE-10-ML-i.30736001.621029862</v>
      </c>
      <c r="C3034" s="6" t="s">
        <v>74</v>
      </c>
      <c r="D3034" s="6" t="s">
        <v>335</v>
      </c>
      <c r="E3034" s="6" t="s">
        <v>12</v>
      </c>
      <c r="F3034" s="6" t="s">
        <v>13</v>
      </c>
      <c r="G3034" s="6" t="s">
        <v>36</v>
      </c>
      <c r="H3034" s="8" t="s">
        <v>3981</v>
      </c>
      <c r="I3034" s="9">
        <v>0.0</v>
      </c>
      <c r="J3034" s="5" t="str">
        <f t="shared" ref="J3034:K3034" si="3034">SUBSTITUTE(H3034, ",", "")</f>
        <v>0</v>
      </c>
      <c r="K3034" s="5" t="str">
        <f t="shared" si="3034"/>
        <v>Rp0</v>
      </c>
      <c r="L3034" s="5" t="str">
        <f t="shared" si="3"/>
        <v>0</v>
      </c>
    </row>
    <row r="3035">
      <c r="A3035" s="6" t="s">
        <v>4342</v>
      </c>
      <c r="B3035" s="7" t="str">
        <f>HYPERLINK("https://shopee.co.id/Garnier-SW-Hyaluron-Booster-Serum-30ML-i.186214521.4476237832", "https://shopee.co.id/Garnier-SW-Hyaluron-Booster-Serum-30ML-i.186214521.4476237832")</f>
        <v>https://shopee.co.id/Garnier-SW-Hyaluron-Booster-Serum-30ML-i.186214521.4476237832</v>
      </c>
      <c r="C3035" s="6" t="s">
        <v>74</v>
      </c>
      <c r="D3035" s="6" t="s">
        <v>2293</v>
      </c>
      <c r="E3035" s="6" t="s">
        <v>12</v>
      </c>
      <c r="F3035" s="6" t="s">
        <v>13</v>
      </c>
      <c r="G3035" s="6" t="s">
        <v>61</v>
      </c>
      <c r="H3035" s="8" t="s">
        <v>3981</v>
      </c>
      <c r="I3035" s="9">
        <v>0.0</v>
      </c>
      <c r="J3035" s="5" t="str">
        <f t="shared" ref="J3035:K3035" si="3035">SUBSTITUTE(H3035, ",", "")</f>
        <v>0</v>
      </c>
      <c r="K3035" s="5" t="str">
        <f t="shared" si="3035"/>
        <v>Rp0</v>
      </c>
      <c r="L3035" s="5" t="str">
        <f t="shared" si="3"/>
        <v>0</v>
      </c>
    </row>
    <row r="3036">
      <c r="A3036" s="6" t="s">
        <v>4343</v>
      </c>
      <c r="B3036" s="7" t="str">
        <f>HYPERLINK("https://shopee.co.id/Garnier-x-Bayfresh-Light-Complete-Booster-Serum-Pampering-Package-i.62583853.4457331018", "https://shopee.co.id/Garnier-x-Bayfresh-Light-Complete-Booster-Serum-Pampering-Package-i.62583853.4457331018")</f>
        <v>https://shopee.co.id/Garnier-x-Bayfresh-Light-Complete-Booster-Serum-Pampering-Package-i.62583853.4457331018</v>
      </c>
      <c r="C3036" s="6" t="s">
        <v>74</v>
      </c>
      <c r="D3036" s="6" t="s">
        <v>75</v>
      </c>
      <c r="E3036" s="6" t="s">
        <v>12</v>
      </c>
      <c r="F3036" s="6" t="s">
        <v>13</v>
      </c>
      <c r="G3036" s="6" t="s">
        <v>61</v>
      </c>
      <c r="H3036" s="8" t="s">
        <v>3981</v>
      </c>
      <c r="I3036" s="9">
        <v>0.0</v>
      </c>
      <c r="J3036" s="5" t="str">
        <f t="shared" ref="J3036:K3036" si="3036">SUBSTITUTE(H3036, ",", "")</f>
        <v>0</v>
      </c>
      <c r="K3036" s="5" t="str">
        <f t="shared" si="3036"/>
        <v>Rp0</v>
      </c>
      <c r="L3036" s="5" t="str">
        <f t="shared" si="3"/>
        <v>0</v>
      </c>
    </row>
    <row r="3037">
      <c r="A3037" s="6" t="s">
        <v>4344</v>
      </c>
      <c r="B3037" s="7" t="str">
        <f>HYPERLINK("https://shopee.co.id/GEN-Whitening-Generator-C-Serum-For-All-Skin-Types-20ml-BPOM-NA18191905852-i.188839838.4610078047", "https://shopee.co.id/GEN-Whitening-Generator-C-Serum-For-All-Skin-Types-20ml-BPOM-NA18191905852-i.188839838.4610078047")</f>
        <v>https://shopee.co.id/GEN-Whitening-Generator-C-Serum-For-All-Skin-Types-20ml-BPOM-NA18191905852-i.188839838.4610078047</v>
      </c>
      <c r="C3037" s="6" t="s">
        <v>2988</v>
      </c>
      <c r="D3037" s="6" t="s">
        <v>2989</v>
      </c>
      <c r="E3037" s="6" t="s">
        <v>12</v>
      </c>
      <c r="F3037" s="6" t="s">
        <v>13</v>
      </c>
      <c r="G3037" s="6" t="s">
        <v>532</v>
      </c>
      <c r="H3037" s="8" t="s">
        <v>3981</v>
      </c>
      <c r="I3037" s="9">
        <v>0.0</v>
      </c>
      <c r="J3037" s="5" t="str">
        <f t="shared" ref="J3037:K3037" si="3037">SUBSTITUTE(H3037, ",", "")</f>
        <v>0</v>
      </c>
      <c r="K3037" s="5" t="str">
        <f t="shared" si="3037"/>
        <v>Rp0</v>
      </c>
      <c r="L3037" s="5" t="str">
        <f t="shared" si="3"/>
        <v>0</v>
      </c>
    </row>
    <row r="3038">
      <c r="A3038" s="6" t="s">
        <v>4345</v>
      </c>
      <c r="B3038" s="7" t="str">
        <f>HYPERLINK("https://shopee.co.id/Gentle-Bright-Serum-Free-FREEBIES-Glowlabs-Merchandise-i.336869851.3197254467", "https://shopee.co.id/Gentle-Bright-Serum-Free-FREEBIES-Glowlabs-Merchandise-i.336869851.3197254467")</f>
        <v>https://shopee.co.id/Gentle-Bright-Serum-Free-FREEBIES-Glowlabs-Merchandise-i.336869851.3197254467</v>
      </c>
      <c r="C3038" s="6" t="s">
        <v>407</v>
      </c>
      <c r="D3038" s="6" t="s">
        <v>408</v>
      </c>
      <c r="E3038" s="6" t="s">
        <v>12</v>
      </c>
      <c r="F3038" s="6" t="s">
        <v>13</v>
      </c>
      <c r="G3038" s="6" t="s">
        <v>409</v>
      </c>
      <c r="H3038" s="8" t="s">
        <v>3981</v>
      </c>
      <c r="I3038" s="9">
        <v>0.0</v>
      </c>
      <c r="J3038" s="5" t="str">
        <f t="shared" ref="J3038:K3038" si="3038">SUBSTITUTE(H3038, ",", "")</f>
        <v>0</v>
      </c>
      <c r="K3038" s="5" t="str">
        <f t="shared" si="3038"/>
        <v>Rp0</v>
      </c>
      <c r="L3038" s="5" t="str">
        <f t="shared" si="3"/>
        <v>0</v>
      </c>
    </row>
    <row r="3039">
      <c r="A3039" s="6" t="s">
        <v>4346</v>
      </c>
      <c r="B3039" s="7" t="str">
        <f>HYPERLINK("https://shopee.co.id/Gentle-Glow-Essence-Free-FREEBIES-Glowlabs-Merchandise-i.336869851.8985871912", "https://shopee.co.id/Gentle-Glow-Essence-Free-FREEBIES-Glowlabs-Merchandise-i.336869851.8985871912")</f>
        <v>https://shopee.co.id/Gentle-Glow-Essence-Free-FREEBIES-Glowlabs-Merchandise-i.336869851.8985871912</v>
      </c>
      <c r="C3039" s="6" t="s">
        <v>407</v>
      </c>
      <c r="D3039" s="6" t="s">
        <v>408</v>
      </c>
      <c r="E3039" s="6" t="s">
        <v>12</v>
      </c>
      <c r="F3039" s="6" t="s">
        <v>13</v>
      </c>
      <c r="G3039" s="6" t="s">
        <v>409</v>
      </c>
      <c r="H3039" s="8" t="s">
        <v>3981</v>
      </c>
      <c r="I3039" s="9">
        <v>0.0</v>
      </c>
      <c r="J3039" s="5" t="str">
        <f t="shared" ref="J3039:K3039" si="3039">SUBSTITUTE(H3039, ",", "")</f>
        <v>0</v>
      </c>
      <c r="K3039" s="5" t="str">
        <f t="shared" si="3039"/>
        <v>Rp0</v>
      </c>
      <c r="L3039" s="5" t="str">
        <f t="shared" si="3"/>
        <v>0</v>
      </c>
    </row>
    <row r="3040">
      <c r="A3040" s="6" t="s">
        <v>4347</v>
      </c>
      <c r="B3040" s="7" t="str">
        <f>HYPERLINK("https://shopee.co.id/GF-BLITHE-INBETWEEN-HYDRO-PREPARATION-ESSENCE-i.53497038.7168872065", "https://shopee.co.id/GF-BLITHE-INBETWEEN-HYDRO-PREPARATION-ESSENCE-i.53497038.7168872065")</f>
        <v>https://shopee.co.id/GF-BLITHE-INBETWEEN-HYDRO-PREPARATION-ESSENCE-i.53497038.7168872065</v>
      </c>
      <c r="C3040" s="6" t="s">
        <v>1969</v>
      </c>
      <c r="D3040" s="6" t="s">
        <v>907</v>
      </c>
      <c r="E3040" s="6" t="s">
        <v>12</v>
      </c>
      <c r="F3040" s="6" t="s">
        <v>13</v>
      </c>
      <c r="G3040" s="6" t="s">
        <v>61</v>
      </c>
      <c r="H3040" s="8" t="s">
        <v>3981</v>
      </c>
      <c r="I3040" s="9">
        <v>0.0</v>
      </c>
      <c r="J3040" s="5" t="str">
        <f t="shared" ref="J3040:K3040" si="3040">SUBSTITUTE(H3040, ",", "")</f>
        <v>0</v>
      </c>
      <c r="K3040" s="5" t="str">
        <f t="shared" si="3040"/>
        <v>Rp0</v>
      </c>
      <c r="L3040" s="5" t="str">
        <f t="shared" si="3"/>
        <v>0</v>
      </c>
    </row>
    <row r="3041">
      <c r="A3041" s="6" t="s">
        <v>4348</v>
      </c>
      <c r="B3041" s="7" t="str">
        <f>HYPERLINK("https://shopee.co.id/GF-CREMORLAB-TEN-MIRACLE-THE-ESSENCE-2ML-i.53497038.8675724604", "https://shopee.co.id/GF-CREMORLAB-TEN-MIRACLE-THE-ESSENCE-2ML-i.53497038.8675724604")</f>
        <v>https://shopee.co.id/GF-CREMORLAB-TEN-MIRACLE-THE-ESSENCE-2ML-i.53497038.8675724604</v>
      </c>
      <c r="C3041" s="6" t="s">
        <v>3236</v>
      </c>
      <c r="D3041" s="6" t="s">
        <v>907</v>
      </c>
      <c r="E3041" s="6" t="s">
        <v>12</v>
      </c>
      <c r="F3041" s="6" t="s">
        <v>13</v>
      </c>
      <c r="G3041" s="6" t="s">
        <v>61</v>
      </c>
      <c r="H3041" s="8" t="s">
        <v>3981</v>
      </c>
      <c r="I3041" s="9">
        <v>0.0</v>
      </c>
      <c r="J3041" s="5" t="str">
        <f t="shared" ref="J3041:K3041" si="3041">SUBSTITUTE(H3041, ",", "")</f>
        <v>0</v>
      </c>
      <c r="K3041" s="5" t="str">
        <f t="shared" si="3041"/>
        <v>Rp0</v>
      </c>
      <c r="L3041" s="5" t="str">
        <f t="shared" si="3"/>
        <v>0</v>
      </c>
    </row>
    <row r="3042">
      <c r="A3042" s="6" t="s">
        <v>4349</v>
      </c>
      <c r="B3042" s="7" t="str">
        <f>HYPERLINK("https://shopee.co.id/Giffarine-Astaxanthin-Age-Defying-Intensive-Serum-i.118878742.1892078912", "https://shopee.co.id/Giffarine-Astaxanthin-Age-Defying-Intensive-Serum-i.118878742.1892078912")</f>
        <v>https://shopee.co.id/Giffarine-Astaxanthin-Age-Defying-Intensive-Serum-i.118878742.1892078912</v>
      </c>
      <c r="C3042" s="6" t="s">
        <v>2592</v>
      </c>
      <c r="D3042" s="6" t="s">
        <v>2593</v>
      </c>
      <c r="E3042" s="6" t="s">
        <v>12</v>
      </c>
      <c r="F3042" s="6" t="s">
        <v>13</v>
      </c>
      <c r="G3042" s="6" t="s">
        <v>61</v>
      </c>
      <c r="H3042" s="8" t="s">
        <v>3981</v>
      </c>
      <c r="I3042" s="9">
        <v>0.0</v>
      </c>
      <c r="J3042" s="5" t="str">
        <f t="shared" ref="J3042:K3042" si="3042">SUBSTITUTE(H3042, ",", "")</f>
        <v>0</v>
      </c>
      <c r="K3042" s="5" t="str">
        <f t="shared" si="3042"/>
        <v>Rp0</v>
      </c>
      <c r="L3042" s="5" t="str">
        <f t="shared" si="3"/>
        <v>0</v>
      </c>
    </row>
    <row r="3043">
      <c r="A3043" s="6" t="s">
        <v>4350</v>
      </c>
      <c r="B3043" s="7" t="str">
        <f>HYPERLINK("https://shopee.co.id/Giffarine-Miracle-Fluid-Facial-Treatment-Essence-i.118878742.1892076040", "https://shopee.co.id/Giffarine-Miracle-Fluid-Facial-Treatment-Essence-i.118878742.1892076040")</f>
        <v>https://shopee.co.id/Giffarine-Miracle-Fluid-Facial-Treatment-Essence-i.118878742.1892076040</v>
      </c>
      <c r="C3043" s="6" t="s">
        <v>2592</v>
      </c>
      <c r="D3043" s="6" t="s">
        <v>2593</v>
      </c>
      <c r="E3043" s="6" t="s">
        <v>12</v>
      </c>
      <c r="F3043" s="6" t="s">
        <v>13</v>
      </c>
      <c r="G3043" s="6" t="s">
        <v>61</v>
      </c>
      <c r="H3043" s="8" t="s">
        <v>3981</v>
      </c>
      <c r="I3043" s="9">
        <v>0.0</v>
      </c>
      <c r="J3043" s="5" t="str">
        <f t="shared" ref="J3043:K3043" si="3043">SUBSTITUTE(H3043, ",", "")</f>
        <v>0</v>
      </c>
      <c r="K3043" s="5" t="str">
        <f t="shared" si="3043"/>
        <v>Rp0</v>
      </c>
      <c r="L3043" s="5" t="str">
        <f t="shared" si="3"/>
        <v>0</v>
      </c>
    </row>
    <row r="3044">
      <c r="A3044" s="6" t="s">
        <v>4351</v>
      </c>
      <c r="B3044" s="7" t="str">
        <f>HYPERLINK("https://shopee.co.id/GIFT-NOT-FOR-SALE-By-Wishtrend-Pure-Vitamin-C-21-5-Advanced-Serum-i.438396149.8673543390", "https://shopee.co.id/GIFT-NOT-FOR-SALE-By-Wishtrend-Pure-Vitamin-C-21-5-Advanced-Serum-i.438396149.8673543390")</f>
        <v>https://shopee.co.id/GIFT-NOT-FOR-SALE-By-Wishtrend-Pure-Vitamin-C-21-5-Advanced-Serum-i.438396149.8673543390</v>
      </c>
      <c r="C3044" s="6" t="s">
        <v>2759</v>
      </c>
      <c r="D3044" s="6" t="s">
        <v>2760</v>
      </c>
      <c r="E3044" s="6" t="s">
        <v>12</v>
      </c>
      <c r="F3044" s="6" t="s">
        <v>13</v>
      </c>
      <c r="G3044" s="6" t="s">
        <v>21</v>
      </c>
      <c r="H3044" s="8" t="s">
        <v>3981</v>
      </c>
      <c r="I3044" s="9">
        <v>0.0</v>
      </c>
      <c r="J3044" s="5" t="str">
        <f t="shared" ref="J3044:K3044" si="3044">SUBSTITUTE(H3044, ",", "")</f>
        <v>0</v>
      </c>
      <c r="K3044" s="5" t="str">
        <f t="shared" si="3044"/>
        <v>Rp0</v>
      </c>
      <c r="L3044" s="5" t="str">
        <f t="shared" si="3"/>
        <v>0</v>
      </c>
    </row>
    <row r="3045">
      <c r="A3045" s="6" t="s">
        <v>4352</v>
      </c>
      <c r="B3045" s="7" t="str">
        <f>HYPERLINK("https://shopee.co.id/Glamglow-Superserum-6-Acid-Refining-Treatment-30ml-i.825870.7407668998", "https://shopee.co.id/Glamglow-Superserum-6-Acid-Refining-Treatment-30ml-i.825870.7407668998")</f>
        <v>https://shopee.co.id/Glamglow-Superserum-6-Acid-Refining-Treatment-30ml-i.825870.7407668998</v>
      </c>
      <c r="C3045" s="6" t="s">
        <v>2156</v>
      </c>
      <c r="D3045" s="6" t="s">
        <v>1184</v>
      </c>
      <c r="E3045" s="6" t="s">
        <v>12</v>
      </c>
      <c r="F3045" s="6" t="s">
        <v>13</v>
      </c>
      <c r="G3045" s="6" t="s">
        <v>21</v>
      </c>
      <c r="H3045" s="8" t="s">
        <v>3981</v>
      </c>
      <c r="I3045" s="9">
        <v>0.0</v>
      </c>
      <c r="J3045" s="5" t="str">
        <f t="shared" ref="J3045:K3045" si="3045">SUBSTITUTE(H3045, ",", "")</f>
        <v>0</v>
      </c>
      <c r="K3045" s="5" t="str">
        <f t="shared" si="3045"/>
        <v>Rp0</v>
      </c>
      <c r="L3045" s="5" t="str">
        <f t="shared" si="3"/>
        <v>0</v>
      </c>
    </row>
    <row r="3046">
      <c r="A3046" s="6" t="s">
        <v>4353</v>
      </c>
      <c r="B3046" s="7" t="str">
        <f>HYPERLINK("https://shopee.co.id/GLAMGLOW-SUPERSERUM-6-Acid-Refining-Treatment-Serum-10ml-i.37242565.7115172474", "https://shopee.co.id/GLAMGLOW-SUPERSERUM-6-Acid-Refining-Treatment-Serum-10ml-i.37242565.7115172474")</f>
        <v>https://shopee.co.id/GLAMGLOW-SUPERSERUM-6-Acid-Refining-Treatment-Serum-10ml-i.37242565.7115172474</v>
      </c>
      <c r="C3046" s="6" t="s">
        <v>2156</v>
      </c>
      <c r="D3046" s="6" t="s">
        <v>2157</v>
      </c>
      <c r="E3046" s="6" t="s">
        <v>12</v>
      </c>
      <c r="F3046" s="6" t="s">
        <v>13</v>
      </c>
      <c r="G3046" s="6" t="s">
        <v>98</v>
      </c>
      <c r="H3046" s="8" t="s">
        <v>3981</v>
      </c>
      <c r="I3046" s="9">
        <v>0.0</v>
      </c>
      <c r="J3046" s="5" t="str">
        <f t="shared" ref="J3046:K3046" si="3046">SUBSTITUTE(H3046, ",", "")</f>
        <v>0</v>
      </c>
      <c r="K3046" s="5" t="str">
        <f t="shared" si="3046"/>
        <v>Rp0</v>
      </c>
      <c r="L3046" s="5" t="str">
        <f t="shared" si="3"/>
        <v>0</v>
      </c>
    </row>
    <row r="3047">
      <c r="A3047" s="6" t="s">
        <v>4354</v>
      </c>
      <c r="B3047" s="7" t="str">
        <f>HYPERLINK("https://shopee.co.id/Glamore-Skincare-2-Pcs-Serum-Premium-Alpha-Arbutin-15-ml-Bundling-2-Pcs--i.214654119.7495278312", "https://shopee.co.id/Glamore-Skincare-2-Pcs-Serum-Premium-Alpha-Arbutin-15-ml-Bundling-2-Pcs--i.214654119.7495278312")</f>
        <v>https://shopee.co.id/Glamore-Skincare-2-Pcs-Serum-Premium-Alpha-Arbutin-15-ml-Bundling-2-Pcs--i.214654119.7495278312</v>
      </c>
      <c r="C3047" s="6" t="s">
        <v>1359</v>
      </c>
      <c r="D3047" s="6" t="s">
        <v>2321</v>
      </c>
      <c r="E3047" s="6" t="s">
        <v>12</v>
      </c>
      <c r="F3047" s="6" t="s">
        <v>13</v>
      </c>
      <c r="G3047" s="6" t="s">
        <v>98</v>
      </c>
      <c r="H3047" s="8" t="s">
        <v>3981</v>
      </c>
      <c r="I3047" s="9">
        <v>0.0</v>
      </c>
      <c r="J3047" s="5" t="str">
        <f t="shared" ref="J3047:K3047" si="3047">SUBSTITUTE(H3047, ",", "")</f>
        <v>0</v>
      </c>
      <c r="K3047" s="5" t="str">
        <f t="shared" si="3047"/>
        <v>Rp0</v>
      </c>
      <c r="L3047" s="5" t="str">
        <f t="shared" si="3"/>
        <v>0</v>
      </c>
    </row>
    <row r="3048">
      <c r="A3048" s="6" t="s">
        <v>4355</v>
      </c>
      <c r="B3048" s="7" t="str">
        <f>HYPERLINK("https://shopee.co.id/Glowlabs-Bright-Mate-FREE-POUCH-Gentle-Bright-Serum-Gentle-Glow-Essence-Peptide-Moist--i.336869851.8785905779", "https://shopee.co.id/Glowlabs-Bright-Mate-FREE-POUCH-Gentle-Bright-Serum-Gentle-Glow-Essence-Peptide-Moist--i.336869851.8785905779")</f>
        <v>https://shopee.co.id/Glowlabs-Bright-Mate-FREE-POUCH-Gentle-Bright-Serum-Gentle-Glow-Essence-Peptide-Moist--i.336869851.8785905779</v>
      </c>
      <c r="C3048" s="6" t="s">
        <v>2240</v>
      </c>
      <c r="D3048" s="6" t="s">
        <v>408</v>
      </c>
      <c r="E3048" s="6" t="s">
        <v>12</v>
      </c>
      <c r="F3048" s="6" t="s">
        <v>13</v>
      </c>
      <c r="G3048" s="6" t="s">
        <v>409</v>
      </c>
      <c r="H3048" s="8" t="s">
        <v>3981</v>
      </c>
      <c r="I3048" s="9">
        <v>0.0</v>
      </c>
      <c r="J3048" s="5" t="str">
        <f t="shared" ref="J3048:K3048" si="3048">SUBSTITUTE(H3048, ",", "")</f>
        <v>0</v>
      </c>
      <c r="K3048" s="5" t="str">
        <f t="shared" si="3048"/>
        <v>Rp0</v>
      </c>
      <c r="L3048" s="5" t="str">
        <f t="shared" si="3"/>
        <v>0</v>
      </c>
    </row>
    <row r="3049">
      <c r="A3049" s="6" t="s">
        <v>4356</v>
      </c>
      <c r="B3049" s="7" t="str">
        <f>HYPERLINK("https://shopee.co.id/GLOWLABS-Gentle-Glow-Essence-i.68111.9824796329", "https://shopee.co.id/GLOWLABS-Gentle-Glow-Essence-i.68111.9824796329")</f>
        <v>https://shopee.co.id/GLOWLABS-Gentle-Glow-Essence-i.68111.9824796329</v>
      </c>
      <c r="C3049" s="6" t="s">
        <v>407</v>
      </c>
      <c r="D3049" s="6" t="s">
        <v>441</v>
      </c>
      <c r="E3049" s="6" t="s">
        <v>12</v>
      </c>
      <c r="F3049" s="6" t="s">
        <v>13</v>
      </c>
      <c r="G3049" s="6" t="s">
        <v>130</v>
      </c>
      <c r="H3049" s="8" t="s">
        <v>3981</v>
      </c>
      <c r="I3049" s="9">
        <v>0.0</v>
      </c>
      <c r="J3049" s="5" t="str">
        <f t="shared" ref="J3049:K3049" si="3049">SUBSTITUTE(H3049, ",", "")</f>
        <v>0</v>
      </c>
      <c r="K3049" s="5" t="str">
        <f t="shared" si="3049"/>
        <v>Rp0</v>
      </c>
      <c r="L3049" s="5" t="str">
        <f t="shared" si="3"/>
        <v>0</v>
      </c>
    </row>
    <row r="3050">
      <c r="A3050" s="6" t="s">
        <v>4357</v>
      </c>
      <c r="B3050" s="7" t="str">
        <f>HYPERLINK("https://shopee.co.id/Glowlabs-Gentle-Glow-Essence-100ml-i.136011044.3385056638", "https://shopee.co.id/Glowlabs-Gentle-Glow-Essence-100ml-i.136011044.3385056638")</f>
        <v>https://shopee.co.id/Glowlabs-Gentle-Glow-Essence-100ml-i.136011044.3385056638</v>
      </c>
      <c r="C3050" s="6" t="s">
        <v>407</v>
      </c>
      <c r="D3050" s="6" t="s">
        <v>632</v>
      </c>
      <c r="E3050" s="6" t="s">
        <v>12</v>
      </c>
      <c r="F3050" s="6" t="s">
        <v>13</v>
      </c>
      <c r="G3050" s="6" t="s">
        <v>21</v>
      </c>
      <c r="H3050" s="8" t="s">
        <v>3981</v>
      </c>
      <c r="I3050" s="9">
        <v>0.0</v>
      </c>
      <c r="J3050" s="5" t="str">
        <f t="shared" ref="J3050:K3050" si="3050">SUBSTITUTE(H3050, ",", "")</f>
        <v>0</v>
      </c>
      <c r="K3050" s="5" t="str">
        <f t="shared" si="3050"/>
        <v>Rp0</v>
      </c>
      <c r="L3050" s="5" t="str">
        <f t="shared" si="3"/>
        <v>0</v>
      </c>
    </row>
    <row r="3051">
      <c r="A3051" s="6" t="s">
        <v>4358</v>
      </c>
      <c r="B3051" s="7" t="str">
        <f>HYPERLINK("https://shopee.co.id/Glowlabs-Glo-C-Serum-20ml-i.136011044.5384965491", "https://shopee.co.id/Glowlabs-Glo-C-Serum-20ml-i.136011044.5384965491")</f>
        <v>https://shopee.co.id/Glowlabs-Glo-C-Serum-20ml-i.136011044.5384965491</v>
      </c>
      <c r="C3051" s="6" t="s">
        <v>407</v>
      </c>
      <c r="D3051" s="6" t="s">
        <v>632</v>
      </c>
      <c r="E3051" s="6" t="s">
        <v>12</v>
      </c>
      <c r="F3051" s="6" t="s">
        <v>13</v>
      </c>
      <c r="G3051" s="6" t="s">
        <v>21</v>
      </c>
      <c r="H3051" s="8" t="s">
        <v>3981</v>
      </c>
      <c r="I3051" s="9">
        <v>0.0</v>
      </c>
      <c r="J3051" s="5" t="str">
        <f t="shared" ref="J3051:K3051" si="3051">SUBSTITUTE(H3051, ",", "")</f>
        <v>0</v>
      </c>
      <c r="K3051" s="5" t="str">
        <f t="shared" si="3051"/>
        <v>Rp0</v>
      </c>
      <c r="L3051" s="5" t="str">
        <f t="shared" si="3"/>
        <v>0</v>
      </c>
    </row>
    <row r="3052">
      <c r="A3052" s="6" t="s">
        <v>4359</v>
      </c>
      <c r="B3052" s="7" t="str">
        <f>HYPERLINK("https://shopee.co.id/GLOWLABS-Glo-C-Serum-20ml-i.68111.8024803535", "https://shopee.co.id/GLOWLABS-Glo-C-Serum-20ml-i.68111.8024803535")</f>
        <v>https://shopee.co.id/GLOWLABS-Glo-C-Serum-20ml-i.68111.8024803535</v>
      </c>
      <c r="C3052" s="6" t="s">
        <v>407</v>
      </c>
      <c r="D3052" s="6" t="s">
        <v>441</v>
      </c>
      <c r="E3052" s="6" t="s">
        <v>12</v>
      </c>
      <c r="F3052" s="6" t="s">
        <v>13</v>
      </c>
      <c r="G3052" s="6" t="s">
        <v>130</v>
      </c>
      <c r="H3052" s="8" t="s">
        <v>3981</v>
      </c>
      <c r="I3052" s="9">
        <v>0.0</v>
      </c>
      <c r="J3052" s="5" t="str">
        <f t="shared" ref="J3052:K3052" si="3052">SUBSTITUTE(H3052, ",", "")</f>
        <v>0</v>
      </c>
      <c r="K3052" s="5" t="str">
        <f t="shared" si="3052"/>
        <v>Rp0</v>
      </c>
      <c r="L3052" s="5" t="str">
        <f t="shared" si="3"/>
        <v>0</v>
      </c>
    </row>
    <row r="3053">
      <c r="A3053" s="6" t="s">
        <v>4360</v>
      </c>
      <c r="B3053" s="7" t="str">
        <f>HYPERLINK("https://shopee.co.id/Glowlabs-Glowing-Healthy-Skin-Glo-C-Serum-Probiome-Acne-Serum--i.336869851.9453911844", "https://shopee.co.id/Glowlabs-Glowing-Healthy-Skin-Glo-C-Serum-Probiome-Acne-Serum--i.336869851.9453911844")</f>
        <v>https://shopee.co.id/Glowlabs-Glowing-Healthy-Skin-Glo-C-Serum-Probiome-Acne-Serum--i.336869851.9453911844</v>
      </c>
      <c r="C3053" s="6" t="s">
        <v>407</v>
      </c>
      <c r="D3053" s="6" t="s">
        <v>408</v>
      </c>
      <c r="E3053" s="6" t="s">
        <v>12</v>
      </c>
      <c r="F3053" s="6" t="s">
        <v>13</v>
      </c>
      <c r="G3053" s="6" t="s">
        <v>409</v>
      </c>
      <c r="H3053" s="8" t="s">
        <v>3981</v>
      </c>
      <c r="I3053" s="9">
        <v>0.0</v>
      </c>
      <c r="J3053" s="5" t="str">
        <f t="shared" ref="J3053:K3053" si="3053">SUBSTITUTE(H3053, ",", "")</f>
        <v>0</v>
      </c>
      <c r="K3053" s="5" t="str">
        <f t="shared" si="3053"/>
        <v>Rp0</v>
      </c>
      <c r="L3053" s="5" t="str">
        <f t="shared" si="3"/>
        <v>0</v>
      </c>
    </row>
    <row r="3054">
      <c r="A3054" s="6" t="s">
        <v>4361</v>
      </c>
      <c r="B3054" s="7" t="str">
        <f>HYPERLINK("https://shopee.co.id/GLOWLABS-Probiome-Acne-Serum-20ml-i.68111.10911363043", "https://shopee.co.id/GLOWLABS-Probiome-Acne-Serum-20ml-i.68111.10911363043")</f>
        <v>https://shopee.co.id/GLOWLABS-Probiome-Acne-Serum-20ml-i.68111.10911363043</v>
      </c>
      <c r="C3054" s="6" t="s">
        <v>407</v>
      </c>
      <c r="D3054" s="6" t="s">
        <v>441</v>
      </c>
      <c r="E3054" s="6" t="s">
        <v>12</v>
      </c>
      <c r="F3054" s="6" t="s">
        <v>13</v>
      </c>
      <c r="G3054" s="6" t="s">
        <v>130</v>
      </c>
      <c r="H3054" s="8" t="s">
        <v>3981</v>
      </c>
      <c r="I3054" s="9">
        <v>0.0</v>
      </c>
      <c r="J3054" s="5" t="str">
        <f t="shared" ref="J3054:K3054" si="3054">SUBSTITUTE(H3054, ",", "")</f>
        <v>0</v>
      </c>
      <c r="K3054" s="5" t="str">
        <f t="shared" si="3054"/>
        <v>Rp0</v>
      </c>
      <c r="L3054" s="5" t="str">
        <f t="shared" si="3"/>
        <v>0</v>
      </c>
    </row>
    <row r="3055">
      <c r="A3055" s="6" t="s">
        <v>4362</v>
      </c>
      <c r="B3055" s="7" t="str">
        <f>HYPERLINK("https://shopee.co.id/Glowlabs-Retinol-Cica-Night-Serum-20ml-i.136011044.6184963836", "https://shopee.co.id/Glowlabs-Retinol-Cica-Night-Serum-20ml-i.136011044.6184963836")</f>
        <v>https://shopee.co.id/Glowlabs-Retinol-Cica-Night-Serum-20ml-i.136011044.6184963836</v>
      </c>
      <c r="C3055" s="6" t="s">
        <v>407</v>
      </c>
      <c r="D3055" s="6" t="s">
        <v>632</v>
      </c>
      <c r="E3055" s="6" t="s">
        <v>12</v>
      </c>
      <c r="F3055" s="6" t="s">
        <v>13</v>
      </c>
      <c r="G3055" s="6" t="s">
        <v>21</v>
      </c>
      <c r="H3055" s="8" t="s">
        <v>3981</v>
      </c>
      <c r="I3055" s="9">
        <v>0.0</v>
      </c>
      <c r="J3055" s="5" t="str">
        <f t="shared" ref="J3055:K3055" si="3055">SUBSTITUTE(H3055, ",", "")</f>
        <v>0</v>
      </c>
      <c r="K3055" s="5" t="str">
        <f t="shared" si="3055"/>
        <v>Rp0</v>
      </c>
      <c r="L3055" s="5" t="str">
        <f t="shared" si="3"/>
        <v>0</v>
      </c>
    </row>
    <row r="3056">
      <c r="A3056" s="6" t="s">
        <v>4363</v>
      </c>
      <c r="B3056" s="7" t="str">
        <f>HYPERLINK("https://shopee.co.id/GLOWLABS-Retinol-Cica-Night-Serum-20ml-i.68111.9524805569", "https://shopee.co.id/GLOWLABS-Retinol-Cica-Night-Serum-20ml-i.68111.9524805569")</f>
        <v>https://shopee.co.id/GLOWLABS-Retinol-Cica-Night-Serum-20ml-i.68111.9524805569</v>
      </c>
      <c r="C3056" s="6" t="s">
        <v>407</v>
      </c>
      <c r="D3056" s="6" t="s">
        <v>441</v>
      </c>
      <c r="E3056" s="6" t="s">
        <v>12</v>
      </c>
      <c r="F3056" s="6" t="s">
        <v>13</v>
      </c>
      <c r="G3056" s="6" t="s">
        <v>130</v>
      </c>
      <c r="H3056" s="8" t="s">
        <v>3981</v>
      </c>
      <c r="I3056" s="9">
        <v>0.0</v>
      </c>
      <c r="J3056" s="5" t="str">
        <f t="shared" ref="J3056:K3056" si="3056">SUBSTITUTE(H3056, ",", "")</f>
        <v>0</v>
      </c>
      <c r="K3056" s="5" t="str">
        <f t="shared" si="3056"/>
        <v>Rp0</v>
      </c>
      <c r="L3056" s="5" t="str">
        <f t="shared" si="3"/>
        <v>0</v>
      </c>
    </row>
    <row r="3057">
      <c r="A3057" s="6" t="s">
        <v>4364</v>
      </c>
      <c r="B3057" s="7" t="str">
        <f>HYPERLINK("https://shopee.co.id/Glowmy-3-Layering-Serum-Package-i.324394758.8145751763", "https://shopee.co.id/Glowmy-3-Layering-Serum-Package-i.324394758.8145751763")</f>
        <v>https://shopee.co.id/Glowmy-3-Layering-Serum-Package-i.324394758.8145751763</v>
      </c>
      <c r="C3057" s="6" t="s">
        <v>1595</v>
      </c>
      <c r="D3057" s="6" t="s">
        <v>1596</v>
      </c>
      <c r="E3057" s="6" t="s">
        <v>12</v>
      </c>
      <c r="F3057" s="6" t="s">
        <v>13</v>
      </c>
      <c r="G3057" s="6" t="s">
        <v>21</v>
      </c>
      <c r="H3057" s="8" t="s">
        <v>3981</v>
      </c>
      <c r="I3057" s="9">
        <v>0.0</v>
      </c>
      <c r="J3057" s="5" t="str">
        <f t="shared" ref="J3057:K3057" si="3057">SUBSTITUTE(H3057, ",", "")</f>
        <v>0</v>
      </c>
      <c r="K3057" s="5" t="str">
        <f t="shared" si="3057"/>
        <v>Rp0</v>
      </c>
      <c r="L3057" s="5" t="str">
        <f t="shared" si="3"/>
        <v>0</v>
      </c>
    </row>
    <row r="3058">
      <c r="A3058" s="6" t="s">
        <v>4365</v>
      </c>
      <c r="B3058" s="7" t="str">
        <f>HYPERLINK("https://shopee.co.id/Glowmy-Advanced-Brightening-Glow-Activating-Serum-20ml--i.324394758.4364125022", "https://shopee.co.id/Glowmy-Advanced-Brightening-Glow-Activating-Serum-20ml--i.324394758.4364125022")</f>
        <v>https://shopee.co.id/Glowmy-Advanced-Brightening-Glow-Activating-Serum-20ml--i.324394758.4364125022</v>
      </c>
      <c r="C3058" s="6" t="s">
        <v>1595</v>
      </c>
      <c r="D3058" s="6" t="s">
        <v>1596</v>
      </c>
      <c r="E3058" s="6" t="s">
        <v>12</v>
      </c>
      <c r="F3058" s="6" t="s">
        <v>13</v>
      </c>
      <c r="G3058" s="6" t="s">
        <v>21</v>
      </c>
      <c r="H3058" s="8" t="s">
        <v>3981</v>
      </c>
      <c r="I3058" s="9">
        <v>0.0</v>
      </c>
      <c r="J3058" s="5" t="str">
        <f t="shared" ref="J3058:K3058" si="3058">SUBSTITUTE(H3058, ",", "")</f>
        <v>0</v>
      </c>
      <c r="K3058" s="5" t="str">
        <f t="shared" si="3058"/>
        <v>Rp0</v>
      </c>
      <c r="L3058" s="5" t="str">
        <f t="shared" si="3"/>
        <v>0</v>
      </c>
    </row>
    <row r="3059">
      <c r="A3059" s="6" t="s">
        <v>4366</v>
      </c>
      <c r="B3059" s="7" t="str">
        <f>HYPERLINK("https://shopee.co.id/Glowmy-Advanced-Brightening-Glow-Activating-Serum-3-Pack-i.324394758.7677989537", "https://shopee.co.id/Glowmy-Advanced-Brightening-Glow-Activating-Serum-3-Pack-i.324394758.7677989537")</f>
        <v>https://shopee.co.id/Glowmy-Advanced-Brightening-Glow-Activating-Serum-3-Pack-i.324394758.7677989537</v>
      </c>
      <c r="C3059" s="6" t="s">
        <v>1595</v>
      </c>
      <c r="D3059" s="6" t="s">
        <v>1596</v>
      </c>
      <c r="E3059" s="6" t="s">
        <v>12</v>
      </c>
      <c r="F3059" s="6" t="s">
        <v>13</v>
      </c>
      <c r="G3059" s="6" t="s">
        <v>21</v>
      </c>
      <c r="H3059" s="8" t="s">
        <v>3981</v>
      </c>
      <c r="I3059" s="9">
        <v>0.0</v>
      </c>
      <c r="J3059" s="5" t="str">
        <f t="shared" ref="J3059:K3059" si="3059">SUBSTITUTE(H3059, ",", "")</f>
        <v>0</v>
      </c>
      <c r="K3059" s="5" t="str">
        <f t="shared" si="3059"/>
        <v>Rp0</v>
      </c>
      <c r="L3059" s="5" t="str">
        <f t="shared" si="3"/>
        <v>0</v>
      </c>
    </row>
    <row r="3060">
      <c r="A3060" s="6" t="s">
        <v>4367</v>
      </c>
      <c r="B3060" s="7" t="str">
        <f>HYPERLINK("https://shopee.co.id/Glowmy-Serum-Day-Cream-i.324394758.7677993859", "https://shopee.co.id/Glowmy-Serum-Day-Cream-i.324394758.7677993859")</f>
        <v>https://shopee.co.id/Glowmy-Serum-Day-Cream-i.324394758.7677993859</v>
      </c>
      <c r="C3060" s="6" t="s">
        <v>1595</v>
      </c>
      <c r="D3060" s="6" t="s">
        <v>1596</v>
      </c>
      <c r="E3060" s="6" t="s">
        <v>12</v>
      </c>
      <c r="F3060" s="6" t="s">
        <v>13</v>
      </c>
      <c r="G3060" s="6" t="s">
        <v>21</v>
      </c>
      <c r="H3060" s="8" t="s">
        <v>3981</v>
      </c>
      <c r="I3060" s="9">
        <v>0.0</v>
      </c>
      <c r="J3060" s="5" t="str">
        <f t="shared" ref="J3060:K3060" si="3060">SUBSTITUTE(H3060, ",", "")</f>
        <v>0</v>
      </c>
      <c r="K3060" s="5" t="str">
        <f t="shared" si="3060"/>
        <v>Rp0</v>
      </c>
      <c r="L3060" s="5" t="str">
        <f t="shared" si="3"/>
        <v>0</v>
      </c>
    </row>
    <row r="3061">
      <c r="A3061" s="6" t="s">
        <v>4368</v>
      </c>
      <c r="B3061" s="7" t="str">
        <f>HYPERLINK("https://shopee.co.id/Glowmy-Serum-Night-Cream-i.324394758.6477996023", "https://shopee.co.id/Glowmy-Serum-Night-Cream-i.324394758.6477996023")</f>
        <v>https://shopee.co.id/Glowmy-Serum-Night-Cream-i.324394758.6477996023</v>
      </c>
      <c r="C3061" s="6" t="s">
        <v>1595</v>
      </c>
      <c r="D3061" s="6" t="s">
        <v>1596</v>
      </c>
      <c r="E3061" s="6" t="s">
        <v>12</v>
      </c>
      <c r="F3061" s="6" t="s">
        <v>13</v>
      </c>
      <c r="G3061" s="6" t="s">
        <v>21</v>
      </c>
      <c r="H3061" s="8" t="s">
        <v>3981</v>
      </c>
      <c r="I3061" s="9">
        <v>0.0</v>
      </c>
      <c r="J3061" s="5" t="str">
        <f t="shared" ref="J3061:K3061" si="3061">SUBSTITUTE(H3061, ",", "")</f>
        <v>0</v>
      </c>
      <c r="K3061" s="5" t="str">
        <f t="shared" si="3061"/>
        <v>Rp0</v>
      </c>
      <c r="L3061" s="5" t="str">
        <f t="shared" si="3"/>
        <v>0</v>
      </c>
    </row>
    <row r="3062">
      <c r="A3062" s="6" t="s">
        <v>4369</v>
      </c>
      <c r="B3062" s="7" t="str">
        <f>HYPERLINK("https://shopee.co.id/Hada-Labo-Gokujyun-Alpha-essence-30-gram-i.270965687.4041197880", "https://shopee.co.id/Hada-Labo-Gokujyun-Alpha-essence-30-gram-i.270965687.4041197880")</f>
        <v>https://shopee.co.id/Hada-Labo-Gokujyun-Alpha-essence-30-gram-i.270965687.4041197880</v>
      </c>
      <c r="C3062" s="6" t="s">
        <v>2090</v>
      </c>
      <c r="D3062" s="6" t="s">
        <v>379</v>
      </c>
      <c r="E3062" s="6" t="s">
        <v>12</v>
      </c>
      <c r="F3062" s="6" t="s">
        <v>13</v>
      </c>
      <c r="G3062" s="6" t="s">
        <v>380</v>
      </c>
      <c r="H3062" s="8" t="s">
        <v>3981</v>
      </c>
      <c r="I3062" s="9">
        <v>0.0</v>
      </c>
      <c r="J3062" s="5" t="str">
        <f t="shared" ref="J3062:K3062" si="3062">SUBSTITUTE(H3062, ",", "")</f>
        <v>0</v>
      </c>
      <c r="K3062" s="5" t="str">
        <f t="shared" si="3062"/>
        <v>Rp0</v>
      </c>
      <c r="L3062" s="5" t="str">
        <f t="shared" si="3"/>
        <v>0</v>
      </c>
    </row>
    <row r="3063">
      <c r="A3063" s="6" t="s">
        <v>4370</v>
      </c>
      <c r="B3063" s="7" t="str">
        <f>HYPERLINK("https://shopee.co.id/HADA-LABO-Shirojyun-Ultimate-Whitening-Essence-30gr-i.68111.2222367959", "https://shopee.co.id/HADA-LABO-Shirojyun-Ultimate-Whitening-Essence-30gr-i.68111.2222367959")</f>
        <v>https://shopee.co.id/HADA-LABO-Shirojyun-Ultimate-Whitening-Essence-30gr-i.68111.2222367959</v>
      </c>
      <c r="C3063" s="6" t="s">
        <v>2090</v>
      </c>
      <c r="D3063" s="6" t="s">
        <v>441</v>
      </c>
      <c r="E3063" s="6" t="s">
        <v>12</v>
      </c>
      <c r="F3063" s="6" t="s">
        <v>13</v>
      </c>
      <c r="G3063" s="6" t="s">
        <v>130</v>
      </c>
      <c r="H3063" s="8" t="s">
        <v>3981</v>
      </c>
      <c r="I3063" s="9">
        <v>0.0</v>
      </c>
      <c r="J3063" s="5" t="str">
        <f t="shared" ref="J3063:K3063" si="3063">SUBSTITUTE(H3063, ",", "")</f>
        <v>0</v>
      </c>
      <c r="K3063" s="5" t="str">
        <f t="shared" si="3063"/>
        <v>Rp0</v>
      </c>
      <c r="L3063" s="5" t="str">
        <f t="shared" si="3"/>
        <v>0</v>
      </c>
    </row>
    <row r="3064">
      <c r="A3064" s="6" t="s">
        <v>4371</v>
      </c>
      <c r="B3064" s="7" t="str">
        <f>HYPERLINK("https://shopee.co.id/Haecho-Lightening-Serum-1-Box-i.180745295.5845893519", "https://shopee.co.id/Haecho-Lightening-Serum-1-Box-i.180745295.5845893519")</f>
        <v>https://shopee.co.id/Haecho-Lightening-Serum-1-Box-i.180745295.5845893519</v>
      </c>
      <c r="C3064" s="6" t="s">
        <v>4372</v>
      </c>
      <c r="D3064" s="6" t="s">
        <v>4373</v>
      </c>
      <c r="E3064" s="6" t="s">
        <v>12</v>
      </c>
      <c r="F3064" s="6" t="s">
        <v>13</v>
      </c>
      <c r="G3064" s="6" t="s">
        <v>36</v>
      </c>
      <c r="H3064" s="8" t="s">
        <v>3981</v>
      </c>
      <c r="I3064" s="9">
        <v>0.0</v>
      </c>
      <c r="J3064" s="5" t="str">
        <f t="shared" ref="J3064:K3064" si="3064">SUBSTITUTE(H3064, ",", "")</f>
        <v>0</v>
      </c>
      <c r="K3064" s="5" t="str">
        <f t="shared" si="3064"/>
        <v>Rp0</v>
      </c>
      <c r="L3064" s="5" t="str">
        <f t="shared" si="3"/>
        <v>0</v>
      </c>
    </row>
    <row r="3065">
      <c r="A3065" s="6" t="s">
        <v>4374</v>
      </c>
      <c r="B3065" s="7" t="str">
        <f>HYPERLINK("https://shopee.co.id/Haecho-Purifying-Serum-Wajah-1pcs--i.180745295.4149207114", "https://shopee.co.id/Haecho-Purifying-Serum-Wajah-1pcs--i.180745295.4149207114")</f>
        <v>https://shopee.co.id/Haecho-Purifying-Serum-Wajah-1pcs--i.180745295.4149207114</v>
      </c>
      <c r="C3065" s="6" t="s">
        <v>4372</v>
      </c>
      <c r="D3065" s="6" t="s">
        <v>4373</v>
      </c>
      <c r="E3065" s="6" t="s">
        <v>12</v>
      </c>
      <c r="F3065" s="6" t="s">
        <v>13</v>
      </c>
      <c r="G3065" s="6" t="s">
        <v>36</v>
      </c>
      <c r="H3065" s="8" t="s">
        <v>3981</v>
      </c>
      <c r="I3065" s="9">
        <v>0.0</v>
      </c>
      <c r="J3065" s="5" t="str">
        <f t="shared" ref="J3065:K3065" si="3065">SUBSTITUTE(H3065, ",", "")</f>
        <v>0</v>
      </c>
      <c r="K3065" s="5" t="str">
        <f t="shared" si="3065"/>
        <v>Rp0</v>
      </c>
      <c r="L3065" s="5" t="str">
        <f t="shared" si="3"/>
        <v>0</v>
      </c>
    </row>
    <row r="3066">
      <c r="A3066" s="6" t="s">
        <v>4375</v>
      </c>
      <c r="B3066" s="7" t="str">
        <f>HYPERLINK("https://shopee.co.id/Hanada-Brighten-Up-Body-Serum-100ml-Ever-Young-Serum-i.166666344.3776382058", "https://shopee.co.id/Hanada-Brighten-Up-Body-Serum-100ml-Ever-Young-Serum-i.166666344.3776382058")</f>
        <v>https://shopee.co.id/Hanada-Brighten-Up-Body-Serum-100ml-Ever-Young-Serum-i.166666344.3776382058</v>
      </c>
      <c r="C3066" s="6" t="s">
        <v>864</v>
      </c>
      <c r="D3066" s="6" t="s">
        <v>865</v>
      </c>
      <c r="E3066" s="6" t="s">
        <v>12</v>
      </c>
      <c r="F3066" s="6" t="s">
        <v>13</v>
      </c>
      <c r="G3066" s="6" t="s">
        <v>21</v>
      </c>
      <c r="H3066" s="8" t="s">
        <v>3981</v>
      </c>
      <c r="I3066" s="9">
        <v>0.0</v>
      </c>
      <c r="J3066" s="5" t="str">
        <f t="shared" ref="J3066:K3066" si="3066">SUBSTITUTE(H3066, ",", "")</f>
        <v>0</v>
      </c>
      <c r="K3066" s="5" t="str">
        <f t="shared" si="3066"/>
        <v>Rp0</v>
      </c>
      <c r="L3066" s="5" t="str">
        <f t="shared" si="3"/>
        <v>0</v>
      </c>
    </row>
    <row r="3067">
      <c r="A3067" s="6" t="s">
        <v>4376</v>
      </c>
      <c r="B3067" s="7" t="str">
        <f>HYPERLINK("https://shopee.co.id/Hanada-Brighten-Up-Body-Serum-20-ml-2pcs--i.166666344.6775985555", "https://shopee.co.id/Hanada-Brighten-Up-Body-Serum-20-ml-2pcs--i.166666344.6775985555")</f>
        <v>https://shopee.co.id/Hanada-Brighten-Up-Body-Serum-20-ml-2pcs--i.166666344.6775985555</v>
      </c>
      <c r="C3067" s="6" t="s">
        <v>864</v>
      </c>
      <c r="D3067" s="6" t="s">
        <v>865</v>
      </c>
      <c r="E3067" s="6" t="s">
        <v>12</v>
      </c>
      <c r="F3067" s="6" t="s">
        <v>13</v>
      </c>
      <c r="G3067" s="6" t="s">
        <v>21</v>
      </c>
      <c r="H3067" s="8" t="s">
        <v>3981</v>
      </c>
      <c r="I3067" s="9">
        <v>0.0</v>
      </c>
      <c r="J3067" s="5" t="str">
        <f t="shared" ref="J3067:K3067" si="3067">SUBSTITUTE(H3067, ",", "")</f>
        <v>0</v>
      </c>
      <c r="K3067" s="5" t="str">
        <f t="shared" si="3067"/>
        <v>Rp0</v>
      </c>
      <c r="L3067" s="5" t="str">
        <f t="shared" si="3"/>
        <v>0</v>
      </c>
    </row>
    <row r="3068">
      <c r="A3068" s="6" t="s">
        <v>4377</v>
      </c>
      <c r="B3068" s="7" t="str">
        <f>HYPERLINK("https://shopee.co.id/Hanada-Ever-Young-Serum-Hanada-Glow-Serum-i.166666344.7731243499", "https://shopee.co.id/Hanada-Ever-Young-Serum-Hanada-Glow-Serum-i.166666344.7731243499")</f>
        <v>https://shopee.co.id/Hanada-Ever-Young-Serum-Hanada-Glow-Serum-i.166666344.7731243499</v>
      </c>
      <c r="C3068" s="6" t="s">
        <v>864</v>
      </c>
      <c r="D3068" s="6" t="s">
        <v>865</v>
      </c>
      <c r="E3068" s="6" t="s">
        <v>12</v>
      </c>
      <c r="F3068" s="6" t="s">
        <v>13</v>
      </c>
      <c r="G3068" s="6" t="s">
        <v>21</v>
      </c>
      <c r="H3068" s="8" t="s">
        <v>3981</v>
      </c>
      <c r="I3068" s="9">
        <v>0.0</v>
      </c>
      <c r="J3068" s="5" t="str">
        <f t="shared" ref="J3068:K3068" si="3068">SUBSTITUTE(H3068, ",", "")</f>
        <v>0</v>
      </c>
      <c r="K3068" s="5" t="str">
        <f t="shared" si="3068"/>
        <v>Rp0</v>
      </c>
      <c r="L3068" s="5" t="str">
        <f t="shared" si="3"/>
        <v>0</v>
      </c>
    </row>
    <row r="3069">
      <c r="A3069" s="6" t="s">
        <v>4378</v>
      </c>
      <c r="B3069" s="7" t="str">
        <f>HYPERLINK("https://shopee.co.id/HANADA-Ever-Young-Serum-CLEARANCE-SALE-EXP-JULY-2021-i.166666344.2584767991", "https://shopee.co.id/HANADA-Ever-Young-Serum-CLEARANCE-SALE-EXP-JULY-2021-i.166666344.2584767991")</f>
        <v>https://shopee.co.id/HANADA-Ever-Young-Serum-CLEARANCE-SALE-EXP-JULY-2021-i.166666344.2584767991</v>
      </c>
      <c r="C3069" s="6" t="s">
        <v>864</v>
      </c>
      <c r="D3069" s="6" t="s">
        <v>865</v>
      </c>
      <c r="E3069" s="6" t="s">
        <v>12</v>
      </c>
      <c r="F3069" s="6" t="s">
        <v>13</v>
      </c>
      <c r="G3069" s="6" t="s">
        <v>21</v>
      </c>
      <c r="H3069" s="8" t="s">
        <v>3981</v>
      </c>
      <c r="I3069" s="9">
        <v>0.0</v>
      </c>
      <c r="J3069" s="5" t="str">
        <f t="shared" ref="J3069:K3069" si="3069">SUBSTITUTE(H3069, ",", "")</f>
        <v>0</v>
      </c>
      <c r="K3069" s="5" t="str">
        <f t="shared" si="3069"/>
        <v>Rp0</v>
      </c>
      <c r="L3069" s="5" t="str">
        <f t="shared" si="3"/>
        <v>0</v>
      </c>
    </row>
    <row r="3070">
      <c r="A3070" s="6" t="s">
        <v>4379</v>
      </c>
      <c r="B3070" s="7" t="str">
        <f>HYPERLINK("https://shopee.co.id/HANADA-Glow-Serum-CLEARANCE-SALE-EXP-JULY-2021-i.166666344.2584778101", "https://shopee.co.id/HANADA-Glow-Serum-CLEARANCE-SALE-EXP-JULY-2021-i.166666344.2584778101")</f>
        <v>https://shopee.co.id/HANADA-Glow-Serum-CLEARANCE-SALE-EXP-JULY-2021-i.166666344.2584778101</v>
      </c>
      <c r="C3070" s="6" t="s">
        <v>864</v>
      </c>
      <c r="D3070" s="6" t="s">
        <v>865</v>
      </c>
      <c r="E3070" s="6" t="s">
        <v>12</v>
      </c>
      <c r="F3070" s="6" t="s">
        <v>13</v>
      </c>
      <c r="G3070" s="6" t="s">
        <v>21</v>
      </c>
      <c r="H3070" s="8" t="s">
        <v>3981</v>
      </c>
      <c r="I3070" s="9">
        <v>0.0</v>
      </c>
      <c r="J3070" s="5" t="str">
        <f t="shared" ref="J3070:K3070" si="3070">SUBSTITUTE(H3070, ",", "")</f>
        <v>0</v>
      </c>
      <c r="K3070" s="5" t="str">
        <f t="shared" si="3070"/>
        <v>Rp0</v>
      </c>
      <c r="L3070" s="5" t="str">
        <f t="shared" si="3"/>
        <v>0</v>
      </c>
    </row>
    <row r="3071">
      <c r="A3071" s="6" t="s">
        <v>4380</v>
      </c>
      <c r="B3071" s="7" t="str">
        <f>HYPERLINK("https://shopee.co.id/HANASUI-Acne-Treatment-Power-Essence-i.187117294.9455903618", "https://shopee.co.id/HANASUI-Acne-Treatment-Power-Essence-i.187117294.9455903618")</f>
        <v>https://shopee.co.id/HANASUI-Acne-Treatment-Power-Essence-i.187117294.9455903618</v>
      </c>
      <c r="C3071" s="6" t="s">
        <v>784</v>
      </c>
      <c r="D3071" s="6" t="s">
        <v>2366</v>
      </c>
      <c r="E3071" s="6" t="s">
        <v>12</v>
      </c>
      <c r="F3071" s="6" t="s">
        <v>13</v>
      </c>
      <c r="G3071" s="6" t="s">
        <v>469</v>
      </c>
      <c r="H3071" s="8" t="s">
        <v>3981</v>
      </c>
      <c r="I3071" s="9">
        <v>0.0</v>
      </c>
      <c r="J3071" s="5" t="str">
        <f t="shared" ref="J3071:K3071" si="3071">SUBSTITUTE(H3071, ",", "")</f>
        <v>0</v>
      </c>
      <c r="K3071" s="5" t="str">
        <f t="shared" si="3071"/>
        <v>Rp0</v>
      </c>
      <c r="L3071" s="5" t="str">
        <f t="shared" si="3"/>
        <v>0</v>
      </c>
    </row>
    <row r="3072">
      <c r="A3072" s="6" t="s">
        <v>4381</v>
      </c>
      <c r="B3072" s="7" t="str">
        <f>HYPERLINK("https://shopee.co.id/Hanasui-Bright-Up-Serum-i.187117294.5738320609", "https://shopee.co.id/Hanasui-Bright-Up-Serum-i.187117294.5738320609")</f>
        <v>https://shopee.co.id/Hanasui-Bright-Up-Serum-i.187117294.5738320609</v>
      </c>
      <c r="C3072" s="6" t="s">
        <v>784</v>
      </c>
      <c r="D3072" s="6" t="s">
        <v>2366</v>
      </c>
      <c r="E3072" s="6" t="s">
        <v>12</v>
      </c>
      <c r="F3072" s="6" t="s">
        <v>13</v>
      </c>
      <c r="G3072" s="6" t="s">
        <v>469</v>
      </c>
      <c r="H3072" s="8" t="s">
        <v>3981</v>
      </c>
      <c r="I3072" s="9">
        <v>0.0</v>
      </c>
      <c r="J3072" s="5" t="str">
        <f t="shared" ref="J3072:K3072" si="3072">SUBSTITUTE(H3072, ",", "")</f>
        <v>0</v>
      </c>
      <c r="K3072" s="5" t="str">
        <f t="shared" si="3072"/>
        <v>Rp0</v>
      </c>
      <c r="L3072" s="5" t="str">
        <f t="shared" si="3"/>
        <v>0</v>
      </c>
    </row>
    <row r="3073">
      <c r="A3073" s="6" t="s">
        <v>4382</v>
      </c>
      <c r="B3073" s="7" t="str">
        <f>HYPERLINK("https://shopee.co.id/Hanasui-Bright-Up-Serum-25Ml-i.175375997.7218134315", "https://shopee.co.id/Hanasui-Bright-Up-Serum-25Ml-i.175375997.7218134315")</f>
        <v>https://shopee.co.id/Hanasui-Bright-Up-Serum-25Ml-i.175375997.7218134315</v>
      </c>
      <c r="C3073" s="6" t="s">
        <v>784</v>
      </c>
      <c r="D3073" s="6" t="s">
        <v>2123</v>
      </c>
      <c r="E3073" s="6" t="s">
        <v>12</v>
      </c>
      <c r="F3073" s="6" t="s">
        <v>13</v>
      </c>
      <c r="G3073" s="6" t="s">
        <v>36</v>
      </c>
      <c r="H3073" s="8" t="s">
        <v>3981</v>
      </c>
      <c r="I3073" s="9">
        <v>0.0</v>
      </c>
      <c r="J3073" s="5" t="str">
        <f t="shared" ref="J3073:K3073" si="3073">SUBSTITUTE(H3073, ",", "")</f>
        <v>0</v>
      </c>
      <c r="K3073" s="5" t="str">
        <f t="shared" si="3073"/>
        <v>Rp0</v>
      </c>
      <c r="L3073" s="5" t="str">
        <f t="shared" si="3"/>
        <v>0</v>
      </c>
    </row>
    <row r="3074">
      <c r="A3074" s="6" t="s">
        <v>4383</v>
      </c>
      <c r="B3074" s="7" t="str">
        <f>HYPERLINK("https://shopee.co.id/HANASUI-Power-Essence-Glow-10-100ml-i.187117294.11804571162", "https://shopee.co.id/HANASUI-Power-Essence-Glow-10-100ml-i.187117294.11804571162")</f>
        <v>https://shopee.co.id/HANASUI-Power-Essence-Glow-10-100ml-i.187117294.11804571162</v>
      </c>
      <c r="C3074" s="6" t="s">
        <v>784</v>
      </c>
      <c r="D3074" s="6" t="s">
        <v>2366</v>
      </c>
      <c r="E3074" s="6" t="s">
        <v>12</v>
      </c>
      <c r="F3074" s="6" t="s">
        <v>13</v>
      </c>
      <c r="G3074" s="6" t="s">
        <v>469</v>
      </c>
      <c r="H3074" s="8" t="s">
        <v>3981</v>
      </c>
      <c r="I3074" s="9">
        <v>0.0</v>
      </c>
      <c r="J3074" s="5" t="str">
        <f t="shared" ref="J3074:K3074" si="3074">SUBSTITUTE(H3074, ",", "")</f>
        <v>0</v>
      </c>
      <c r="K3074" s="5" t="str">
        <f t="shared" si="3074"/>
        <v>Rp0</v>
      </c>
      <c r="L3074" s="5" t="str">
        <f t="shared" si="3"/>
        <v>0</v>
      </c>
    </row>
    <row r="3075">
      <c r="A3075" s="6" t="s">
        <v>4384</v>
      </c>
      <c r="B3075" s="7" t="str">
        <f>HYPERLINK("https://shopee.co.id/Hanasui-Propolis-Serum-25Ml-i.175375997.7218129318", "https://shopee.co.id/Hanasui-Propolis-Serum-25Ml-i.175375997.7218129318")</f>
        <v>https://shopee.co.id/Hanasui-Propolis-Serum-25Ml-i.175375997.7218129318</v>
      </c>
      <c r="C3075" s="6" t="s">
        <v>784</v>
      </c>
      <c r="D3075" s="6" t="s">
        <v>2123</v>
      </c>
      <c r="E3075" s="6" t="s">
        <v>12</v>
      </c>
      <c r="F3075" s="6" t="s">
        <v>13</v>
      </c>
      <c r="G3075" s="6" t="s">
        <v>36</v>
      </c>
      <c r="H3075" s="8" t="s">
        <v>3981</v>
      </c>
      <c r="I3075" s="9">
        <v>0.0</v>
      </c>
      <c r="J3075" s="5" t="str">
        <f t="shared" ref="J3075:K3075" si="3075">SUBSTITUTE(H3075, ",", "")</f>
        <v>0</v>
      </c>
      <c r="K3075" s="5" t="str">
        <f t="shared" si="3075"/>
        <v>Rp0</v>
      </c>
      <c r="L3075" s="5" t="str">
        <f t="shared" si="3"/>
        <v>0</v>
      </c>
    </row>
    <row r="3076">
      <c r="A3076" s="6" t="s">
        <v>4385</v>
      </c>
      <c r="B3076" s="7" t="str">
        <f>HYPERLINK("https://shopee.co.id/Hanasui-Rich-Nutrition-Serum-25Ml-i.175375997.5018133718", "https://shopee.co.id/Hanasui-Rich-Nutrition-Serum-25Ml-i.175375997.5018133718")</f>
        <v>https://shopee.co.id/Hanasui-Rich-Nutrition-Serum-25Ml-i.175375997.5018133718</v>
      </c>
      <c r="C3076" s="6" t="s">
        <v>784</v>
      </c>
      <c r="D3076" s="6" t="s">
        <v>2123</v>
      </c>
      <c r="E3076" s="6" t="s">
        <v>12</v>
      </c>
      <c r="F3076" s="6" t="s">
        <v>13</v>
      </c>
      <c r="G3076" s="6" t="s">
        <v>36</v>
      </c>
      <c r="H3076" s="8" t="s">
        <v>3981</v>
      </c>
      <c r="I3076" s="9">
        <v>0.0</v>
      </c>
      <c r="J3076" s="5" t="str">
        <f t="shared" ref="J3076:K3076" si="3076">SUBSTITUTE(H3076, ",", "")</f>
        <v>0</v>
      </c>
      <c r="K3076" s="5" t="str">
        <f t="shared" si="3076"/>
        <v>Rp0</v>
      </c>
      <c r="L3076" s="5" t="str">
        <f t="shared" si="3"/>
        <v>0</v>
      </c>
    </row>
    <row r="3077">
      <c r="A3077" s="6" t="s">
        <v>4386</v>
      </c>
      <c r="B3077" s="7" t="str">
        <f>HYPERLINK("https://shopee.co.id/Hanasui-Rich-Nutrition-Serum-25Ml-Serum-Wajah-Face-Serum-Mengencangkan-Kulit-i.114789399.6041898726", "https://shopee.co.id/Hanasui-Rich-Nutrition-Serum-25Ml-Serum-Wajah-Face-Serum-Mengencangkan-Kulit-i.114789399.6041898726")</f>
        <v>https://shopee.co.id/Hanasui-Rich-Nutrition-Serum-25Ml-Serum-Wajah-Face-Serum-Mengencangkan-Kulit-i.114789399.6041898726</v>
      </c>
      <c r="C3077" s="6" t="s">
        <v>784</v>
      </c>
      <c r="D3077" s="6" t="s">
        <v>2531</v>
      </c>
      <c r="E3077" s="6" t="s">
        <v>12</v>
      </c>
      <c r="F3077" s="6" t="s">
        <v>13</v>
      </c>
      <c r="G3077" s="6" t="s">
        <v>36</v>
      </c>
      <c r="H3077" s="8" t="s">
        <v>3981</v>
      </c>
      <c r="I3077" s="9">
        <v>0.0</v>
      </c>
      <c r="J3077" s="5" t="str">
        <f t="shared" ref="J3077:K3077" si="3077">SUBSTITUTE(H3077, ",", "")</f>
        <v>0</v>
      </c>
      <c r="K3077" s="5" t="str">
        <f t="shared" si="3077"/>
        <v>Rp0</v>
      </c>
      <c r="L3077" s="5" t="str">
        <f t="shared" si="3"/>
        <v>0</v>
      </c>
    </row>
    <row r="3078">
      <c r="A3078" s="6" t="s">
        <v>4387</v>
      </c>
      <c r="B3078" s="7" t="str">
        <f>HYPERLINK("https://shopee.co.id/Hanasui-Rich-Nutrition-Serum-25Ml-Serum-Wajah-Face-Serum-Nutrisi-Wajah-i.114789399.6142373913", "https://shopee.co.id/Hanasui-Rich-Nutrition-Serum-25Ml-Serum-Wajah-Face-Serum-Nutrisi-Wajah-i.114789399.6142373913")</f>
        <v>https://shopee.co.id/Hanasui-Rich-Nutrition-Serum-25Ml-Serum-Wajah-Face-Serum-Nutrisi-Wajah-i.114789399.6142373913</v>
      </c>
      <c r="C3078" s="6" t="s">
        <v>784</v>
      </c>
      <c r="D3078" s="6" t="s">
        <v>2531</v>
      </c>
      <c r="E3078" s="6" t="s">
        <v>12</v>
      </c>
      <c r="F3078" s="6" t="s">
        <v>13</v>
      </c>
      <c r="G3078" s="6" t="s">
        <v>36</v>
      </c>
      <c r="H3078" s="8" t="s">
        <v>3981</v>
      </c>
      <c r="I3078" s="9">
        <v>0.0</v>
      </c>
      <c r="J3078" s="5" t="str">
        <f t="shared" ref="J3078:K3078" si="3078">SUBSTITUTE(H3078, ",", "")</f>
        <v>0</v>
      </c>
      <c r="K3078" s="5" t="str">
        <f t="shared" si="3078"/>
        <v>Rp0</v>
      </c>
      <c r="L3078" s="5" t="str">
        <f t="shared" si="3"/>
        <v>0</v>
      </c>
    </row>
    <row r="3079">
      <c r="A3079" s="6" t="s">
        <v>4388</v>
      </c>
      <c r="B3079" s="7" t="str">
        <f>HYPERLINK("https://shopee.co.id/HANASUI-Serum-i.187117294.6443142006", "https://shopee.co.id/HANASUI-Serum-i.187117294.6443142006")</f>
        <v>https://shopee.co.id/HANASUI-Serum-i.187117294.6443142006</v>
      </c>
      <c r="C3079" s="6" t="s">
        <v>784</v>
      </c>
      <c r="D3079" s="6" t="s">
        <v>2366</v>
      </c>
      <c r="E3079" s="6" t="s">
        <v>12</v>
      </c>
      <c r="F3079" s="6" t="s">
        <v>13</v>
      </c>
      <c r="G3079" s="6" t="s">
        <v>469</v>
      </c>
      <c r="H3079" s="8" t="s">
        <v>3981</v>
      </c>
      <c r="I3079" s="9">
        <v>0.0</v>
      </c>
      <c r="J3079" s="5" t="str">
        <f t="shared" ref="J3079:K3079" si="3079">SUBSTITUTE(H3079, ",", "")</f>
        <v>0</v>
      </c>
      <c r="K3079" s="5" t="str">
        <f t="shared" si="3079"/>
        <v>Rp0</v>
      </c>
      <c r="L3079" s="5" t="str">
        <f t="shared" si="3"/>
        <v>0</v>
      </c>
    </row>
    <row r="3080">
      <c r="A3080" s="6" t="s">
        <v>3542</v>
      </c>
      <c r="B3080" s="7" t="str">
        <f>HYPERLINK("https://shopee.co.id/HANASUI-Serum-Anti-Acne-Pink-i.258803749.9884771349", "https://shopee.co.id/HANASUI-Serum-Anti-Acne-Pink-i.258803749.9884771349")</f>
        <v>https://shopee.co.id/HANASUI-Serum-Anti-Acne-Pink-i.258803749.9884771349</v>
      </c>
      <c r="C3080" s="6" t="s">
        <v>784</v>
      </c>
      <c r="D3080" s="6" t="s">
        <v>4389</v>
      </c>
      <c r="E3080" s="6" t="s">
        <v>12</v>
      </c>
      <c r="F3080" s="6" t="s">
        <v>13</v>
      </c>
      <c r="G3080" s="6" t="s">
        <v>469</v>
      </c>
      <c r="H3080" s="8" t="s">
        <v>3981</v>
      </c>
      <c r="I3080" s="9">
        <v>0.0</v>
      </c>
      <c r="J3080" s="5" t="str">
        <f t="shared" ref="J3080:K3080" si="3080">SUBSTITUTE(H3080, ",", "")</f>
        <v>0</v>
      </c>
      <c r="K3080" s="5" t="str">
        <f t="shared" si="3080"/>
        <v>Rp0</v>
      </c>
      <c r="L3080" s="5" t="str">
        <f t="shared" si="3"/>
        <v>0</v>
      </c>
    </row>
    <row r="3081">
      <c r="A3081" s="6" t="s">
        <v>4390</v>
      </c>
      <c r="B3081" s="7" t="str">
        <f>HYPERLINK("https://shopee.co.id/HANASUI-Serum-Vit-C-Collagen-i.68111.11732661861", "https://shopee.co.id/HANASUI-Serum-Vit-C-Collagen-i.68111.11732661861")</f>
        <v>https://shopee.co.id/HANASUI-Serum-Vit-C-Collagen-i.68111.11732661861</v>
      </c>
      <c r="C3081" s="6" t="s">
        <v>784</v>
      </c>
      <c r="D3081" s="6" t="s">
        <v>441</v>
      </c>
      <c r="E3081" s="6" t="s">
        <v>12</v>
      </c>
      <c r="F3081" s="6" t="s">
        <v>13</v>
      </c>
      <c r="G3081" s="6" t="s">
        <v>130</v>
      </c>
      <c r="H3081" s="8" t="s">
        <v>3981</v>
      </c>
      <c r="I3081" s="9">
        <v>0.0</v>
      </c>
      <c r="J3081" s="5" t="str">
        <f t="shared" ref="J3081:K3081" si="3081">SUBSTITUTE(H3081, ",", "")</f>
        <v>0</v>
      </c>
      <c r="K3081" s="5" t="str">
        <f t="shared" si="3081"/>
        <v>Rp0</v>
      </c>
      <c r="L3081" s="5" t="str">
        <f t="shared" si="3"/>
        <v>0</v>
      </c>
    </row>
    <row r="3082">
      <c r="A3082" s="6" t="s">
        <v>4391</v>
      </c>
      <c r="B3082" s="7" t="str">
        <f>HYPERLINK("https://shopee.co.id/Hanasui-Serum-Vitamin-C-Collagen-Serum-Wajah-20Ml-i.164238909.6163572091", "https://shopee.co.id/Hanasui-Serum-Vitamin-C-Collagen-Serum-Wajah-20Ml-i.164238909.6163572091")</f>
        <v>https://shopee.co.id/Hanasui-Serum-Vitamin-C-Collagen-Serum-Wajah-20Ml-i.164238909.6163572091</v>
      </c>
      <c r="C3082" s="6" t="s">
        <v>784</v>
      </c>
      <c r="D3082" s="6" t="s">
        <v>4108</v>
      </c>
      <c r="E3082" s="6" t="s">
        <v>12</v>
      </c>
      <c r="F3082" s="6" t="s">
        <v>13</v>
      </c>
      <c r="G3082" s="6" t="s">
        <v>350</v>
      </c>
      <c r="H3082" s="8" t="s">
        <v>3981</v>
      </c>
      <c r="I3082" s="9">
        <v>0.0</v>
      </c>
      <c r="J3082" s="5" t="str">
        <f t="shared" ref="J3082:K3082" si="3082">SUBSTITUTE(H3082, ",", "")</f>
        <v>0</v>
      </c>
      <c r="K3082" s="5" t="str">
        <f t="shared" si="3082"/>
        <v>Rp0</v>
      </c>
      <c r="L3082" s="5" t="str">
        <f t="shared" si="3"/>
        <v>0</v>
      </c>
    </row>
    <row r="3083">
      <c r="A3083" s="6" t="s">
        <v>3854</v>
      </c>
      <c r="B3083" s="7" t="str">
        <f>HYPERLINK("https://shopee.co.id/Hanasui-Serum-Vitamin-C-20ml-417914--i.16735262.3965354943", "https://shopee.co.id/Hanasui-Serum-Vitamin-C-20ml-417914--i.16735262.3965354943")</f>
        <v>https://shopee.co.id/Hanasui-Serum-Vitamin-C-20ml-417914--i.16735262.3965354943</v>
      </c>
      <c r="C3083" s="6" t="s">
        <v>784</v>
      </c>
      <c r="D3083" s="6" t="s">
        <v>3598</v>
      </c>
      <c r="E3083" s="6" t="s">
        <v>12</v>
      </c>
      <c r="F3083" s="6" t="s">
        <v>13</v>
      </c>
      <c r="G3083" s="6" t="s">
        <v>36</v>
      </c>
      <c r="H3083" s="8" t="s">
        <v>3981</v>
      </c>
      <c r="I3083" s="9">
        <v>0.0</v>
      </c>
      <c r="J3083" s="5" t="str">
        <f t="shared" ref="J3083:K3083" si="3083">SUBSTITUTE(H3083, ",", "")</f>
        <v>0</v>
      </c>
      <c r="K3083" s="5" t="str">
        <f t="shared" si="3083"/>
        <v>Rp0</v>
      </c>
      <c r="L3083" s="5" t="str">
        <f t="shared" si="3"/>
        <v>0</v>
      </c>
    </row>
    <row r="3084">
      <c r="A3084" s="6" t="s">
        <v>4392</v>
      </c>
      <c r="B3084" s="7" t="str">
        <f>HYPERLINK("https://shopee.co.id/HAPLE-Centella-Cloud-Booster-i.68111.9612285296", "https://shopee.co.id/HAPLE-Centella-Cloud-Booster-i.68111.9612285296")</f>
        <v>https://shopee.co.id/HAPLE-Centella-Cloud-Booster-i.68111.9612285296</v>
      </c>
      <c r="C3084" s="6" t="s">
        <v>1415</v>
      </c>
      <c r="D3084" s="6" t="s">
        <v>441</v>
      </c>
      <c r="E3084" s="6" t="s">
        <v>12</v>
      </c>
      <c r="F3084" s="6" t="s">
        <v>13</v>
      </c>
      <c r="G3084" s="6" t="s">
        <v>130</v>
      </c>
      <c r="H3084" s="8" t="s">
        <v>3981</v>
      </c>
      <c r="I3084" s="9">
        <v>0.0</v>
      </c>
      <c r="J3084" s="5" t="str">
        <f t="shared" ref="J3084:K3084" si="3084">SUBSTITUTE(H3084, ",", "")</f>
        <v>0</v>
      </c>
      <c r="K3084" s="5" t="str">
        <f t="shared" si="3084"/>
        <v>Rp0</v>
      </c>
      <c r="L3084" s="5" t="str">
        <f t="shared" si="3"/>
        <v>0</v>
      </c>
    </row>
    <row r="3085">
      <c r="A3085" s="6" t="s">
        <v>4393</v>
      </c>
      <c r="B3085" s="7" t="str">
        <f>HYPERLINK("https://shopee.co.id/Haple-Cloud-Glow-Booster-30mL-i.825870.2797903994", "https://shopee.co.id/Haple-Cloud-Glow-Booster-30mL-i.825870.2797903994")</f>
        <v>https://shopee.co.id/Haple-Cloud-Glow-Booster-30mL-i.825870.2797903994</v>
      </c>
      <c r="C3085" s="6" t="s">
        <v>1415</v>
      </c>
      <c r="D3085" s="6" t="s">
        <v>1184</v>
      </c>
      <c r="E3085" s="6" t="s">
        <v>12</v>
      </c>
      <c r="F3085" s="6" t="s">
        <v>13</v>
      </c>
      <c r="G3085" s="6" t="s">
        <v>21</v>
      </c>
      <c r="H3085" s="8" t="s">
        <v>3981</v>
      </c>
      <c r="I3085" s="9">
        <v>0.0</v>
      </c>
      <c r="J3085" s="5" t="str">
        <f t="shared" ref="J3085:K3085" si="3085">SUBSTITUTE(H3085, ",", "")</f>
        <v>0</v>
      </c>
      <c r="K3085" s="5" t="str">
        <f t="shared" si="3085"/>
        <v>Rp0</v>
      </c>
      <c r="L3085" s="5" t="str">
        <f t="shared" si="3"/>
        <v>0</v>
      </c>
    </row>
    <row r="3086">
      <c r="A3086" s="6" t="s">
        <v>4394</v>
      </c>
      <c r="B3086" s="7" t="str">
        <f>HYPERLINK("https://shopee.co.id/Haple-La-Luna-Anti-Aging-Serum-30ml-i.825870.7357097093", "https://shopee.co.id/Haple-La-Luna-Anti-Aging-Serum-30ml-i.825870.7357097093")</f>
        <v>https://shopee.co.id/Haple-La-Luna-Anti-Aging-Serum-30ml-i.825870.7357097093</v>
      </c>
      <c r="C3086" s="6" t="s">
        <v>1415</v>
      </c>
      <c r="D3086" s="6" t="s">
        <v>1184</v>
      </c>
      <c r="E3086" s="6" t="s">
        <v>12</v>
      </c>
      <c r="F3086" s="6" t="s">
        <v>13</v>
      </c>
      <c r="G3086" s="6" t="s">
        <v>21</v>
      </c>
      <c r="H3086" s="8" t="s">
        <v>3981</v>
      </c>
      <c r="I3086" s="9">
        <v>0.0</v>
      </c>
      <c r="J3086" s="5" t="str">
        <f t="shared" ref="J3086:K3086" si="3086">SUBSTITUTE(H3086, ",", "")</f>
        <v>0</v>
      </c>
      <c r="K3086" s="5" t="str">
        <f t="shared" si="3086"/>
        <v>Rp0</v>
      </c>
      <c r="L3086" s="5" t="str">
        <f t="shared" si="3"/>
        <v>0</v>
      </c>
    </row>
    <row r="3087">
      <c r="A3087" s="6" t="s">
        <v>4395</v>
      </c>
      <c r="B3087" s="7" t="str">
        <f>HYPERLINK("https://shopee.co.id/Haple-La-Luna-Anti-Aging-Serum-i.68111.8812284300", "https://shopee.co.id/Haple-La-Luna-Anti-Aging-Serum-i.68111.8812284300")</f>
        <v>https://shopee.co.id/Haple-La-Luna-Anti-Aging-Serum-i.68111.8812284300</v>
      </c>
      <c r="C3087" s="6" t="s">
        <v>1415</v>
      </c>
      <c r="D3087" s="6" t="s">
        <v>441</v>
      </c>
      <c r="E3087" s="6" t="s">
        <v>12</v>
      </c>
      <c r="F3087" s="6" t="s">
        <v>13</v>
      </c>
      <c r="G3087" s="6" t="s">
        <v>130</v>
      </c>
      <c r="H3087" s="8" t="s">
        <v>3981</v>
      </c>
      <c r="I3087" s="9">
        <v>0.0</v>
      </c>
      <c r="J3087" s="5" t="str">
        <f t="shared" ref="J3087:K3087" si="3087">SUBSTITUTE(H3087, ",", "")</f>
        <v>0</v>
      </c>
      <c r="K3087" s="5" t="str">
        <f t="shared" si="3087"/>
        <v>Rp0</v>
      </c>
      <c r="L3087" s="5" t="str">
        <f t="shared" si="3"/>
        <v>0</v>
      </c>
    </row>
    <row r="3088">
      <c r="A3088" s="6" t="s">
        <v>4396</v>
      </c>
      <c r="B3088" s="7" t="str">
        <f>HYPERLINK("https://shopee.co.id/Haple-La-Luna-Anti-Aging-Serum-30ml-i.136011044.8812394631", "https://shopee.co.id/Haple-La-Luna-Anti-Aging-Serum-30ml-i.136011044.8812394631")</f>
        <v>https://shopee.co.id/Haple-La-Luna-Anti-Aging-Serum-30ml-i.136011044.8812394631</v>
      </c>
      <c r="C3088" s="6" t="s">
        <v>4397</v>
      </c>
      <c r="D3088" s="6" t="s">
        <v>632</v>
      </c>
      <c r="E3088" s="6" t="s">
        <v>12</v>
      </c>
      <c r="F3088" s="6" t="s">
        <v>13</v>
      </c>
      <c r="G3088" s="6" t="s">
        <v>21</v>
      </c>
      <c r="H3088" s="8" t="s">
        <v>3981</v>
      </c>
      <c r="I3088" s="9">
        <v>0.0</v>
      </c>
      <c r="J3088" s="5" t="str">
        <f t="shared" ref="J3088:K3088" si="3088">SUBSTITUTE(H3088, ",", "")</f>
        <v>0</v>
      </c>
      <c r="K3088" s="5" t="str">
        <f t="shared" si="3088"/>
        <v>Rp0</v>
      </c>
      <c r="L3088" s="5" t="str">
        <f t="shared" si="3"/>
        <v>0</v>
      </c>
    </row>
    <row r="3089">
      <c r="A3089" s="6" t="s">
        <v>4398</v>
      </c>
      <c r="B3089" s="7" t="str">
        <f>HYPERLINK("https://shopee.co.id/Haple-Rose-Cloud-Glow-Booster-30ml-i.825870.2797886472", "https://shopee.co.id/Haple-Rose-Cloud-Glow-Booster-30ml-i.825870.2797886472")</f>
        <v>https://shopee.co.id/Haple-Rose-Cloud-Glow-Booster-30ml-i.825870.2797886472</v>
      </c>
      <c r="C3089" s="6" t="s">
        <v>1415</v>
      </c>
      <c r="D3089" s="6" t="s">
        <v>1184</v>
      </c>
      <c r="E3089" s="6" t="s">
        <v>12</v>
      </c>
      <c r="F3089" s="6" t="s">
        <v>13</v>
      </c>
      <c r="G3089" s="6" t="s">
        <v>21</v>
      </c>
      <c r="H3089" s="8" t="s">
        <v>3981</v>
      </c>
      <c r="I3089" s="9">
        <v>0.0</v>
      </c>
      <c r="J3089" s="5" t="str">
        <f t="shared" ref="J3089:K3089" si="3089">SUBSTITUTE(H3089, ",", "")</f>
        <v>0</v>
      </c>
      <c r="K3089" s="5" t="str">
        <f t="shared" si="3089"/>
        <v>Rp0</v>
      </c>
      <c r="L3089" s="5" t="str">
        <f t="shared" si="3"/>
        <v>0</v>
      </c>
    </row>
    <row r="3090">
      <c r="A3090" s="6" t="s">
        <v>4399</v>
      </c>
      <c r="B3090" s="7" t="str">
        <f>HYPERLINK("https://shopee.co.id/Haple-Silver-Moon-Calming-Serum-30ml-i.136011044.4488313862", "https://shopee.co.id/Haple-Silver-Moon-Calming-Serum-30ml-i.136011044.4488313862")</f>
        <v>https://shopee.co.id/Haple-Silver-Moon-Calming-Serum-30ml-i.136011044.4488313862</v>
      </c>
      <c r="C3090" s="6" t="s">
        <v>1415</v>
      </c>
      <c r="D3090" s="6" t="s">
        <v>632</v>
      </c>
      <c r="E3090" s="6" t="s">
        <v>12</v>
      </c>
      <c r="F3090" s="6" t="s">
        <v>13</v>
      </c>
      <c r="G3090" s="6" t="s">
        <v>21</v>
      </c>
      <c r="H3090" s="8" t="s">
        <v>3981</v>
      </c>
      <c r="I3090" s="9">
        <v>0.0</v>
      </c>
      <c r="J3090" s="5" t="str">
        <f t="shared" ref="J3090:K3090" si="3090">SUBSTITUTE(H3090, ",", "")</f>
        <v>0</v>
      </c>
      <c r="K3090" s="5" t="str">
        <f t="shared" si="3090"/>
        <v>Rp0</v>
      </c>
      <c r="L3090" s="5" t="str">
        <f t="shared" si="3"/>
        <v>0</v>
      </c>
    </row>
    <row r="3091">
      <c r="A3091" s="6" t="s">
        <v>4400</v>
      </c>
      <c r="B3091" s="7" t="str">
        <f>HYPERLINK("https://shopee.co.id/HAPLE-Silvermoon-Serum-30ml-i.68111.8953277232", "https://shopee.co.id/HAPLE-Silvermoon-Serum-30ml-i.68111.8953277232")</f>
        <v>https://shopee.co.id/HAPLE-Silvermoon-Serum-30ml-i.68111.8953277232</v>
      </c>
      <c r="C3091" s="6" t="s">
        <v>1415</v>
      </c>
      <c r="D3091" s="6" t="s">
        <v>441</v>
      </c>
      <c r="E3091" s="6" t="s">
        <v>12</v>
      </c>
      <c r="F3091" s="6" t="s">
        <v>13</v>
      </c>
      <c r="G3091" s="6" t="s">
        <v>130</v>
      </c>
      <c r="H3091" s="8" t="s">
        <v>3981</v>
      </c>
      <c r="I3091" s="9">
        <v>0.0</v>
      </c>
      <c r="J3091" s="5" t="str">
        <f t="shared" ref="J3091:K3091" si="3091">SUBSTITUTE(H3091, ",", "")</f>
        <v>0</v>
      </c>
      <c r="K3091" s="5" t="str">
        <f t="shared" si="3091"/>
        <v>Rp0</v>
      </c>
      <c r="L3091" s="5" t="str">
        <f t="shared" si="3"/>
        <v>0</v>
      </c>
    </row>
    <row r="3092">
      <c r="A3092" s="6" t="s">
        <v>4401</v>
      </c>
      <c r="B3092" s="7" t="str">
        <f>HYPERLINK("https://shopee.co.id/Harlette-Waterymelon-Deep-Hydration-Emulsion-30ml-i.825870.5254294793", "https://shopee.co.id/Harlette-Waterymelon-Deep-Hydration-Emulsion-30ml-i.825870.5254294793")</f>
        <v>https://shopee.co.id/Harlette-Waterymelon-Deep-Hydration-Emulsion-30ml-i.825870.5254294793</v>
      </c>
      <c r="C3092" s="6" t="s">
        <v>4402</v>
      </c>
      <c r="D3092" s="6" t="s">
        <v>1184</v>
      </c>
      <c r="E3092" s="6" t="s">
        <v>12</v>
      </c>
      <c r="F3092" s="6" t="s">
        <v>13</v>
      </c>
      <c r="G3092" s="6" t="s">
        <v>21</v>
      </c>
      <c r="H3092" s="8" t="s">
        <v>3981</v>
      </c>
      <c r="I3092" s="9">
        <v>0.0</v>
      </c>
      <c r="J3092" s="5" t="str">
        <f t="shared" ref="J3092:K3092" si="3092">SUBSTITUTE(H3092, ",", "")</f>
        <v>0</v>
      </c>
      <c r="K3092" s="5" t="str">
        <f t="shared" si="3092"/>
        <v>Rp0</v>
      </c>
      <c r="L3092" s="5" t="str">
        <f t="shared" si="3"/>
        <v>0</v>
      </c>
    </row>
    <row r="3093">
      <c r="A3093" s="6" t="s">
        <v>4403</v>
      </c>
      <c r="B3093" s="7" t="str">
        <f>HYPERLINK("https://shopee.co.id/Haum-C-Serum-Vitamin-C-15-28ml-i.825870.9618231303", "https://shopee.co.id/Haum-C-Serum-Vitamin-C-15-28ml-i.825870.9618231303")</f>
        <v>https://shopee.co.id/Haum-C-Serum-Vitamin-C-15-28ml-i.825870.9618231303</v>
      </c>
      <c r="C3093" s="6" t="s">
        <v>1144</v>
      </c>
      <c r="D3093" s="6" t="s">
        <v>1184</v>
      </c>
      <c r="E3093" s="6" t="s">
        <v>12</v>
      </c>
      <c r="F3093" s="6" t="s">
        <v>13</v>
      </c>
      <c r="G3093" s="6" t="s">
        <v>21</v>
      </c>
      <c r="H3093" s="8" t="s">
        <v>3981</v>
      </c>
      <c r="I3093" s="9">
        <v>0.0</v>
      </c>
      <c r="J3093" s="5" t="str">
        <f t="shared" ref="J3093:K3093" si="3093">SUBSTITUTE(H3093, ",", "")</f>
        <v>0</v>
      </c>
      <c r="K3093" s="5" t="str">
        <f t="shared" si="3093"/>
        <v>Rp0</v>
      </c>
      <c r="L3093" s="5" t="str">
        <f t="shared" si="3"/>
        <v>0</v>
      </c>
    </row>
    <row r="3094">
      <c r="A3094" s="6" t="s">
        <v>4404</v>
      </c>
      <c r="B3094" s="7" t="str">
        <f>HYPERLINK("https://shopee.co.id/HEIMISH-Bulgarian-Rose-Mist-Serum-55ml-CHECKOUT-RP-1000--i.261507182.11126340517", "https://shopee.co.id/HEIMISH-Bulgarian-Rose-Mist-Serum-55ml-CHECKOUT-RP-1000--i.261507182.11126340517")</f>
        <v>https://shopee.co.id/HEIMISH-Bulgarian-Rose-Mist-Serum-55ml-CHECKOUT-RP-1000--i.261507182.11126340517</v>
      </c>
      <c r="C3094" s="6" t="s">
        <v>3313</v>
      </c>
      <c r="D3094" s="6" t="s">
        <v>4405</v>
      </c>
      <c r="E3094" s="6" t="s">
        <v>12</v>
      </c>
      <c r="F3094" s="6" t="s">
        <v>13</v>
      </c>
      <c r="G3094" s="6" t="s">
        <v>80</v>
      </c>
      <c r="H3094" s="8" t="s">
        <v>3981</v>
      </c>
      <c r="I3094" s="9">
        <v>0.0</v>
      </c>
      <c r="J3094" s="5" t="str">
        <f t="shared" ref="J3094:K3094" si="3094">SUBSTITUTE(H3094, ",", "")</f>
        <v>0</v>
      </c>
      <c r="K3094" s="5" t="str">
        <f t="shared" si="3094"/>
        <v>Rp0</v>
      </c>
      <c r="L3094" s="5" t="str">
        <f t="shared" si="3"/>
        <v>0</v>
      </c>
    </row>
    <row r="3095">
      <c r="A3095" s="6" t="s">
        <v>4406</v>
      </c>
      <c r="B3095" s="7" t="str">
        <f>HYPERLINK("https://shopee.co.id/HISTOIRE-NATURELLE-Ectoin-Hydra-Sooth-Mild-Serum-30ml--i.315746431.5056043675", "https://shopee.co.id/HISTOIRE-NATURELLE-Ectoin-Hydra-Sooth-Mild-Serum-30ml--i.315746431.5056043675")</f>
        <v>https://shopee.co.id/HISTOIRE-NATURELLE-Ectoin-Hydra-Sooth-Mild-Serum-30ml--i.315746431.5056043675</v>
      </c>
      <c r="C3095" s="6" t="s">
        <v>1854</v>
      </c>
      <c r="D3095" s="6" t="s">
        <v>1855</v>
      </c>
      <c r="E3095" s="6" t="s">
        <v>12</v>
      </c>
      <c r="F3095" s="6" t="s">
        <v>13</v>
      </c>
      <c r="G3095" s="6" t="s">
        <v>130</v>
      </c>
      <c r="H3095" s="8" t="s">
        <v>3981</v>
      </c>
      <c r="I3095" s="9">
        <v>0.0</v>
      </c>
      <c r="J3095" s="5" t="str">
        <f t="shared" ref="J3095:K3095" si="3095">SUBSTITUTE(H3095, ",", "")</f>
        <v>0</v>
      </c>
      <c r="K3095" s="5" t="str">
        <f t="shared" si="3095"/>
        <v>Rp0</v>
      </c>
      <c r="L3095" s="5" t="str">
        <f t="shared" si="3"/>
        <v>0</v>
      </c>
    </row>
    <row r="3096">
      <c r="A3096" s="6" t="s">
        <v>4407</v>
      </c>
      <c r="B3096" s="7" t="str">
        <f>HYPERLINK("https://shopee.co.id/Holika-Holika-3-Seconds-Starter-Hyaluronic-Acid-i.18856010.2846844347", "https://shopee.co.id/Holika-Holika-3-Seconds-Starter-Hyaluronic-Acid-i.18856010.2846844347")</f>
        <v>https://shopee.co.id/Holika-Holika-3-Seconds-Starter-Hyaluronic-Acid-i.18856010.2846844347</v>
      </c>
      <c r="C3096" s="6" t="s">
        <v>2265</v>
      </c>
      <c r="D3096" s="6" t="s">
        <v>2266</v>
      </c>
      <c r="E3096" s="6" t="s">
        <v>12</v>
      </c>
      <c r="F3096" s="6" t="s">
        <v>13</v>
      </c>
      <c r="G3096" s="6" t="s">
        <v>21</v>
      </c>
      <c r="H3096" s="8" t="s">
        <v>3981</v>
      </c>
      <c r="I3096" s="9">
        <v>0.0</v>
      </c>
      <c r="J3096" s="5" t="str">
        <f t="shared" ref="J3096:K3096" si="3096">SUBSTITUTE(H3096, ",", "")</f>
        <v>0</v>
      </c>
      <c r="K3096" s="5" t="str">
        <f t="shared" si="3096"/>
        <v>Rp0</v>
      </c>
      <c r="L3096" s="5" t="str">
        <f t="shared" si="3"/>
        <v>0</v>
      </c>
    </row>
    <row r="3097">
      <c r="A3097" s="6" t="s">
        <v>4408</v>
      </c>
      <c r="B3097" s="7" t="str">
        <f>HYPERLINK("https://shopee.co.id/Holika-Holika-3-Seconds-Starter-Vita-C-i.18856010.2846860654", "https://shopee.co.id/Holika-Holika-3-Seconds-Starter-Vita-C-i.18856010.2846860654")</f>
        <v>https://shopee.co.id/Holika-Holika-3-Seconds-Starter-Vita-C-i.18856010.2846860654</v>
      </c>
      <c r="C3097" s="6" t="s">
        <v>2265</v>
      </c>
      <c r="D3097" s="6" t="s">
        <v>2266</v>
      </c>
      <c r="E3097" s="6" t="s">
        <v>12</v>
      </c>
      <c r="F3097" s="6" t="s">
        <v>13</v>
      </c>
      <c r="G3097" s="6" t="s">
        <v>21</v>
      </c>
      <c r="H3097" s="8" t="s">
        <v>3981</v>
      </c>
      <c r="I3097" s="9">
        <v>0.0</v>
      </c>
      <c r="J3097" s="5" t="str">
        <f t="shared" ref="J3097:K3097" si="3097">SUBSTITUTE(H3097, ",", "")</f>
        <v>0</v>
      </c>
      <c r="K3097" s="5" t="str">
        <f t="shared" si="3097"/>
        <v>Rp0</v>
      </c>
      <c r="L3097" s="5" t="str">
        <f t="shared" si="3"/>
        <v>0</v>
      </c>
    </row>
    <row r="3098">
      <c r="A3098" s="6" t="s">
        <v>4409</v>
      </c>
      <c r="B3098" s="7" t="str">
        <f>HYPERLINK("https://shopee.co.id/Holika-Holika-Aloe-Soothing-Essence-90-Emulsion-i.18856010.1583264004", "https://shopee.co.id/Holika-Holika-Aloe-Soothing-Essence-90-Emulsion-i.18856010.1583264004")</f>
        <v>https://shopee.co.id/Holika-Holika-Aloe-Soothing-Essence-90-Emulsion-i.18856010.1583264004</v>
      </c>
      <c r="C3098" s="6" t="s">
        <v>2265</v>
      </c>
      <c r="D3098" s="6" t="s">
        <v>2266</v>
      </c>
      <c r="E3098" s="6" t="s">
        <v>12</v>
      </c>
      <c r="F3098" s="6" t="s">
        <v>13</v>
      </c>
      <c r="G3098" s="6" t="s">
        <v>21</v>
      </c>
      <c r="H3098" s="8" t="s">
        <v>3981</v>
      </c>
      <c r="I3098" s="9">
        <v>0.0</v>
      </c>
      <c r="J3098" s="5" t="str">
        <f t="shared" ref="J3098:K3098" si="3098">SUBSTITUTE(H3098, ",", "")</f>
        <v>0</v>
      </c>
      <c r="K3098" s="5" t="str">
        <f t="shared" si="3098"/>
        <v>Rp0</v>
      </c>
      <c r="L3098" s="5" t="str">
        <f t="shared" si="3"/>
        <v>0</v>
      </c>
    </row>
    <row r="3099">
      <c r="A3099" s="6" t="s">
        <v>4410</v>
      </c>
      <c r="B3099" s="7" t="str">
        <f>HYPERLINK("https://shopee.co.id/Holika-Holika-Less-on-Skin-Redness-Calming-CICA-Serum-i.18856010.4218620772", "https://shopee.co.id/Holika-Holika-Less-on-Skin-Redness-Calming-CICA-Serum-i.18856010.4218620772")</f>
        <v>https://shopee.co.id/Holika-Holika-Less-on-Skin-Redness-Calming-CICA-Serum-i.18856010.4218620772</v>
      </c>
      <c r="C3099" s="6" t="s">
        <v>2265</v>
      </c>
      <c r="D3099" s="6" t="s">
        <v>2266</v>
      </c>
      <c r="E3099" s="6" t="s">
        <v>12</v>
      </c>
      <c r="F3099" s="6" t="s">
        <v>13</v>
      </c>
      <c r="G3099" s="6" t="s">
        <v>21</v>
      </c>
      <c r="H3099" s="8" t="s">
        <v>3981</v>
      </c>
      <c r="I3099" s="9">
        <v>0.0</v>
      </c>
      <c r="J3099" s="5" t="str">
        <f t="shared" ref="J3099:K3099" si="3099">SUBSTITUTE(H3099, ",", "")</f>
        <v>0</v>
      </c>
      <c r="K3099" s="5" t="str">
        <f t="shared" si="3099"/>
        <v>Rp0</v>
      </c>
      <c r="L3099" s="5" t="str">
        <f t="shared" si="3"/>
        <v>0</v>
      </c>
    </row>
    <row r="3100">
      <c r="A3100" s="6" t="s">
        <v>4411</v>
      </c>
      <c r="B3100" s="7" t="str">
        <f>HYPERLINK("https://shopee.co.id/Holika-Holika-Pure-Essence-Mugwort-Bubble-Cleansing-Pack-12pcs--i.18856010.3956821796", "https://shopee.co.id/Holika-Holika-Pure-Essence-Mugwort-Bubble-Cleansing-Pack-12pcs--i.18856010.3956821796")</f>
        <v>https://shopee.co.id/Holika-Holika-Pure-Essence-Mugwort-Bubble-Cleansing-Pack-12pcs--i.18856010.3956821796</v>
      </c>
      <c r="C3100" s="6" t="s">
        <v>2265</v>
      </c>
      <c r="D3100" s="6" t="s">
        <v>2266</v>
      </c>
      <c r="E3100" s="6" t="s">
        <v>12</v>
      </c>
      <c r="F3100" s="6" t="s">
        <v>13</v>
      </c>
      <c r="G3100" s="6" t="s">
        <v>21</v>
      </c>
      <c r="H3100" s="8" t="s">
        <v>3981</v>
      </c>
      <c r="I3100" s="9">
        <v>0.0</v>
      </c>
      <c r="J3100" s="5" t="str">
        <f t="shared" ref="J3100:K3100" si="3100">SUBSTITUTE(H3100, ",", "")</f>
        <v>0</v>
      </c>
      <c r="K3100" s="5" t="str">
        <f t="shared" si="3100"/>
        <v>Rp0</v>
      </c>
      <c r="L3100" s="5" t="str">
        <f t="shared" si="3"/>
        <v>0</v>
      </c>
    </row>
    <row r="3101">
      <c r="A3101" s="6" t="s">
        <v>4412</v>
      </c>
      <c r="B3101" s="7" t="str">
        <f>HYPERLINK("https://shopee.co.id/Holika-Holika-Water-Mellow-Tone-Up-Serum-i.18856010.8265738443", "https://shopee.co.id/Holika-Holika-Water-Mellow-Tone-Up-Serum-i.18856010.8265738443")</f>
        <v>https://shopee.co.id/Holika-Holika-Water-Mellow-Tone-Up-Serum-i.18856010.8265738443</v>
      </c>
      <c r="C3101" s="6" t="s">
        <v>2265</v>
      </c>
      <c r="D3101" s="6" t="s">
        <v>2266</v>
      </c>
      <c r="E3101" s="6" t="s">
        <v>12</v>
      </c>
      <c r="F3101" s="6" t="s">
        <v>13</v>
      </c>
      <c r="G3101" s="6" t="s">
        <v>21</v>
      </c>
      <c r="H3101" s="8" t="s">
        <v>3981</v>
      </c>
      <c r="I3101" s="9">
        <v>0.0</v>
      </c>
      <c r="J3101" s="5" t="str">
        <f t="shared" ref="J3101:K3101" si="3101">SUBSTITUTE(H3101, ",", "")</f>
        <v>0</v>
      </c>
      <c r="K3101" s="5" t="str">
        <f t="shared" si="3101"/>
        <v>Rp0</v>
      </c>
      <c r="L3101" s="5" t="str">
        <f t="shared" si="3"/>
        <v>0</v>
      </c>
    </row>
    <row r="3102">
      <c r="A3102" s="6" t="s">
        <v>4413</v>
      </c>
      <c r="B3102" s="7" t="str">
        <f>HYPERLINK("https://shopee.co.id/Humphrey-Acne-T-Tre-Serum-20ml-i.121791179.1863486741", "https://shopee.co.id/Humphrey-Acne-T-Tre-Serum-20ml-i.121791179.1863486741")</f>
        <v>https://shopee.co.id/Humphrey-Acne-T-Tre-Serum-20ml-i.121791179.1863486741</v>
      </c>
      <c r="C3102" s="6" t="s">
        <v>1832</v>
      </c>
      <c r="D3102" s="6" t="s">
        <v>1733</v>
      </c>
      <c r="E3102" s="6" t="s">
        <v>12</v>
      </c>
      <c r="F3102" s="6" t="s">
        <v>13</v>
      </c>
      <c r="G3102" s="6" t="s">
        <v>36</v>
      </c>
      <c r="H3102" s="8" t="s">
        <v>3981</v>
      </c>
      <c r="I3102" s="9">
        <v>0.0</v>
      </c>
      <c r="J3102" s="5" t="str">
        <f t="shared" ref="J3102:K3102" si="3102">SUBSTITUTE(H3102, ",", "")</f>
        <v>0</v>
      </c>
      <c r="K3102" s="5" t="str">
        <f t="shared" si="3102"/>
        <v>Rp0</v>
      </c>
      <c r="L3102" s="5" t="str">
        <f t="shared" si="3"/>
        <v>0</v>
      </c>
    </row>
    <row r="3103">
      <c r="A3103" s="6" t="s">
        <v>4414</v>
      </c>
      <c r="B3103" s="7" t="str">
        <f>HYPERLINK("https://shopee.co.id/Humphrey-Golden-Serum-Wht-25ml-i.121791179.1863486760", "https://shopee.co.id/Humphrey-Golden-Serum-Wht-25ml-i.121791179.1863486760")</f>
        <v>https://shopee.co.id/Humphrey-Golden-Serum-Wht-25ml-i.121791179.1863486760</v>
      </c>
      <c r="C3103" s="6" t="s">
        <v>4415</v>
      </c>
      <c r="D3103" s="6" t="s">
        <v>1733</v>
      </c>
      <c r="E3103" s="6" t="s">
        <v>12</v>
      </c>
      <c r="F3103" s="6" t="s">
        <v>13</v>
      </c>
      <c r="G3103" s="6" t="s">
        <v>36</v>
      </c>
      <c r="H3103" s="8" t="s">
        <v>3981</v>
      </c>
      <c r="I3103" s="9">
        <v>0.0</v>
      </c>
      <c r="J3103" s="5" t="str">
        <f t="shared" ref="J3103:K3103" si="3103">SUBSTITUTE(H3103, ",", "")</f>
        <v>0</v>
      </c>
      <c r="K3103" s="5" t="str">
        <f t="shared" si="3103"/>
        <v>Rp0</v>
      </c>
      <c r="L3103" s="5" t="str">
        <f t="shared" si="3"/>
        <v>0</v>
      </c>
    </row>
    <row r="3104">
      <c r="A3104" s="6" t="s">
        <v>4416</v>
      </c>
      <c r="B3104" s="7" t="str">
        <f>HYPERLINK("https://shopee.co.id/Humphrey-Niacinamide-10-Hyarulonic-Acid-Serum-10-mL-Serum-Wajah-i.18163317.4725094093", "https://shopee.co.id/Humphrey-Niacinamide-10-Hyarulonic-Acid-Serum-10-mL-Serum-Wajah-i.18163317.4725094093")</f>
        <v>https://shopee.co.id/Humphrey-Niacinamide-10-Hyarulonic-Acid-Serum-10-mL-Serum-Wajah-i.18163317.4725094093</v>
      </c>
      <c r="C3104" s="6" t="s">
        <v>1832</v>
      </c>
      <c r="D3104" s="6" t="s">
        <v>3715</v>
      </c>
      <c r="E3104" s="6" t="s">
        <v>12</v>
      </c>
      <c r="F3104" s="6" t="s">
        <v>13</v>
      </c>
      <c r="G3104" s="6" t="s">
        <v>98</v>
      </c>
      <c r="H3104" s="8" t="s">
        <v>3981</v>
      </c>
      <c r="I3104" s="9">
        <v>0.0</v>
      </c>
      <c r="J3104" s="5" t="str">
        <f t="shared" ref="J3104:K3104" si="3104">SUBSTITUTE(H3104, ",", "")</f>
        <v>0</v>
      </c>
      <c r="K3104" s="5" t="str">
        <f t="shared" si="3104"/>
        <v>Rp0</v>
      </c>
      <c r="L3104" s="5" t="str">
        <f t="shared" si="3"/>
        <v>0</v>
      </c>
    </row>
    <row r="3105">
      <c r="A3105" s="6" t="s">
        <v>4417</v>
      </c>
      <c r="B3105" s="7" t="str">
        <f>HYPERLINK("https://shopee.co.id/HUMPHREY-Serum-Vitamin-C-Whitening-Plus-20ml-i.68111.8862583305", "https://shopee.co.id/HUMPHREY-Serum-Vitamin-C-Whitening-Plus-20ml-i.68111.8862583305")</f>
        <v>https://shopee.co.id/HUMPHREY-Serum-Vitamin-C-Whitening-Plus-20ml-i.68111.8862583305</v>
      </c>
      <c r="C3105" s="6" t="s">
        <v>1832</v>
      </c>
      <c r="D3105" s="6" t="s">
        <v>441</v>
      </c>
      <c r="E3105" s="6" t="s">
        <v>12</v>
      </c>
      <c r="F3105" s="6" t="s">
        <v>13</v>
      </c>
      <c r="G3105" s="6" t="s">
        <v>130</v>
      </c>
      <c r="H3105" s="8" t="s">
        <v>3981</v>
      </c>
      <c r="I3105" s="9">
        <v>0.0</v>
      </c>
      <c r="J3105" s="5" t="str">
        <f t="shared" ref="J3105:K3105" si="3105">SUBSTITUTE(H3105, ",", "")</f>
        <v>0</v>
      </c>
      <c r="K3105" s="5" t="str">
        <f t="shared" si="3105"/>
        <v>Rp0</v>
      </c>
      <c r="L3105" s="5" t="str">
        <f t="shared" si="3"/>
        <v>0</v>
      </c>
    </row>
    <row r="3106">
      <c r="A3106" s="6" t="s">
        <v>4418</v>
      </c>
      <c r="B3106" s="7" t="str">
        <f>HYPERLINK("https://shopee.co.id/Humphrey-Vitamin-C-Whitening-Serum-20ml-i.121791179.1863486758", "https://shopee.co.id/Humphrey-Vitamin-C-Whitening-Serum-20ml-i.121791179.1863486758")</f>
        <v>https://shopee.co.id/Humphrey-Vitamin-C-Whitening-Serum-20ml-i.121791179.1863486758</v>
      </c>
      <c r="C3106" s="6" t="s">
        <v>1832</v>
      </c>
      <c r="D3106" s="6" t="s">
        <v>1733</v>
      </c>
      <c r="E3106" s="6" t="s">
        <v>12</v>
      </c>
      <c r="F3106" s="6" t="s">
        <v>13</v>
      </c>
      <c r="G3106" s="6" t="s">
        <v>36</v>
      </c>
      <c r="H3106" s="8" t="s">
        <v>3981</v>
      </c>
      <c r="I3106" s="9">
        <v>0.0</v>
      </c>
      <c r="J3106" s="5" t="str">
        <f t="shared" ref="J3106:K3106" si="3106">SUBSTITUTE(H3106, ",", "")</f>
        <v>0</v>
      </c>
      <c r="K3106" s="5" t="str">
        <f t="shared" si="3106"/>
        <v>Rp0</v>
      </c>
      <c r="L3106" s="5" t="str">
        <f t="shared" si="3"/>
        <v>0</v>
      </c>
    </row>
    <row r="3107">
      <c r="A3107" s="6" t="s">
        <v>1883</v>
      </c>
      <c r="B3107" s="7" t="str">
        <f>HYPERLINK("https://shopee.co.id/HUXLEY-Essence-Brightly-Ever-After-30ml-i.68111.418894691", "https://shopee.co.id/HUXLEY-Essence-Brightly-Ever-After-30ml-i.68111.418894691")</f>
        <v>https://shopee.co.id/HUXLEY-Essence-Brightly-Ever-After-30ml-i.68111.418894691</v>
      </c>
      <c r="C3107" s="6" t="s">
        <v>1635</v>
      </c>
      <c r="D3107" s="6" t="s">
        <v>441</v>
      </c>
      <c r="E3107" s="6" t="s">
        <v>12</v>
      </c>
      <c r="F3107" s="6" t="s">
        <v>13</v>
      </c>
      <c r="G3107" s="6" t="s">
        <v>130</v>
      </c>
      <c r="H3107" s="8" t="s">
        <v>3981</v>
      </c>
      <c r="I3107" s="9">
        <v>0.0</v>
      </c>
      <c r="J3107" s="5" t="str">
        <f t="shared" ref="J3107:K3107" si="3107">SUBSTITUTE(H3107, ",", "")</f>
        <v>0</v>
      </c>
      <c r="K3107" s="5" t="str">
        <f t="shared" si="3107"/>
        <v>Rp0</v>
      </c>
      <c r="L3107" s="5" t="str">
        <f t="shared" si="3"/>
        <v>0</v>
      </c>
    </row>
    <row r="3108">
      <c r="A3108" s="6" t="s">
        <v>4419</v>
      </c>
      <c r="B3108" s="7" t="str">
        <f>HYPERLINK("https://shopee.co.id/HUXLEY-ESSENCE-GRAB-WATER-30ml-i.68111.1199488737", "https://shopee.co.id/HUXLEY-ESSENCE-GRAB-WATER-30ml-i.68111.1199488737")</f>
        <v>https://shopee.co.id/HUXLEY-ESSENCE-GRAB-WATER-30ml-i.68111.1199488737</v>
      </c>
      <c r="C3108" s="6" t="s">
        <v>1635</v>
      </c>
      <c r="D3108" s="6" t="s">
        <v>441</v>
      </c>
      <c r="E3108" s="6" t="s">
        <v>12</v>
      </c>
      <c r="F3108" s="6" t="s">
        <v>13</v>
      </c>
      <c r="G3108" s="6" t="s">
        <v>130</v>
      </c>
      <c r="H3108" s="8" t="s">
        <v>3981</v>
      </c>
      <c r="I3108" s="9">
        <v>0.0</v>
      </c>
      <c r="J3108" s="5" t="str">
        <f t="shared" ref="J3108:K3108" si="3108">SUBSTITUTE(H3108, ",", "")</f>
        <v>0</v>
      </c>
      <c r="K3108" s="5" t="str">
        <f t="shared" si="3108"/>
        <v>Rp0</v>
      </c>
      <c r="L3108" s="5" t="str">
        <f t="shared" si="3"/>
        <v>0</v>
      </c>
    </row>
    <row r="3109">
      <c r="A3109" s="6" t="s">
        <v>4420</v>
      </c>
      <c r="B3109" s="7" t="str">
        <f>HYPERLINK("https://shopee.co.id/Huxley-Oil-Essence-30Ml-i.186214521.7225661600", "https://shopee.co.id/Huxley-Oil-Essence-30Ml-i.186214521.7225661600")</f>
        <v>https://shopee.co.id/Huxley-Oil-Essence-30Ml-i.186214521.7225661600</v>
      </c>
      <c r="C3109" s="6" t="s">
        <v>1635</v>
      </c>
      <c r="D3109" s="6" t="s">
        <v>2293</v>
      </c>
      <c r="E3109" s="6" t="s">
        <v>12</v>
      </c>
      <c r="F3109" s="6" t="s">
        <v>13</v>
      </c>
      <c r="G3109" s="6" t="s">
        <v>61</v>
      </c>
      <c r="H3109" s="8" t="s">
        <v>3981</v>
      </c>
      <c r="I3109" s="9">
        <v>0.0</v>
      </c>
      <c r="J3109" s="5" t="str">
        <f t="shared" ref="J3109:K3109" si="3109">SUBSTITUTE(H3109, ",", "")</f>
        <v>0</v>
      </c>
      <c r="K3109" s="5" t="str">
        <f t="shared" si="3109"/>
        <v>Rp0</v>
      </c>
      <c r="L3109" s="5" t="str">
        <f t="shared" si="3"/>
        <v>0</v>
      </c>
    </row>
    <row r="3110">
      <c r="A3110" s="6" t="s">
        <v>4421</v>
      </c>
      <c r="B3110" s="7" t="str">
        <f>HYPERLINK("https://shopee.co.id/Huxley-Secret-of-Sahara-Essence-Grab-Water-30ml-i.825870.2033460003", "https://shopee.co.id/Huxley-Secret-of-Sahara-Essence-Grab-Water-30ml-i.825870.2033460003")</f>
        <v>https://shopee.co.id/Huxley-Secret-of-Sahara-Essence-Grab-Water-30ml-i.825870.2033460003</v>
      </c>
      <c r="C3110" s="6" t="s">
        <v>1635</v>
      </c>
      <c r="D3110" s="6" t="s">
        <v>1184</v>
      </c>
      <c r="E3110" s="6" t="s">
        <v>12</v>
      </c>
      <c r="F3110" s="6" t="s">
        <v>13</v>
      </c>
      <c r="G3110" s="6" t="s">
        <v>21</v>
      </c>
      <c r="H3110" s="8" t="s">
        <v>3981</v>
      </c>
      <c r="I3110" s="9">
        <v>0.0</v>
      </c>
      <c r="J3110" s="5" t="str">
        <f t="shared" ref="J3110:K3110" si="3110">SUBSTITUTE(H3110, ",", "")</f>
        <v>0</v>
      </c>
      <c r="K3110" s="5" t="str">
        <f t="shared" si="3110"/>
        <v>Rp0</v>
      </c>
      <c r="L3110" s="5" t="str">
        <f t="shared" si="3"/>
        <v>0</v>
      </c>
    </row>
    <row r="3111">
      <c r="A3111" s="6" t="s">
        <v>4422</v>
      </c>
      <c r="B3111" s="7" t="str">
        <f>HYPERLINK("https://shopee.co.id/Hyalon-Active-10-Blue-Capsule-Serum-With-Mask-Sheet-Set-i.78838801.8441469542", "https://shopee.co.id/Hyalon-Active-10-Blue-Capsule-Serum-With-Mask-Sheet-Set-i.78838801.8441469542")</f>
        <v>https://shopee.co.id/Hyalon-Active-10-Blue-Capsule-Serum-With-Mask-Sheet-Set-i.78838801.8441469542</v>
      </c>
      <c r="C3111" s="6" t="s">
        <v>1079</v>
      </c>
      <c r="D3111" s="6" t="s">
        <v>1080</v>
      </c>
      <c r="E3111" s="6" t="s">
        <v>12</v>
      </c>
      <c r="F3111" s="6" t="s">
        <v>13</v>
      </c>
      <c r="G3111" s="6" t="s">
        <v>532</v>
      </c>
      <c r="H3111" s="8" t="s">
        <v>3981</v>
      </c>
      <c r="I3111" s="9">
        <v>0.0</v>
      </c>
      <c r="J3111" s="5" t="str">
        <f t="shared" ref="J3111:K3111" si="3111">SUBSTITUTE(H3111, ",", "")</f>
        <v>0</v>
      </c>
      <c r="K3111" s="5" t="str">
        <f t="shared" si="3111"/>
        <v>Rp0</v>
      </c>
      <c r="L3111" s="5" t="str">
        <f t="shared" si="3"/>
        <v>0</v>
      </c>
    </row>
    <row r="3112">
      <c r="A3112" s="6" t="s">
        <v>4423</v>
      </c>
      <c r="B3112" s="7" t="str">
        <f>HYPERLINK("https://shopee.co.id/Hyggee-One-Step-Facial-Essence-Fresh-110-ml-i.125116082.7319987454", "https://shopee.co.id/Hyggee-One-Step-Facial-Essence-Fresh-110-ml-i.125116082.7319987454")</f>
        <v>https://shopee.co.id/Hyggee-One-Step-Facial-Essence-Fresh-110-ml-i.125116082.7319987454</v>
      </c>
      <c r="C3112" s="6" t="s">
        <v>4424</v>
      </c>
      <c r="D3112" s="6" t="s">
        <v>713</v>
      </c>
      <c r="E3112" s="6" t="s">
        <v>12</v>
      </c>
      <c r="F3112" s="6" t="s">
        <v>13</v>
      </c>
      <c r="G3112" s="6" t="s">
        <v>61</v>
      </c>
      <c r="H3112" s="8" t="s">
        <v>3981</v>
      </c>
      <c r="I3112" s="9">
        <v>0.0</v>
      </c>
      <c r="J3112" s="5" t="str">
        <f t="shared" ref="J3112:K3112" si="3112">SUBSTITUTE(H3112, ",", "")</f>
        <v>0</v>
      </c>
      <c r="K3112" s="5" t="str">
        <f t="shared" si="3112"/>
        <v>Rp0</v>
      </c>
      <c r="L3112" s="5" t="str">
        <f t="shared" si="3"/>
        <v>0</v>
      </c>
    </row>
    <row r="3113">
      <c r="A3113" s="6" t="s">
        <v>4425</v>
      </c>
      <c r="B3113" s="7" t="str">
        <f>HYPERLINK("https://shopee.co.id/I-Trust-Nature-Licorice-Serum-30ml-i.825870.6839805556", "https://shopee.co.id/I-Trust-Nature-Licorice-Serum-30ml-i.825870.6839805556")</f>
        <v>https://shopee.co.id/I-Trust-Nature-Licorice-Serum-30ml-i.825870.6839805556</v>
      </c>
      <c r="C3113" s="6" t="s">
        <v>1650</v>
      </c>
      <c r="D3113" s="6" t="s">
        <v>1184</v>
      </c>
      <c r="E3113" s="6" t="s">
        <v>12</v>
      </c>
      <c r="F3113" s="6" t="s">
        <v>13</v>
      </c>
      <c r="G3113" s="6" t="s">
        <v>21</v>
      </c>
      <c r="H3113" s="8" t="s">
        <v>3981</v>
      </c>
      <c r="I3113" s="9">
        <v>0.0</v>
      </c>
      <c r="J3113" s="5" t="str">
        <f t="shared" ref="J3113:K3113" si="3113">SUBSTITUTE(H3113, ",", "")</f>
        <v>0</v>
      </c>
      <c r="K3113" s="5" t="str">
        <f t="shared" si="3113"/>
        <v>Rp0</v>
      </c>
      <c r="L3113" s="5" t="str">
        <f t="shared" si="3"/>
        <v>0</v>
      </c>
    </row>
    <row r="3114">
      <c r="A3114" s="6" t="s">
        <v>4426</v>
      </c>
      <c r="B3114" s="7" t="str">
        <f>HYPERLINK("https://shopee.co.id/ID-AZ-Face-Fit-T-Fit-ler-Ampoule-15ml-i.825870.5802301627", "https://shopee.co.id/ID-AZ-Face-Fit-T-Fit-ler-Ampoule-15ml-i.825870.5802301627")</f>
        <v>https://shopee.co.id/ID-AZ-Face-Fit-T-Fit-ler-Ampoule-15ml-i.825870.5802301627</v>
      </c>
      <c r="C3114" s="6" t="s">
        <v>3448</v>
      </c>
      <c r="D3114" s="6" t="s">
        <v>1184</v>
      </c>
      <c r="E3114" s="6" t="s">
        <v>12</v>
      </c>
      <c r="F3114" s="6" t="s">
        <v>13</v>
      </c>
      <c r="G3114" s="6" t="s">
        <v>21</v>
      </c>
      <c r="H3114" s="8" t="s">
        <v>3981</v>
      </c>
      <c r="I3114" s="9">
        <v>0.0</v>
      </c>
      <c r="J3114" s="5" t="str">
        <f t="shared" ref="J3114:K3114" si="3114">SUBSTITUTE(H3114, ",", "")</f>
        <v>0</v>
      </c>
      <c r="K3114" s="5" t="str">
        <f t="shared" si="3114"/>
        <v>Rp0</v>
      </c>
      <c r="L3114" s="5" t="str">
        <f t="shared" si="3"/>
        <v>0</v>
      </c>
    </row>
    <row r="3115">
      <c r="A3115" s="6" t="s">
        <v>4427</v>
      </c>
      <c r="B3115" s="7" t="str">
        <f>HYPERLINK("https://shopee.co.id/IDAZ-Face-Fit-T-Fit-ler-Ample-15ml-i.10689.1638519750", "https://shopee.co.id/IDAZ-Face-Fit-T-Fit-ler-Ample-15ml-i.10689.1638519750")</f>
        <v>https://shopee.co.id/IDAZ-Face-Fit-T-Fit-ler-Ample-15ml-i.10689.1638519750</v>
      </c>
      <c r="C3115" s="10" t="s">
        <v>3981</v>
      </c>
      <c r="D3115" s="6" t="s">
        <v>745</v>
      </c>
      <c r="E3115" s="6" t="s">
        <v>12</v>
      </c>
      <c r="F3115" s="6" t="s">
        <v>13</v>
      </c>
      <c r="G3115" s="6" t="s">
        <v>61</v>
      </c>
      <c r="H3115" s="8" t="s">
        <v>3981</v>
      </c>
      <c r="I3115" s="9">
        <v>0.0</v>
      </c>
      <c r="J3115" s="5" t="str">
        <f t="shared" ref="J3115:K3115" si="3115">SUBSTITUTE(H3115, ",", "")</f>
        <v>0</v>
      </c>
      <c r="K3115" s="5" t="str">
        <f t="shared" si="3115"/>
        <v>Rp0</v>
      </c>
      <c r="L3115" s="5" t="str">
        <f t="shared" si="3"/>
        <v>0</v>
      </c>
    </row>
    <row r="3116">
      <c r="A3116" s="6" t="s">
        <v>4428</v>
      </c>
      <c r="B3116" s="7" t="str">
        <f>HYPERLINK("https://shopee.co.id/IDAZ-Face-Fit-V-Fit-ler-Ample-15ml-i.10689.1638519945", "https://shopee.co.id/IDAZ-Face-Fit-V-Fit-ler-Ample-15ml-i.10689.1638519945")</f>
        <v>https://shopee.co.id/IDAZ-Face-Fit-V-Fit-ler-Ample-15ml-i.10689.1638519945</v>
      </c>
      <c r="C3116" s="6" t="s">
        <v>3448</v>
      </c>
      <c r="D3116" s="6" t="s">
        <v>745</v>
      </c>
      <c r="E3116" s="6" t="s">
        <v>12</v>
      </c>
      <c r="F3116" s="6" t="s">
        <v>13</v>
      </c>
      <c r="G3116" s="6" t="s">
        <v>61</v>
      </c>
      <c r="H3116" s="8" t="s">
        <v>3981</v>
      </c>
      <c r="I3116" s="9">
        <v>0.0</v>
      </c>
      <c r="J3116" s="5" t="str">
        <f t="shared" ref="J3116:K3116" si="3116">SUBSTITUTE(H3116, ",", "")</f>
        <v>0</v>
      </c>
      <c r="K3116" s="5" t="str">
        <f t="shared" si="3116"/>
        <v>Rp0</v>
      </c>
      <c r="L3116" s="5" t="str">
        <f t="shared" si="3"/>
        <v>0</v>
      </c>
    </row>
    <row r="3117">
      <c r="A3117" s="6" t="s">
        <v>4429</v>
      </c>
      <c r="B3117" s="7" t="str">
        <f>HYPERLINK("https://shopee.co.id/Illuminare-Brightening-Serum-30Gr-Perawatan-Wajah-Serum-Wajah-i.175375997.4500248285", "https://shopee.co.id/Illuminare-Brightening-Serum-30Gr-Perawatan-Wajah-Serum-Wajah-i.175375997.4500248285")</f>
        <v>https://shopee.co.id/Illuminare-Brightening-Serum-30Gr-Perawatan-Wajah-Serum-Wajah-i.175375997.4500248285</v>
      </c>
      <c r="C3117" s="6" t="s">
        <v>1750</v>
      </c>
      <c r="D3117" s="6" t="s">
        <v>2123</v>
      </c>
      <c r="E3117" s="6" t="s">
        <v>12</v>
      </c>
      <c r="F3117" s="6" t="s">
        <v>13</v>
      </c>
      <c r="G3117" s="6" t="s">
        <v>36</v>
      </c>
      <c r="H3117" s="8" t="s">
        <v>3981</v>
      </c>
      <c r="I3117" s="9">
        <v>0.0</v>
      </c>
      <c r="J3117" s="5" t="str">
        <f t="shared" ref="J3117:K3117" si="3117">SUBSTITUTE(H3117, ",", "")</f>
        <v>0</v>
      </c>
      <c r="K3117" s="5" t="str">
        <f t="shared" si="3117"/>
        <v>Rp0</v>
      </c>
      <c r="L3117" s="5" t="str">
        <f t="shared" si="3"/>
        <v>0</v>
      </c>
    </row>
    <row r="3118">
      <c r="A3118" s="6" t="s">
        <v>4429</v>
      </c>
      <c r="B3118" s="7" t="str">
        <f>HYPERLINK("https://shopee.co.id/Illuminare-Brightening-Serum-30Gr-Perawatan-Wajah-Serum-Wajah-i.185943783.7818319188", "https://shopee.co.id/Illuminare-Brightening-Serum-30Gr-Perawatan-Wajah-Serum-Wajah-i.185943783.7818319188")</f>
        <v>https://shopee.co.id/Illuminare-Brightening-Serum-30Gr-Perawatan-Wajah-Serum-Wajah-i.185943783.7818319188</v>
      </c>
      <c r="C3118" s="6" t="s">
        <v>1750</v>
      </c>
      <c r="D3118" s="6" t="s">
        <v>3429</v>
      </c>
      <c r="E3118" s="6" t="s">
        <v>12</v>
      </c>
      <c r="F3118" s="6" t="s">
        <v>13</v>
      </c>
      <c r="G3118" s="6" t="s">
        <v>36</v>
      </c>
      <c r="H3118" s="8" t="s">
        <v>3981</v>
      </c>
      <c r="I3118" s="9">
        <v>0.0</v>
      </c>
      <c r="J3118" s="5" t="str">
        <f t="shared" ref="J3118:K3118" si="3118">SUBSTITUTE(H3118, ",", "")</f>
        <v>0</v>
      </c>
      <c r="K3118" s="5" t="str">
        <f t="shared" si="3118"/>
        <v>Rp0</v>
      </c>
      <c r="L3118" s="5" t="str">
        <f t="shared" si="3"/>
        <v>0</v>
      </c>
    </row>
    <row r="3119">
      <c r="A3119" s="6" t="s">
        <v>4430</v>
      </c>
      <c r="B3119" s="7" t="str">
        <f>HYPERLINK("https://shopee.co.id/Illuminare-Pore-Serum-30Ml-Perawatan-Wajah-Serum-Wajah-i.175375997.6100248682", "https://shopee.co.id/Illuminare-Pore-Serum-30Ml-Perawatan-Wajah-Serum-Wajah-i.175375997.6100248682")</f>
        <v>https://shopee.co.id/Illuminare-Pore-Serum-30Ml-Perawatan-Wajah-Serum-Wajah-i.175375997.6100248682</v>
      </c>
      <c r="C3119" s="6" t="s">
        <v>1750</v>
      </c>
      <c r="D3119" s="6" t="s">
        <v>2123</v>
      </c>
      <c r="E3119" s="6" t="s">
        <v>12</v>
      </c>
      <c r="F3119" s="6" t="s">
        <v>13</v>
      </c>
      <c r="G3119" s="6" t="s">
        <v>36</v>
      </c>
      <c r="H3119" s="8" t="s">
        <v>3981</v>
      </c>
      <c r="I3119" s="9">
        <v>0.0</v>
      </c>
      <c r="J3119" s="5" t="str">
        <f t="shared" ref="J3119:K3119" si="3119">SUBSTITUTE(H3119, ",", "")</f>
        <v>0</v>
      </c>
      <c r="K3119" s="5" t="str">
        <f t="shared" si="3119"/>
        <v>Rp0</v>
      </c>
      <c r="L3119" s="5" t="str">
        <f t="shared" si="3"/>
        <v>0</v>
      </c>
    </row>
    <row r="3120">
      <c r="A3120" s="6" t="s">
        <v>4430</v>
      </c>
      <c r="B3120" s="7" t="str">
        <f>HYPERLINK("https://shopee.co.id/Illuminare-Pore-Serum-30Ml-Perawatan-Wajah-Serum-Wajah-i.185943783.5818320030", "https://shopee.co.id/Illuminare-Pore-Serum-30Ml-Perawatan-Wajah-Serum-Wajah-i.185943783.5818320030")</f>
        <v>https://shopee.co.id/Illuminare-Pore-Serum-30Ml-Perawatan-Wajah-Serum-Wajah-i.185943783.5818320030</v>
      </c>
      <c r="C3120" s="6" t="s">
        <v>1750</v>
      </c>
      <c r="D3120" s="6" t="s">
        <v>3429</v>
      </c>
      <c r="E3120" s="6" t="s">
        <v>12</v>
      </c>
      <c r="F3120" s="6" t="s">
        <v>13</v>
      </c>
      <c r="G3120" s="6" t="s">
        <v>36</v>
      </c>
      <c r="H3120" s="8" t="s">
        <v>3981</v>
      </c>
      <c r="I3120" s="9">
        <v>0.0</v>
      </c>
      <c r="J3120" s="5" t="str">
        <f t="shared" ref="J3120:K3120" si="3120">SUBSTITUTE(H3120, ",", "")</f>
        <v>0</v>
      </c>
      <c r="K3120" s="5" t="str">
        <f t="shared" si="3120"/>
        <v>Rp0</v>
      </c>
      <c r="L3120" s="5" t="str">
        <f t="shared" si="3"/>
        <v>0</v>
      </c>
    </row>
    <row r="3121">
      <c r="A3121" s="6" t="s">
        <v>4431</v>
      </c>
      <c r="B3121" s="7" t="str">
        <f>HYPERLINK("https://shopee.co.id/Illuminare-Youth-Activator-Nourish-Serum-30Ml-Face-Serum-Serum-Wajah-Anti-Aging-Illuminaire-i.175375997.6200916096", "https://shopee.co.id/Illuminare-Youth-Activator-Nourish-Serum-30Ml-Face-Serum-Serum-Wajah-Anti-Aging-Illuminaire-i.175375997.6200916096")</f>
        <v>https://shopee.co.id/Illuminare-Youth-Activator-Nourish-Serum-30Ml-Face-Serum-Serum-Wajah-Anti-Aging-Illuminaire-i.175375997.6200916096</v>
      </c>
      <c r="C3121" s="6" t="s">
        <v>1750</v>
      </c>
      <c r="D3121" s="6" t="s">
        <v>2123</v>
      </c>
      <c r="E3121" s="6" t="s">
        <v>12</v>
      </c>
      <c r="F3121" s="6" t="s">
        <v>13</v>
      </c>
      <c r="G3121" s="6" t="s">
        <v>36</v>
      </c>
      <c r="H3121" s="8" t="s">
        <v>3981</v>
      </c>
      <c r="I3121" s="9">
        <v>0.0</v>
      </c>
      <c r="J3121" s="5" t="str">
        <f t="shared" ref="J3121:K3121" si="3121">SUBSTITUTE(H3121, ",", "")</f>
        <v>0</v>
      </c>
      <c r="K3121" s="5" t="str">
        <f t="shared" si="3121"/>
        <v>Rp0</v>
      </c>
      <c r="L3121" s="5" t="str">
        <f t="shared" si="3"/>
        <v>0</v>
      </c>
    </row>
    <row r="3122">
      <c r="A3122" s="6" t="s">
        <v>4431</v>
      </c>
      <c r="B3122" s="7" t="str">
        <f>HYPERLINK("https://shopee.co.id/Illuminare-Youth-Activator-Nourish-Serum-30Ml-Face-Serum-Serum-Wajah-Anti-Aging-Illuminaire-i.185943783.5018320323", "https://shopee.co.id/Illuminare-Youth-Activator-Nourish-Serum-30Ml-Face-Serum-Serum-Wajah-Anti-Aging-Illuminaire-i.185943783.5018320323")</f>
        <v>https://shopee.co.id/Illuminare-Youth-Activator-Nourish-Serum-30Ml-Face-Serum-Serum-Wajah-Anti-Aging-Illuminaire-i.185943783.5018320323</v>
      </c>
      <c r="C3122" s="6" t="s">
        <v>1750</v>
      </c>
      <c r="D3122" s="6" t="s">
        <v>3429</v>
      </c>
      <c r="E3122" s="6" t="s">
        <v>12</v>
      </c>
      <c r="F3122" s="6" t="s">
        <v>13</v>
      </c>
      <c r="G3122" s="6" t="s">
        <v>36</v>
      </c>
      <c r="H3122" s="8" t="s">
        <v>3981</v>
      </c>
      <c r="I3122" s="9">
        <v>0.0</v>
      </c>
      <c r="J3122" s="5" t="str">
        <f t="shared" ref="J3122:K3122" si="3122">SUBSTITUTE(H3122, ",", "")</f>
        <v>0</v>
      </c>
      <c r="K3122" s="5" t="str">
        <f t="shared" si="3122"/>
        <v>Rp0</v>
      </c>
      <c r="L3122" s="5" t="str">
        <f t="shared" si="3"/>
        <v>0</v>
      </c>
    </row>
    <row r="3123">
      <c r="A3123" s="6" t="s">
        <v>4432</v>
      </c>
      <c r="B3123" s="7" t="str">
        <f>HYPERLINK("https://shopee.co.id/Implora-Luminous-Brightening-Serum-Serum-Pencerah-Wajah-20ml-i.164238909.11050702407", "https://shopee.co.id/Implora-Luminous-Brightening-Serum-Serum-Pencerah-Wajah-20ml-i.164238909.11050702407")</f>
        <v>https://shopee.co.id/Implora-Luminous-Brightening-Serum-Serum-Pencerah-Wajah-20ml-i.164238909.11050702407</v>
      </c>
      <c r="C3123" s="6" t="s">
        <v>113</v>
      </c>
      <c r="D3123" s="6" t="s">
        <v>4108</v>
      </c>
      <c r="E3123" s="6" t="s">
        <v>12</v>
      </c>
      <c r="F3123" s="6" t="s">
        <v>13</v>
      </c>
      <c r="G3123" s="6" t="s">
        <v>350</v>
      </c>
      <c r="H3123" s="8" t="s">
        <v>3981</v>
      </c>
      <c r="I3123" s="9">
        <v>0.0</v>
      </c>
      <c r="J3123" s="5" t="str">
        <f t="shared" ref="J3123:K3123" si="3123">SUBSTITUTE(H3123, ",", "")</f>
        <v>0</v>
      </c>
      <c r="K3123" s="5" t="str">
        <f t="shared" si="3123"/>
        <v>Rp0</v>
      </c>
      <c r="L3123" s="5" t="str">
        <f t="shared" si="3"/>
        <v>0</v>
      </c>
    </row>
    <row r="3124">
      <c r="A3124" s="6" t="s">
        <v>4433</v>
      </c>
      <c r="B3124" s="7" t="str">
        <f>HYPERLINK("https://shopee.co.id/Independence-Day-Package-A-i.20723335.4395313639", "https://shopee.co.id/Independence-Day-Package-A-i.20723335.4395313639")</f>
        <v>https://shopee.co.id/Independence-Day-Package-A-i.20723335.4395313639</v>
      </c>
      <c r="C3124" s="6" t="s">
        <v>2042</v>
      </c>
      <c r="D3124" s="6" t="s">
        <v>2043</v>
      </c>
      <c r="E3124" s="6" t="s">
        <v>12</v>
      </c>
      <c r="F3124" s="6" t="s">
        <v>13</v>
      </c>
      <c r="G3124" s="6" t="s">
        <v>241</v>
      </c>
      <c r="H3124" s="8" t="s">
        <v>3981</v>
      </c>
      <c r="I3124" s="9">
        <v>0.0</v>
      </c>
      <c r="J3124" s="5" t="str">
        <f t="shared" ref="J3124:K3124" si="3124">SUBSTITUTE(H3124, ",", "")</f>
        <v>0</v>
      </c>
      <c r="K3124" s="5" t="str">
        <f t="shared" si="3124"/>
        <v>Rp0</v>
      </c>
      <c r="L3124" s="5" t="str">
        <f t="shared" si="3"/>
        <v>0</v>
      </c>
    </row>
    <row r="3125">
      <c r="A3125" s="6" t="s">
        <v>4434</v>
      </c>
      <c r="B3125" s="7" t="str">
        <f>HYPERLINK("https://shopee.co.id/Independence-Day-Package-C-i.20723335.11320311740", "https://shopee.co.id/Independence-Day-Package-C-i.20723335.11320311740")</f>
        <v>https://shopee.co.id/Independence-Day-Package-C-i.20723335.11320311740</v>
      </c>
      <c r="C3125" s="6" t="s">
        <v>2042</v>
      </c>
      <c r="D3125" s="6" t="s">
        <v>2043</v>
      </c>
      <c r="E3125" s="6" t="s">
        <v>12</v>
      </c>
      <c r="F3125" s="6" t="s">
        <v>13</v>
      </c>
      <c r="G3125" s="6" t="s">
        <v>241</v>
      </c>
      <c r="H3125" s="8" t="s">
        <v>3981</v>
      </c>
      <c r="I3125" s="9">
        <v>0.0</v>
      </c>
      <c r="J3125" s="5" t="str">
        <f t="shared" ref="J3125:K3125" si="3125">SUBSTITUTE(H3125, ",", "")</f>
        <v>0</v>
      </c>
      <c r="K3125" s="5" t="str">
        <f t="shared" si="3125"/>
        <v>Rp0</v>
      </c>
      <c r="L3125" s="5" t="str">
        <f t="shared" si="3"/>
        <v>0</v>
      </c>
    </row>
    <row r="3126">
      <c r="A3126" s="6" t="s">
        <v>4435</v>
      </c>
      <c r="B3126" s="7" t="str">
        <f>HYPERLINK("https://shopee.co.id/Indoganic-Rose-Essence-C-i.10689.9279607574", "https://shopee.co.id/Indoganic-Rose-Essence-C-i.10689.9279607574")</f>
        <v>https://shopee.co.id/Indoganic-Rose-Essence-C-i.10689.9279607574</v>
      </c>
      <c r="C3126" s="6" t="s">
        <v>995</v>
      </c>
      <c r="D3126" s="6" t="s">
        <v>745</v>
      </c>
      <c r="E3126" s="6" t="s">
        <v>12</v>
      </c>
      <c r="F3126" s="6" t="s">
        <v>13</v>
      </c>
      <c r="G3126" s="6" t="s">
        <v>61</v>
      </c>
      <c r="H3126" s="8" t="s">
        <v>3981</v>
      </c>
      <c r="I3126" s="9">
        <v>0.0</v>
      </c>
      <c r="J3126" s="5" t="str">
        <f t="shared" ref="J3126:K3126" si="3126">SUBSTITUTE(H3126, ",", "")</f>
        <v>0</v>
      </c>
      <c r="K3126" s="5" t="str">
        <f t="shared" si="3126"/>
        <v>Rp0</v>
      </c>
      <c r="L3126" s="5" t="str">
        <f t="shared" si="3"/>
        <v>0</v>
      </c>
    </row>
    <row r="3127">
      <c r="A3127" s="6" t="s">
        <v>4436</v>
      </c>
      <c r="B3127" s="7" t="str">
        <f>HYPERLINK("https://shopee.co.id/Indoganic-Rose-Essence-C-60ml-i.825870.10515115445", "https://shopee.co.id/Indoganic-Rose-Essence-C-60ml-i.825870.10515115445")</f>
        <v>https://shopee.co.id/Indoganic-Rose-Essence-C-60ml-i.825870.10515115445</v>
      </c>
      <c r="C3127" s="6" t="s">
        <v>995</v>
      </c>
      <c r="D3127" s="6" t="s">
        <v>1184</v>
      </c>
      <c r="E3127" s="6" t="s">
        <v>12</v>
      </c>
      <c r="F3127" s="6" t="s">
        <v>13</v>
      </c>
      <c r="G3127" s="6" t="s">
        <v>21</v>
      </c>
      <c r="H3127" s="8" t="s">
        <v>3981</v>
      </c>
      <c r="I3127" s="9">
        <v>0.0</v>
      </c>
      <c r="J3127" s="5" t="str">
        <f t="shared" ref="J3127:K3127" si="3127">SUBSTITUTE(H3127, ",", "")</f>
        <v>0</v>
      </c>
      <c r="K3127" s="5" t="str">
        <f t="shared" si="3127"/>
        <v>Rp0</v>
      </c>
      <c r="L3127" s="5" t="str">
        <f t="shared" si="3"/>
        <v>0</v>
      </c>
    </row>
    <row r="3128">
      <c r="A3128" s="6" t="s">
        <v>4437</v>
      </c>
      <c r="B3128" s="7" t="str">
        <f>HYPERLINK("https://shopee.co.id/Ingenia-Bundling-Oil-Balancing-Toner-Night-Cream-with-Intense-Radiance-Gold-Serum-i.175299555.5218386112", "https://shopee.co.id/Ingenia-Bundling-Oil-Balancing-Toner-Night-Cream-with-Intense-Radiance-Gold-Serum-i.175299555.5218386112")</f>
        <v>https://shopee.co.id/Ingenia-Bundling-Oil-Balancing-Toner-Night-Cream-with-Intense-Radiance-Gold-Serum-i.175299555.5218386112</v>
      </c>
      <c r="C3128" s="6" t="s">
        <v>2533</v>
      </c>
      <c r="D3128" s="6" t="s">
        <v>2534</v>
      </c>
      <c r="E3128" s="6" t="s">
        <v>12</v>
      </c>
      <c r="F3128" s="6" t="s">
        <v>13</v>
      </c>
      <c r="G3128" s="6" t="s">
        <v>1314</v>
      </c>
      <c r="H3128" s="8" t="s">
        <v>3981</v>
      </c>
      <c r="I3128" s="9">
        <v>0.0</v>
      </c>
      <c r="J3128" s="5" t="str">
        <f t="shared" ref="J3128:K3128" si="3128">SUBSTITUTE(H3128, ",", "")</f>
        <v>0</v>
      </c>
      <c r="K3128" s="5" t="str">
        <f t="shared" si="3128"/>
        <v>Rp0</v>
      </c>
      <c r="L3128" s="5" t="str">
        <f t="shared" si="3"/>
        <v>0</v>
      </c>
    </row>
    <row r="3129">
      <c r="A3129" s="6" t="s">
        <v>4438</v>
      </c>
      <c r="B3129" s="7" t="str">
        <f>HYPERLINK("https://shopee.co.id/Innertrue-Essence-of-Life-Serum-i.17081863.7783917167", "https://shopee.co.id/Innertrue-Essence-of-Life-Serum-i.17081863.7783917167")</f>
        <v>https://shopee.co.id/Innertrue-Essence-of-Life-Serum-i.17081863.7783917167</v>
      </c>
      <c r="C3129" s="6" t="s">
        <v>1321</v>
      </c>
      <c r="D3129" s="6" t="s">
        <v>2497</v>
      </c>
      <c r="E3129" s="6" t="s">
        <v>12</v>
      </c>
      <c r="F3129" s="6" t="s">
        <v>13</v>
      </c>
      <c r="G3129" s="6" t="s">
        <v>21</v>
      </c>
      <c r="H3129" s="8" t="s">
        <v>3981</v>
      </c>
      <c r="I3129" s="9">
        <v>0.0</v>
      </c>
      <c r="J3129" s="5" t="str">
        <f t="shared" ref="J3129:K3129" si="3129">SUBSTITUTE(H3129, ",", "")</f>
        <v>0</v>
      </c>
      <c r="K3129" s="5" t="str">
        <f t="shared" si="3129"/>
        <v>Rp0</v>
      </c>
      <c r="L3129" s="5" t="str">
        <f t="shared" si="3"/>
        <v>0</v>
      </c>
    </row>
    <row r="3130">
      <c r="A3130" s="6" t="s">
        <v>4439</v>
      </c>
      <c r="B3130" s="7" t="str">
        <f>HYPERLINK("https://shopee.co.id/Innertrue-Essence-of-Life-Serum-15ml-i.825870.4618669148", "https://shopee.co.id/Innertrue-Essence-of-Life-Serum-15ml-i.825870.4618669148")</f>
        <v>https://shopee.co.id/Innertrue-Essence-of-Life-Serum-15ml-i.825870.4618669148</v>
      </c>
      <c r="C3130" s="6" t="s">
        <v>1321</v>
      </c>
      <c r="D3130" s="6" t="s">
        <v>1184</v>
      </c>
      <c r="E3130" s="6" t="s">
        <v>12</v>
      </c>
      <c r="F3130" s="6" t="s">
        <v>13</v>
      </c>
      <c r="G3130" s="6" t="s">
        <v>21</v>
      </c>
      <c r="H3130" s="8" t="s">
        <v>3981</v>
      </c>
      <c r="I3130" s="9">
        <v>0.0</v>
      </c>
      <c r="J3130" s="5" t="str">
        <f t="shared" ref="J3130:K3130" si="3130">SUBSTITUTE(H3130, ",", "")</f>
        <v>0</v>
      </c>
      <c r="K3130" s="5" t="str">
        <f t="shared" si="3130"/>
        <v>Rp0</v>
      </c>
      <c r="L3130" s="5" t="str">
        <f t="shared" si="3"/>
        <v>0</v>
      </c>
    </row>
    <row r="3131">
      <c r="A3131" s="6" t="s">
        <v>4440</v>
      </c>
      <c r="B3131" s="7" t="str">
        <f>HYPERLINK("https://shopee.co.id/Innertrue-Essence-of-Life-Serum-15ml-i.10689.6718504711", "https://shopee.co.id/Innertrue-Essence-of-Life-Serum-15ml-i.10689.6718504711")</f>
        <v>https://shopee.co.id/Innertrue-Essence-of-Life-Serum-15ml-i.10689.6718504711</v>
      </c>
      <c r="C3131" s="6" t="s">
        <v>1321</v>
      </c>
      <c r="D3131" s="6" t="s">
        <v>745</v>
      </c>
      <c r="E3131" s="6" t="s">
        <v>12</v>
      </c>
      <c r="F3131" s="6" t="s">
        <v>13</v>
      </c>
      <c r="G3131" s="6" t="s">
        <v>61</v>
      </c>
      <c r="H3131" s="8" t="s">
        <v>3981</v>
      </c>
      <c r="I3131" s="9">
        <v>0.0</v>
      </c>
      <c r="J3131" s="5" t="str">
        <f t="shared" ref="J3131:K3131" si="3131">SUBSTITUTE(H3131, ",", "")</f>
        <v>0</v>
      </c>
      <c r="K3131" s="5" t="str">
        <f t="shared" si="3131"/>
        <v>Rp0</v>
      </c>
      <c r="L3131" s="5" t="str">
        <f t="shared" si="3"/>
        <v>0</v>
      </c>
    </row>
    <row r="3132">
      <c r="A3132" s="6" t="s">
        <v>4441</v>
      </c>
      <c r="B3132" s="7" t="str">
        <f>HYPERLINK("https://shopee.co.id/ISOI-Bulgarian-Rose-Blemish-Care-Serum-Blemish-Serum-35ml-i.376385296.6677498043", "https://shopee.co.id/ISOI-Bulgarian-Rose-Blemish-Care-Serum-Blemish-Serum-35ml-i.376385296.6677498043")</f>
        <v>https://shopee.co.id/ISOI-Bulgarian-Rose-Blemish-Care-Serum-Blemish-Serum-35ml-i.376385296.6677498043</v>
      </c>
      <c r="C3132" s="6" t="s">
        <v>3499</v>
      </c>
      <c r="D3132" s="6" t="s">
        <v>4442</v>
      </c>
      <c r="E3132" s="6" t="s">
        <v>12</v>
      </c>
      <c r="F3132" s="6" t="s">
        <v>13</v>
      </c>
      <c r="G3132" s="6" t="s">
        <v>469</v>
      </c>
      <c r="H3132" s="8" t="s">
        <v>3981</v>
      </c>
      <c r="I3132" s="9">
        <v>0.0</v>
      </c>
      <c r="J3132" s="5" t="str">
        <f t="shared" ref="J3132:K3132" si="3132">SUBSTITUTE(H3132, ",", "")</f>
        <v>0</v>
      </c>
      <c r="K3132" s="5" t="str">
        <f t="shared" si="3132"/>
        <v>Rp0</v>
      </c>
      <c r="L3132" s="5" t="str">
        <f t="shared" si="3"/>
        <v>0</v>
      </c>
    </row>
    <row r="3133">
      <c r="A3133" s="6" t="s">
        <v>3819</v>
      </c>
      <c r="B3133" s="7" t="str">
        <f>HYPERLINK("https://shopee.co.id/ISOI-Blemish-Care-Serum-II-1ml-i.376385296.5981572501", "https://shopee.co.id/ISOI-Blemish-Care-Serum-II-1ml-i.376385296.5981572501")</f>
        <v>https://shopee.co.id/ISOI-Blemish-Care-Serum-II-1ml-i.376385296.5981572501</v>
      </c>
      <c r="C3133" s="6" t="s">
        <v>3499</v>
      </c>
      <c r="D3133" s="6" t="s">
        <v>4442</v>
      </c>
      <c r="E3133" s="6" t="s">
        <v>12</v>
      </c>
      <c r="F3133" s="6" t="s">
        <v>13</v>
      </c>
      <c r="G3133" s="6" t="s">
        <v>469</v>
      </c>
      <c r="H3133" s="8" t="s">
        <v>3981</v>
      </c>
      <c r="I3133" s="9">
        <v>0.0</v>
      </c>
      <c r="J3133" s="5" t="str">
        <f t="shared" ref="J3133:K3133" si="3133">SUBSTITUTE(H3133, ",", "")</f>
        <v>0</v>
      </c>
      <c r="K3133" s="5" t="str">
        <f t="shared" si="3133"/>
        <v>Rp0</v>
      </c>
      <c r="L3133" s="5" t="str">
        <f t="shared" si="3"/>
        <v>0</v>
      </c>
    </row>
    <row r="3134">
      <c r="A3134" s="6" t="s">
        <v>4443</v>
      </c>
      <c r="B3134" s="7" t="str">
        <f>HYPERLINK("https://shopee.co.id/ISOI-Blemish-Care-Serum-II-35ml-i.240712269.6478250048", "https://shopee.co.id/ISOI-Blemish-Care-Serum-II-35ml-i.240712269.6478250048")</f>
        <v>https://shopee.co.id/ISOI-Blemish-Care-Serum-II-35ml-i.240712269.6478250048</v>
      </c>
      <c r="C3134" s="6" t="s">
        <v>3499</v>
      </c>
      <c r="D3134" s="6" t="s">
        <v>762</v>
      </c>
      <c r="E3134" s="6" t="s">
        <v>12</v>
      </c>
      <c r="F3134" s="6" t="s">
        <v>13</v>
      </c>
      <c r="G3134" s="6" t="s">
        <v>98</v>
      </c>
      <c r="H3134" s="8" t="s">
        <v>3981</v>
      </c>
      <c r="I3134" s="9">
        <v>0.0</v>
      </c>
      <c r="J3134" s="5" t="str">
        <f t="shared" ref="J3134:K3134" si="3134">SUBSTITUTE(H3134, ",", "")</f>
        <v>0</v>
      </c>
      <c r="K3134" s="5" t="str">
        <f t="shared" si="3134"/>
        <v>Rp0</v>
      </c>
      <c r="L3134" s="5" t="str">
        <f t="shared" si="3"/>
        <v>0</v>
      </c>
    </row>
    <row r="3135">
      <c r="A3135" s="6" t="s">
        <v>2087</v>
      </c>
      <c r="B3135" s="7" t="str">
        <f>HYPERLINK("https://shopee.co.id/Iunik-Beta-Glucan-Power-Moisture-Serum-50ml-i.270765534.7148916869", "https://shopee.co.id/Iunik-Beta-Glucan-Power-Moisture-Serum-50ml-i.270765534.7148916869")</f>
        <v>https://shopee.co.id/Iunik-Beta-Glucan-Power-Moisture-Serum-50ml-i.270765534.7148916869</v>
      </c>
      <c r="C3135" s="6" t="s">
        <v>1658</v>
      </c>
      <c r="D3135" s="6" t="s">
        <v>1659</v>
      </c>
      <c r="E3135" s="6" t="s">
        <v>12</v>
      </c>
      <c r="F3135" s="6" t="s">
        <v>13</v>
      </c>
      <c r="G3135" s="6" t="s">
        <v>21</v>
      </c>
      <c r="H3135" s="8" t="s">
        <v>3981</v>
      </c>
      <c r="I3135" s="9">
        <v>0.0</v>
      </c>
      <c r="J3135" s="5" t="str">
        <f t="shared" ref="J3135:K3135" si="3135">SUBSTITUTE(H3135, ",", "")</f>
        <v>0</v>
      </c>
      <c r="K3135" s="5" t="str">
        <f t="shared" si="3135"/>
        <v>Rp0</v>
      </c>
      <c r="L3135" s="5" t="str">
        <f t="shared" si="3"/>
        <v>0</v>
      </c>
    </row>
    <row r="3136">
      <c r="A3136" s="6" t="s">
        <v>4444</v>
      </c>
      <c r="B3136" s="7" t="str">
        <f>HYPERLINK("https://shopee.co.id/Iunik-Noni-Light-Oil-Serum-50ml-i.270765534.3449013166", "https://shopee.co.id/Iunik-Noni-Light-Oil-Serum-50ml-i.270765534.3449013166")</f>
        <v>https://shopee.co.id/Iunik-Noni-Light-Oil-Serum-50ml-i.270765534.3449013166</v>
      </c>
      <c r="C3136" s="6" t="s">
        <v>1658</v>
      </c>
      <c r="D3136" s="6" t="s">
        <v>1659</v>
      </c>
      <c r="E3136" s="6" t="s">
        <v>12</v>
      </c>
      <c r="F3136" s="6" t="s">
        <v>13</v>
      </c>
      <c r="G3136" s="6" t="s">
        <v>21</v>
      </c>
      <c r="H3136" s="8" t="s">
        <v>3981</v>
      </c>
      <c r="I3136" s="9">
        <v>0.0</v>
      </c>
      <c r="J3136" s="5" t="str">
        <f t="shared" ref="J3136:K3136" si="3136">SUBSTITUTE(H3136, ",", "")</f>
        <v>0</v>
      </c>
      <c r="K3136" s="5" t="str">
        <f t="shared" si="3136"/>
        <v>Rp0</v>
      </c>
      <c r="L3136" s="5" t="str">
        <f t="shared" si="3"/>
        <v>0</v>
      </c>
    </row>
    <row r="3137">
      <c r="A3137" s="6" t="s">
        <v>4445</v>
      </c>
      <c r="B3137" s="7" t="str">
        <f>HYPERLINK("https://shopee.co.id/Iunik-Propolis-Vitamin-Synergy-Serum-15ml-50ml-i.136011044.5678350454", "https://shopee.co.id/Iunik-Propolis-Vitamin-Synergy-Serum-15ml-50ml-i.136011044.5678350454")</f>
        <v>https://shopee.co.id/Iunik-Propolis-Vitamin-Synergy-Serum-15ml-50ml-i.136011044.5678350454</v>
      </c>
      <c r="C3137" s="6" t="s">
        <v>1658</v>
      </c>
      <c r="D3137" s="6" t="s">
        <v>632</v>
      </c>
      <c r="E3137" s="6" t="s">
        <v>12</v>
      </c>
      <c r="F3137" s="6" t="s">
        <v>13</v>
      </c>
      <c r="G3137" s="6" t="s">
        <v>21</v>
      </c>
      <c r="H3137" s="8" t="s">
        <v>3981</v>
      </c>
      <c r="I3137" s="9">
        <v>0.0</v>
      </c>
      <c r="J3137" s="5" t="str">
        <f t="shared" ref="J3137:K3137" si="3137">SUBSTITUTE(H3137, ",", "")</f>
        <v>0</v>
      </c>
      <c r="K3137" s="5" t="str">
        <f t="shared" si="3137"/>
        <v>Rp0</v>
      </c>
      <c r="L3137" s="5" t="str">
        <f t="shared" si="3"/>
        <v>0</v>
      </c>
    </row>
    <row r="3138">
      <c r="A3138" s="6" t="s">
        <v>3871</v>
      </c>
      <c r="B3138" s="7" t="str">
        <f>HYPERLINK("https://shopee.co.id/Iunik-Rose-Galactomyces-Synergy-Serum-15ml-i.825870.6853263437", "https://shopee.co.id/Iunik-Rose-Galactomyces-Synergy-Serum-15ml-i.825870.6853263437")</f>
        <v>https://shopee.co.id/Iunik-Rose-Galactomyces-Synergy-Serum-15ml-i.825870.6853263437</v>
      </c>
      <c r="C3138" s="6" t="s">
        <v>1658</v>
      </c>
      <c r="D3138" s="6" t="s">
        <v>1184</v>
      </c>
      <c r="E3138" s="6" t="s">
        <v>12</v>
      </c>
      <c r="F3138" s="6" t="s">
        <v>13</v>
      </c>
      <c r="G3138" s="6" t="s">
        <v>21</v>
      </c>
      <c r="H3138" s="8" t="s">
        <v>3981</v>
      </c>
      <c r="I3138" s="9">
        <v>0.0</v>
      </c>
      <c r="J3138" s="5" t="str">
        <f t="shared" ref="J3138:K3138" si="3138">SUBSTITUTE(H3138, ",", "")</f>
        <v>0</v>
      </c>
      <c r="K3138" s="5" t="str">
        <f t="shared" si="3138"/>
        <v>Rp0</v>
      </c>
      <c r="L3138" s="5" t="str">
        <f t="shared" si="3"/>
        <v>0</v>
      </c>
    </row>
    <row r="3139">
      <c r="A3139" s="6" t="s">
        <v>4446</v>
      </c>
      <c r="B3139" s="7" t="str">
        <f>HYPERLINK("https://shopee.co.id/J-GLOW-Serum-Lightening-Essence-10ml-i.165212611.5314053592", "https://shopee.co.id/J-GLOW-Serum-Lightening-Essence-10ml-i.165212611.5314053592")</f>
        <v>https://shopee.co.id/J-GLOW-Serum-Lightening-Essence-10ml-i.165212611.5314053592</v>
      </c>
      <c r="C3139" s="6" t="s">
        <v>1553</v>
      </c>
      <c r="D3139" s="6" t="s">
        <v>1554</v>
      </c>
      <c r="E3139" s="6" t="s">
        <v>12</v>
      </c>
      <c r="F3139" s="6" t="s">
        <v>13</v>
      </c>
      <c r="G3139" s="6" t="s">
        <v>241</v>
      </c>
      <c r="H3139" s="8" t="s">
        <v>3981</v>
      </c>
      <c r="I3139" s="9">
        <v>0.0</v>
      </c>
      <c r="J3139" s="5" t="str">
        <f t="shared" ref="J3139:K3139" si="3139">SUBSTITUTE(H3139, ",", "")</f>
        <v>0</v>
      </c>
      <c r="K3139" s="5" t="str">
        <f t="shared" si="3139"/>
        <v>Rp0</v>
      </c>
      <c r="L3139" s="5" t="str">
        <f t="shared" si="3"/>
        <v>0</v>
      </c>
    </row>
    <row r="3140">
      <c r="A3140" s="6" t="s">
        <v>4447</v>
      </c>
      <c r="B3140" s="7" t="str">
        <f>HYPERLINK("https://shopee.co.id/Jarkeen-Double-Glow-Serum-i.79492424.7738209583", "https://shopee.co.id/Jarkeen-Double-Glow-Serum-i.79492424.7738209583")</f>
        <v>https://shopee.co.id/Jarkeen-Double-Glow-Serum-i.79492424.7738209583</v>
      </c>
      <c r="C3140" s="6" t="s">
        <v>738</v>
      </c>
      <c r="D3140" s="6" t="s">
        <v>3456</v>
      </c>
      <c r="E3140" s="6" t="s">
        <v>12</v>
      </c>
      <c r="F3140" s="6" t="s">
        <v>13</v>
      </c>
      <c r="G3140" s="6" t="s">
        <v>469</v>
      </c>
      <c r="H3140" s="8" t="s">
        <v>3981</v>
      </c>
      <c r="I3140" s="9">
        <v>0.0</v>
      </c>
      <c r="J3140" s="5" t="str">
        <f t="shared" ref="J3140:K3140" si="3140">SUBSTITUTE(H3140, ",", "")</f>
        <v>0</v>
      </c>
      <c r="K3140" s="5" t="str">
        <f t="shared" si="3140"/>
        <v>Rp0</v>
      </c>
      <c r="L3140" s="5" t="str">
        <f t="shared" si="3"/>
        <v>0</v>
      </c>
    </row>
    <row r="3141">
      <c r="A3141" s="6" t="s">
        <v>4448</v>
      </c>
      <c r="B3141" s="7" t="str">
        <f>HYPERLINK("https://shopee.co.id/JARKEEN-Double-Glow-Serum-15ml-i.68111.5585376331", "https://shopee.co.id/JARKEEN-Double-Glow-Serum-15ml-i.68111.5585376331")</f>
        <v>https://shopee.co.id/JARKEEN-Double-Glow-Serum-15ml-i.68111.5585376331</v>
      </c>
      <c r="C3141" s="6" t="s">
        <v>738</v>
      </c>
      <c r="D3141" s="6" t="s">
        <v>441</v>
      </c>
      <c r="E3141" s="6" t="s">
        <v>12</v>
      </c>
      <c r="F3141" s="6" t="s">
        <v>13</v>
      </c>
      <c r="G3141" s="6" t="s">
        <v>130</v>
      </c>
      <c r="H3141" s="8" t="s">
        <v>3981</v>
      </c>
      <c r="I3141" s="9">
        <v>0.0</v>
      </c>
      <c r="J3141" s="5" t="str">
        <f t="shared" ref="J3141:K3141" si="3141">SUBSTITUTE(H3141, ",", "")</f>
        <v>0</v>
      </c>
      <c r="K3141" s="5" t="str">
        <f t="shared" si="3141"/>
        <v>Rp0</v>
      </c>
      <c r="L3141" s="5" t="str">
        <f t="shared" si="3"/>
        <v>0</v>
      </c>
    </row>
    <row r="3142">
      <c r="A3142" s="6" t="s">
        <v>4449</v>
      </c>
      <c r="B3142" s="7" t="str">
        <f>HYPERLINK("https://shopee.co.id/JARKEEN-New-Skin-Lightening-Molecules-Body-Serum-100ml-i.68111.9728970253", "https://shopee.co.id/JARKEEN-New-Skin-Lightening-Molecules-Body-Serum-100ml-i.68111.9728970253")</f>
        <v>https://shopee.co.id/JARKEEN-New-Skin-Lightening-Molecules-Body-Serum-100ml-i.68111.9728970253</v>
      </c>
      <c r="C3142" s="6" t="s">
        <v>738</v>
      </c>
      <c r="D3142" s="6" t="s">
        <v>441</v>
      </c>
      <c r="E3142" s="6" t="s">
        <v>12</v>
      </c>
      <c r="F3142" s="6" t="s">
        <v>13</v>
      </c>
      <c r="G3142" s="6" t="s">
        <v>130</v>
      </c>
      <c r="H3142" s="8" t="s">
        <v>3981</v>
      </c>
      <c r="I3142" s="9">
        <v>0.0</v>
      </c>
      <c r="J3142" s="5" t="str">
        <f t="shared" ref="J3142:K3142" si="3142">SUBSTITUTE(H3142, ",", "")</f>
        <v>0</v>
      </c>
      <c r="K3142" s="5" t="str">
        <f t="shared" si="3142"/>
        <v>Rp0</v>
      </c>
      <c r="L3142" s="5" t="str">
        <f t="shared" si="3"/>
        <v>0</v>
      </c>
    </row>
    <row r="3143">
      <c r="A3143" s="6" t="s">
        <v>4450</v>
      </c>
      <c r="B3143" s="7" t="str">
        <f>HYPERLINK("https://shopee.co.id/JARKEEN-Vit-C-Booster-Serum-15ml-i.68111.5782631341", "https://shopee.co.id/JARKEEN-Vit-C-Booster-Serum-15ml-i.68111.5782631341")</f>
        <v>https://shopee.co.id/JARKEEN-Vit-C-Booster-Serum-15ml-i.68111.5782631341</v>
      </c>
      <c r="C3143" s="6" t="s">
        <v>738</v>
      </c>
      <c r="D3143" s="6" t="s">
        <v>441</v>
      </c>
      <c r="E3143" s="6" t="s">
        <v>12</v>
      </c>
      <c r="F3143" s="6" t="s">
        <v>13</v>
      </c>
      <c r="G3143" s="6" t="s">
        <v>130</v>
      </c>
      <c r="H3143" s="8" t="s">
        <v>3981</v>
      </c>
      <c r="I3143" s="9">
        <v>0.0</v>
      </c>
      <c r="J3143" s="5" t="str">
        <f t="shared" ref="J3143:K3143" si="3143">SUBSTITUTE(H3143, ",", "")</f>
        <v>0</v>
      </c>
      <c r="K3143" s="5" t="str">
        <f t="shared" si="3143"/>
        <v>Rp0</v>
      </c>
      <c r="L3143" s="5" t="str">
        <f t="shared" si="3"/>
        <v>0</v>
      </c>
    </row>
    <row r="3144">
      <c r="A3144" s="6" t="s">
        <v>4451</v>
      </c>
      <c r="B3144" s="7" t="str">
        <f>HYPERLINK("https://shopee.co.id/Jarkeen-X-Jacquelle-Porecelain-Doll-Look-Bundle-i.147936010.5260579286", "https://shopee.co.id/Jarkeen-X-Jacquelle-Porecelain-Doll-Look-Bundle-i.147936010.5260579286")</f>
        <v>https://shopee.co.id/Jarkeen-X-Jacquelle-Porecelain-Doll-Look-Bundle-i.147936010.5260579286</v>
      </c>
      <c r="C3144" s="6" t="s">
        <v>738</v>
      </c>
      <c r="D3144" s="6" t="s">
        <v>739</v>
      </c>
      <c r="E3144" s="6" t="s">
        <v>12</v>
      </c>
      <c r="F3144" s="6" t="s">
        <v>13</v>
      </c>
      <c r="G3144" s="6" t="s">
        <v>241</v>
      </c>
      <c r="H3144" s="8" t="s">
        <v>3981</v>
      </c>
      <c r="I3144" s="9">
        <v>0.0</v>
      </c>
      <c r="J3144" s="5" t="str">
        <f t="shared" ref="J3144:K3144" si="3144">SUBSTITUTE(H3144, ",", "")</f>
        <v>0</v>
      </c>
      <c r="K3144" s="5" t="str">
        <f t="shared" si="3144"/>
        <v>Rp0</v>
      </c>
      <c r="L3144" s="5" t="str">
        <f t="shared" si="3"/>
        <v>0</v>
      </c>
    </row>
    <row r="3145">
      <c r="A3145" s="6" t="s">
        <v>4452</v>
      </c>
      <c r="B3145" s="7" t="str">
        <f>HYPERLINK("https://shopee.co.id/Jarte-Cica-Care-Ampoule-20ml-i.825870.3669645725", "https://shopee.co.id/Jarte-Cica-Care-Ampoule-20ml-i.825870.3669645725")</f>
        <v>https://shopee.co.id/Jarte-Cica-Care-Ampoule-20ml-i.825870.3669645725</v>
      </c>
      <c r="C3145" s="6" t="s">
        <v>3816</v>
      </c>
      <c r="D3145" s="6" t="s">
        <v>1184</v>
      </c>
      <c r="E3145" s="6" t="s">
        <v>12</v>
      </c>
      <c r="F3145" s="6" t="s">
        <v>13</v>
      </c>
      <c r="G3145" s="6" t="s">
        <v>21</v>
      </c>
      <c r="H3145" s="8" t="s">
        <v>3981</v>
      </c>
      <c r="I3145" s="9">
        <v>0.0</v>
      </c>
      <c r="J3145" s="5" t="str">
        <f t="shared" ref="J3145:K3145" si="3145">SUBSTITUTE(H3145, ",", "")</f>
        <v>0</v>
      </c>
      <c r="K3145" s="5" t="str">
        <f t="shared" si="3145"/>
        <v>Rp0</v>
      </c>
      <c r="L3145" s="5" t="str">
        <f t="shared" si="3"/>
        <v>0</v>
      </c>
    </row>
    <row r="3146">
      <c r="A3146" s="6" t="s">
        <v>4453</v>
      </c>
      <c r="B3146" s="7" t="str">
        <f>HYPERLINK("https://shopee.co.id/JARTE-CICA-CARE-AMPOULE-i.217272417.5567290986", "https://shopee.co.id/JARTE-CICA-CARE-AMPOULE-i.217272417.5567290986")</f>
        <v>https://shopee.co.id/JARTE-CICA-CARE-AMPOULE-i.217272417.5567290986</v>
      </c>
      <c r="C3146" s="6" t="s">
        <v>3816</v>
      </c>
      <c r="D3146" s="6" t="s">
        <v>3793</v>
      </c>
      <c r="E3146" s="6" t="s">
        <v>12</v>
      </c>
      <c r="F3146" s="6" t="s">
        <v>13</v>
      </c>
      <c r="G3146" s="6" t="s">
        <v>98</v>
      </c>
      <c r="H3146" s="8" t="s">
        <v>3981</v>
      </c>
      <c r="I3146" s="9">
        <v>0.0</v>
      </c>
      <c r="J3146" s="5" t="str">
        <f t="shared" ref="J3146:K3146" si="3146">SUBSTITUTE(H3146, ",", "")</f>
        <v>0</v>
      </c>
      <c r="K3146" s="5" t="str">
        <f t="shared" si="3146"/>
        <v>Rp0</v>
      </c>
      <c r="L3146" s="5" t="str">
        <f t="shared" si="3"/>
        <v>0</v>
      </c>
    </row>
    <row r="3147">
      <c r="A3147" s="6" t="s">
        <v>4454</v>
      </c>
      <c r="B3147" s="7" t="str">
        <f>HYPERLINK("https://shopee.co.id/JELLYS-Pure-Face-Serum-i.68111.9536468626", "https://shopee.co.id/JELLYS-Pure-Face-Serum-i.68111.9536468626")</f>
        <v>https://shopee.co.id/JELLYS-Pure-Face-Serum-i.68111.9536468626</v>
      </c>
      <c r="C3147" s="6" t="s">
        <v>1343</v>
      </c>
      <c r="D3147" s="6" t="s">
        <v>441</v>
      </c>
      <c r="E3147" s="6" t="s">
        <v>12</v>
      </c>
      <c r="F3147" s="6" t="s">
        <v>13</v>
      </c>
      <c r="G3147" s="6" t="s">
        <v>130</v>
      </c>
      <c r="H3147" s="8" t="s">
        <v>3981</v>
      </c>
      <c r="I3147" s="9">
        <v>0.0</v>
      </c>
      <c r="J3147" s="5" t="str">
        <f t="shared" ref="J3147:K3147" si="3147">SUBSTITUTE(H3147, ",", "")</f>
        <v>0</v>
      </c>
      <c r="K3147" s="5" t="str">
        <f t="shared" si="3147"/>
        <v>Rp0</v>
      </c>
      <c r="L3147" s="5" t="str">
        <f t="shared" si="3"/>
        <v>0</v>
      </c>
    </row>
    <row r="3148">
      <c r="A3148" s="6" t="s">
        <v>4455</v>
      </c>
      <c r="B3148" s="7" t="str">
        <f>HYPERLINK("https://shopee.co.id/JELLYS-Pure-Face-Power-Up-Serum-i.187117294.4951426987", "https://shopee.co.id/JELLYS-Pure-Face-Power-Up-Serum-i.187117294.4951426987")</f>
        <v>https://shopee.co.id/JELLYS-Pure-Face-Power-Up-Serum-i.187117294.4951426987</v>
      </c>
      <c r="C3148" s="6" t="s">
        <v>1343</v>
      </c>
      <c r="D3148" s="6" t="s">
        <v>2366</v>
      </c>
      <c r="E3148" s="6" t="s">
        <v>12</v>
      </c>
      <c r="F3148" s="6" t="s">
        <v>13</v>
      </c>
      <c r="G3148" s="6" t="s">
        <v>469</v>
      </c>
      <c r="H3148" s="8" t="s">
        <v>3981</v>
      </c>
      <c r="I3148" s="9">
        <v>0.0</v>
      </c>
      <c r="J3148" s="5" t="str">
        <f t="shared" ref="J3148:K3148" si="3148">SUBSTITUTE(H3148, ",", "")</f>
        <v>0</v>
      </c>
      <c r="K3148" s="5" t="str">
        <f t="shared" si="3148"/>
        <v>Rp0</v>
      </c>
      <c r="L3148" s="5" t="str">
        <f t="shared" si="3"/>
        <v>0</v>
      </c>
    </row>
    <row r="3149">
      <c r="A3149" s="6" t="s">
        <v>4456</v>
      </c>
      <c r="B3149" s="7" t="str">
        <f>HYPERLINK("https://shopee.co.id/Joylab-Skin-o-tic-Water-Essence-50ml-i.10689.4032188677", "https://shopee.co.id/Joylab-Skin-o-tic-Water-Essence-50ml-i.10689.4032188677")</f>
        <v>https://shopee.co.id/Joylab-Skin-o-tic-Water-Essence-50ml-i.10689.4032188677</v>
      </c>
      <c r="C3149" s="6" t="s">
        <v>1795</v>
      </c>
      <c r="D3149" s="6" t="s">
        <v>745</v>
      </c>
      <c r="E3149" s="6" t="s">
        <v>12</v>
      </c>
      <c r="F3149" s="6" t="s">
        <v>13</v>
      </c>
      <c r="G3149" s="6" t="s">
        <v>61</v>
      </c>
      <c r="H3149" s="8" t="s">
        <v>3981</v>
      </c>
      <c r="I3149" s="9">
        <v>0.0</v>
      </c>
      <c r="J3149" s="5" t="str">
        <f t="shared" ref="J3149:K3149" si="3149">SUBSTITUTE(H3149, ",", "")</f>
        <v>0</v>
      </c>
      <c r="K3149" s="5" t="str">
        <f t="shared" si="3149"/>
        <v>Rp0</v>
      </c>
      <c r="L3149" s="5" t="str">
        <f t="shared" si="3"/>
        <v>0</v>
      </c>
    </row>
    <row r="3150">
      <c r="A3150" s="6" t="s">
        <v>4457</v>
      </c>
      <c r="B3150" s="7" t="str">
        <f>HYPERLINK("https://shopee.co.id/Joylab-Skinotic-Water-Essence-50ml-i.30736001.6387999196", "https://shopee.co.id/Joylab-Skinotic-Water-Essence-50ml-i.30736001.6387999196")</f>
        <v>https://shopee.co.id/Joylab-Skinotic-Water-Essence-50ml-i.30736001.6387999196</v>
      </c>
      <c r="C3150" s="6" t="s">
        <v>1795</v>
      </c>
      <c r="D3150" s="6" t="s">
        <v>335</v>
      </c>
      <c r="E3150" s="6" t="s">
        <v>12</v>
      </c>
      <c r="F3150" s="6" t="s">
        <v>13</v>
      </c>
      <c r="G3150" s="6" t="s">
        <v>36</v>
      </c>
      <c r="H3150" s="8" t="s">
        <v>3981</v>
      </c>
      <c r="I3150" s="9">
        <v>0.0</v>
      </c>
      <c r="J3150" s="5" t="str">
        <f t="shared" ref="J3150:K3150" si="3150">SUBSTITUTE(H3150, ",", "")</f>
        <v>0</v>
      </c>
      <c r="K3150" s="5" t="str">
        <f t="shared" si="3150"/>
        <v>Rp0</v>
      </c>
      <c r="L3150" s="5" t="str">
        <f t="shared" si="3"/>
        <v>0</v>
      </c>
    </row>
    <row r="3151">
      <c r="A3151" s="6" t="s">
        <v>4458</v>
      </c>
      <c r="B3151" s="7" t="str">
        <f>HYPERLINK("https://shopee.co.id/KANEBO-Illuminating-Serum-50ml-i.169111593.3113918868", "https://shopee.co.id/KANEBO-Illuminating-Serum-50ml-i.169111593.3113918868")</f>
        <v>https://shopee.co.id/KANEBO-Illuminating-Serum-50ml-i.169111593.3113918868</v>
      </c>
      <c r="C3151" s="6" t="s">
        <v>1473</v>
      </c>
      <c r="D3151" s="6" t="s">
        <v>1474</v>
      </c>
      <c r="E3151" s="6" t="s">
        <v>12</v>
      </c>
      <c r="F3151" s="6" t="s">
        <v>13</v>
      </c>
      <c r="G3151" s="6" t="s">
        <v>532</v>
      </c>
      <c r="H3151" s="8" t="s">
        <v>3981</v>
      </c>
      <c r="I3151" s="9">
        <v>0.0</v>
      </c>
      <c r="J3151" s="5" t="str">
        <f t="shared" ref="J3151:K3151" si="3151">SUBSTITUTE(H3151, ",", "")</f>
        <v>0</v>
      </c>
      <c r="K3151" s="5" t="str">
        <f t="shared" si="3151"/>
        <v>Rp0</v>
      </c>
      <c r="L3151" s="5" t="str">
        <f t="shared" si="3"/>
        <v>0</v>
      </c>
    </row>
    <row r="3152">
      <c r="A3152" s="6" t="s">
        <v>4459</v>
      </c>
      <c r="B3152" s="7" t="str">
        <f>HYPERLINK("https://shopee.co.id/Kerastase-8H-Magic-Night-Serum-90-Ml-i.239487385.6822336390", "https://shopee.co.id/Kerastase-8H-Magic-Night-Serum-90-Ml-i.239487385.6822336390")</f>
        <v>https://shopee.co.id/Kerastase-8H-Magic-Night-Serum-90-Ml-i.239487385.6822336390</v>
      </c>
      <c r="C3152" s="6" t="s">
        <v>2560</v>
      </c>
      <c r="D3152" s="6" t="s">
        <v>4460</v>
      </c>
      <c r="E3152" s="6" t="s">
        <v>12</v>
      </c>
      <c r="F3152" s="6" t="s">
        <v>13</v>
      </c>
      <c r="G3152" s="6" t="s">
        <v>1480</v>
      </c>
      <c r="H3152" s="8" t="s">
        <v>3981</v>
      </c>
      <c r="I3152" s="9">
        <v>0.0</v>
      </c>
      <c r="J3152" s="5" t="str">
        <f t="shared" ref="J3152:K3152" si="3152">SUBSTITUTE(H3152, ",", "")</f>
        <v>0</v>
      </c>
      <c r="K3152" s="5" t="str">
        <f t="shared" si="3152"/>
        <v>Rp0</v>
      </c>
      <c r="L3152" s="5" t="str">
        <f t="shared" si="3"/>
        <v>0</v>
      </c>
    </row>
    <row r="3153">
      <c r="A3153" s="6" t="s">
        <v>4461</v>
      </c>
      <c r="B3153" s="7" t="str">
        <f>HYPERLINK("https://shopee.co.id/Kerastase-8H-Magic-Night-Serum-90ml-Serum-Rambut-Malam-Hari-i.252376370.4456992169", "https://shopee.co.id/Kerastase-8H-Magic-Night-Serum-90ml-Serum-Rambut-Malam-Hari-i.252376370.4456992169")</f>
        <v>https://shopee.co.id/Kerastase-8H-Magic-Night-Serum-90ml-Serum-Rambut-Malam-Hari-i.252376370.4456992169</v>
      </c>
      <c r="C3153" s="6" t="s">
        <v>2560</v>
      </c>
      <c r="D3153" s="6" t="s">
        <v>2561</v>
      </c>
      <c r="E3153" s="6" t="s">
        <v>12</v>
      </c>
      <c r="F3153" s="6" t="s">
        <v>13</v>
      </c>
      <c r="G3153" s="6" t="s">
        <v>1480</v>
      </c>
      <c r="H3153" s="8" t="s">
        <v>3981</v>
      </c>
      <c r="I3153" s="9">
        <v>0.0</v>
      </c>
      <c r="J3153" s="5" t="str">
        <f t="shared" ref="J3153:K3153" si="3153">SUBSTITUTE(H3153, ",", "")</f>
        <v>0</v>
      </c>
      <c r="K3153" s="5" t="str">
        <f t="shared" si="3153"/>
        <v>Rp0</v>
      </c>
      <c r="L3153" s="5" t="str">
        <f t="shared" si="3"/>
        <v>0</v>
      </c>
    </row>
    <row r="3154">
      <c r="A3154" s="6" t="s">
        <v>4462</v>
      </c>
      <c r="B3154" s="7" t="str">
        <f>HYPERLINK("https://shopee.co.id/Kerastase-Chronologiste-Parfum-100ml-Serum-Rambut-Anti-Penuaan-i.252376370.4457427892", "https://shopee.co.id/Kerastase-Chronologiste-Parfum-100ml-Serum-Rambut-Anti-Penuaan-i.252376370.4457427892")</f>
        <v>https://shopee.co.id/Kerastase-Chronologiste-Parfum-100ml-Serum-Rambut-Anti-Penuaan-i.252376370.4457427892</v>
      </c>
      <c r="C3154" s="6" t="s">
        <v>2560</v>
      </c>
      <c r="D3154" s="6" t="s">
        <v>2561</v>
      </c>
      <c r="E3154" s="6" t="s">
        <v>12</v>
      </c>
      <c r="F3154" s="6" t="s">
        <v>13</v>
      </c>
      <c r="G3154" s="6" t="s">
        <v>1480</v>
      </c>
      <c r="H3154" s="8" t="s">
        <v>3981</v>
      </c>
      <c r="I3154" s="9">
        <v>0.0</v>
      </c>
      <c r="J3154" s="5" t="str">
        <f t="shared" ref="J3154:K3154" si="3154">SUBSTITUTE(H3154, ",", "")</f>
        <v>0</v>
      </c>
      <c r="K3154" s="5" t="str">
        <f t="shared" si="3154"/>
        <v>Rp0</v>
      </c>
      <c r="L3154" s="5" t="str">
        <f t="shared" si="3"/>
        <v>0</v>
      </c>
    </row>
    <row r="3155">
      <c r="A3155" s="6" t="s">
        <v>4463</v>
      </c>
      <c r="B3155" s="7" t="str">
        <f>HYPERLINK("https://shopee.co.id/Kerastase-Lait-Vital-200ml-Kondisioner-Rambut-Kering-i.252376370.7486699282", "https://shopee.co.id/Kerastase-Lait-Vital-200ml-Kondisioner-Rambut-Kering-i.252376370.7486699282")</f>
        <v>https://shopee.co.id/Kerastase-Lait-Vital-200ml-Kondisioner-Rambut-Kering-i.252376370.7486699282</v>
      </c>
      <c r="C3155" s="6" t="s">
        <v>2560</v>
      </c>
      <c r="D3155" s="6" t="s">
        <v>2561</v>
      </c>
      <c r="E3155" s="6" t="s">
        <v>12</v>
      </c>
      <c r="F3155" s="6" t="s">
        <v>13</v>
      </c>
      <c r="G3155" s="6" t="s">
        <v>1480</v>
      </c>
      <c r="H3155" s="8" t="s">
        <v>3981</v>
      </c>
      <c r="I3155" s="9">
        <v>0.0</v>
      </c>
      <c r="J3155" s="5" t="str">
        <f t="shared" ref="J3155:K3155" si="3155">SUBSTITUTE(H3155, ",", "")</f>
        <v>0</v>
      </c>
      <c r="K3155" s="5" t="str">
        <f t="shared" si="3155"/>
        <v>Rp0</v>
      </c>
      <c r="L3155" s="5" t="str">
        <f t="shared" si="3"/>
        <v>0</v>
      </c>
    </row>
    <row r="3156">
      <c r="A3156" s="6" t="s">
        <v>4464</v>
      </c>
      <c r="B3156" s="7" t="str">
        <f>HYPERLINK("https://shopee.co.id/KEZIA-Skincare-Serum-Whitening-15ml-Packaging-Lama--i.193506655.5739507360", "https://shopee.co.id/KEZIA-Skincare-Serum-Whitening-15ml-Packaging-Lama--i.193506655.5739507360")</f>
        <v>https://shopee.co.id/KEZIA-Skincare-Serum-Whitening-15ml-Packaging-Lama--i.193506655.5739507360</v>
      </c>
      <c r="C3156" s="6" t="s">
        <v>2762</v>
      </c>
      <c r="D3156" s="6" t="s">
        <v>2763</v>
      </c>
      <c r="E3156" s="6" t="s">
        <v>12</v>
      </c>
      <c r="F3156" s="6" t="s">
        <v>13</v>
      </c>
      <c r="G3156" s="6" t="s">
        <v>532</v>
      </c>
      <c r="H3156" s="8" t="s">
        <v>3981</v>
      </c>
      <c r="I3156" s="9">
        <v>0.0</v>
      </c>
      <c r="J3156" s="5" t="str">
        <f t="shared" ref="J3156:K3156" si="3156">SUBSTITUTE(H3156, ",", "")</f>
        <v>0</v>
      </c>
      <c r="K3156" s="5" t="str">
        <f t="shared" si="3156"/>
        <v>Rp0</v>
      </c>
      <c r="L3156" s="5" t="str">
        <f t="shared" si="3"/>
        <v>0</v>
      </c>
    </row>
    <row r="3157">
      <c r="A3157" s="6" t="s">
        <v>4465</v>
      </c>
      <c r="B3157" s="7" t="str">
        <f>HYPERLINK("https://shopee.co.id/Kiehl-s-Calendula-Serum-Infused-Water-Cream-28ml-i.825870.7255187960", "https://shopee.co.id/Kiehl-s-Calendula-Serum-Infused-Water-Cream-28ml-i.825870.7255187960")</f>
        <v>https://shopee.co.id/Kiehl-s-Calendula-Serum-Infused-Water-Cream-28ml-i.825870.7255187960</v>
      </c>
      <c r="C3157" s="6" t="s">
        <v>2964</v>
      </c>
      <c r="D3157" s="6" t="s">
        <v>1184</v>
      </c>
      <c r="E3157" s="6" t="s">
        <v>12</v>
      </c>
      <c r="F3157" s="6" t="s">
        <v>13</v>
      </c>
      <c r="G3157" s="6" t="s">
        <v>21</v>
      </c>
      <c r="H3157" s="8" t="s">
        <v>3981</v>
      </c>
      <c r="I3157" s="9">
        <v>0.0</v>
      </c>
      <c r="J3157" s="5" t="str">
        <f t="shared" ref="J3157:K3157" si="3157">SUBSTITUTE(H3157, ",", "")</f>
        <v>0</v>
      </c>
      <c r="K3157" s="5" t="str">
        <f t="shared" si="3157"/>
        <v>Rp0</v>
      </c>
      <c r="L3157" s="5" t="str">
        <f t="shared" si="3"/>
        <v>0</v>
      </c>
    </row>
    <row r="3158">
      <c r="A3158" s="6" t="s">
        <v>4466</v>
      </c>
      <c r="B3158" s="7" t="str">
        <f>HYPERLINK("https://shopee.co.id/Kiehl-s-Clearly-Corrective-Dark-Spot-Solution-15ml-i.825870.8283539664", "https://shopee.co.id/Kiehl-s-Clearly-Corrective-Dark-Spot-Solution-15ml-i.825870.8283539664")</f>
        <v>https://shopee.co.id/Kiehl-s-Clearly-Corrective-Dark-Spot-Solution-15ml-i.825870.8283539664</v>
      </c>
      <c r="C3158" s="6" t="s">
        <v>2964</v>
      </c>
      <c r="D3158" s="6" t="s">
        <v>1184</v>
      </c>
      <c r="E3158" s="6" t="s">
        <v>12</v>
      </c>
      <c r="F3158" s="6" t="s">
        <v>13</v>
      </c>
      <c r="G3158" s="6" t="s">
        <v>21</v>
      </c>
      <c r="H3158" s="8" t="s">
        <v>3981</v>
      </c>
      <c r="I3158" s="9">
        <v>0.0</v>
      </c>
      <c r="J3158" s="5" t="str">
        <f t="shared" ref="J3158:K3158" si="3158">SUBSTITUTE(H3158, ",", "")</f>
        <v>0</v>
      </c>
      <c r="K3158" s="5" t="str">
        <f t="shared" si="3158"/>
        <v>Rp0</v>
      </c>
      <c r="L3158" s="5" t="str">
        <f t="shared" si="3"/>
        <v>0</v>
      </c>
    </row>
    <row r="3159">
      <c r="A3159" s="6" t="s">
        <v>4467</v>
      </c>
      <c r="B3159" s="7" t="str">
        <f>HYPERLINK("https://shopee.co.id/Kiehl-s-Clearly-Corrective-Dark-Spot-Solution-30ml-i.825870.1156731296", "https://shopee.co.id/Kiehl-s-Clearly-Corrective-Dark-Spot-Solution-30ml-i.825870.1156731296")</f>
        <v>https://shopee.co.id/Kiehl-s-Clearly-Corrective-Dark-Spot-Solution-30ml-i.825870.1156731296</v>
      </c>
      <c r="C3159" s="6" t="s">
        <v>2964</v>
      </c>
      <c r="D3159" s="6" t="s">
        <v>1184</v>
      </c>
      <c r="E3159" s="6" t="s">
        <v>12</v>
      </c>
      <c r="F3159" s="6" t="s">
        <v>13</v>
      </c>
      <c r="G3159" s="6" t="s">
        <v>21</v>
      </c>
      <c r="H3159" s="8" t="s">
        <v>3981</v>
      </c>
      <c r="I3159" s="9">
        <v>0.0</v>
      </c>
      <c r="J3159" s="5" t="str">
        <f t="shared" ref="J3159:K3159" si="3159">SUBSTITUTE(H3159, ",", "")</f>
        <v>0</v>
      </c>
      <c r="K3159" s="5" t="str">
        <f t="shared" si="3159"/>
        <v>Rp0</v>
      </c>
      <c r="L3159" s="5" t="str">
        <f t="shared" si="3"/>
        <v>0</v>
      </c>
    </row>
    <row r="3160">
      <c r="A3160" s="6" t="s">
        <v>4468</v>
      </c>
      <c r="B3160" s="7" t="str">
        <f>HYPERLINK("https://shopee.co.id/Kiehl-s-Daily-Reviving-Concentrate-30ml-i.825870.1054307534", "https://shopee.co.id/Kiehl-s-Daily-Reviving-Concentrate-30ml-i.825870.1054307534")</f>
        <v>https://shopee.co.id/Kiehl-s-Daily-Reviving-Concentrate-30ml-i.825870.1054307534</v>
      </c>
      <c r="C3160" s="6" t="s">
        <v>2964</v>
      </c>
      <c r="D3160" s="6" t="s">
        <v>1184</v>
      </c>
      <c r="E3160" s="6" t="s">
        <v>12</v>
      </c>
      <c r="F3160" s="6" t="s">
        <v>13</v>
      </c>
      <c r="G3160" s="6" t="s">
        <v>98</v>
      </c>
      <c r="H3160" s="8" t="s">
        <v>3981</v>
      </c>
      <c r="I3160" s="9">
        <v>0.0</v>
      </c>
      <c r="J3160" s="5" t="str">
        <f t="shared" ref="J3160:K3160" si="3160">SUBSTITUTE(H3160, ",", "")</f>
        <v>0</v>
      </c>
      <c r="K3160" s="5" t="str">
        <f t="shared" si="3160"/>
        <v>Rp0</v>
      </c>
      <c r="L3160" s="5" t="str">
        <f t="shared" si="3"/>
        <v>0</v>
      </c>
    </row>
    <row r="3161">
      <c r="A3161" s="6" t="s">
        <v>4469</v>
      </c>
      <c r="B3161" s="7" t="str">
        <f>HYPERLINK("https://shopee.co.id/Kiehl-s-Iris-Extract-Activating-Essence-200ml-i.825870.1151787511", "https://shopee.co.id/Kiehl-s-Iris-Extract-Activating-Essence-200ml-i.825870.1151787511")</f>
        <v>https://shopee.co.id/Kiehl-s-Iris-Extract-Activating-Essence-200ml-i.825870.1151787511</v>
      </c>
      <c r="C3161" s="6" t="s">
        <v>2964</v>
      </c>
      <c r="D3161" s="6" t="s">
        <v>1184</v>
      </c>
      <c r="E3161" s="6" t="s">
        <v>12</v>
      </c>
      <c r="F3161" s="6" t="s">
        <v>13</v>
      </c>
      <c r="G3161" s="6" t="s">
        <v>21</v>
      </c>
      <c r="H3161" s="8" t="s">
        <v>3981</v>
      </c>
      <c r="I3161" s="9">
        <v>0.0</v>
      </c>
      <c r="J3161" s="5" t="str">
        <f t="shared" ref="J3161:K3161" si="3161">SUBSTITUTE(H3161, ",", "")</f>
        <v>0</v>
      </c>
      <c r="K3161" s="5" t="str">
        <f t="shared" si="3161"/>
        <v>Rp0</v>
      </c>
      <c r="L3161" s="5" t="str">
        <f t="shared" si="3"/>
        <v>0</v>
      </c>
    </row>
    <row r="3162">
      <c r="A3162" s="6" t="s">
        <v>4470</v>
      </c>
      <c r="B3162" s="7" t="str">
        <f>HYPERLINK("https://shopee.co.id/Kiehl-s-Midnight-Recovery-Concentrate-30ml-WB-i.825870.134997134", "https://shopee.co.id/Kiehl-s-Midnight-Recovery-Concentrate-30ml-WB-i.825870.134997134")</f>
        <v>https://shopee.co.id/Kiehl-s-Midnight-Recovery-Concentrate-30ml-WB-i.825870.134997134</v>
      </c>
      <c r="C3162" s="6" t="s">
        <v>2964</v>
      </c>
      <c r="D3162" s="6" t="s">
        <v>1184</v>
      </c>
      <c r="E3162" s="6" t="s">
        <v>12</v>
      </c>
      <c r="F3162" s="6" t="s">
        <v>13</v>
      </c>
      <c r="G3162" s="6" t="s">
        <v>98</v>
      </c>
      <c r="H3162" s="8" t="s">
        <v>3981</v>
      </c>
      <c r="I3162" s="9">
        <v>0.0</v>
      </c>
      <c r="J3162" s="5" t="str">
        <f t="shared" ref="J3162:K3162" si="3162">SUBSTITUTE(H3162, ",", "")</f>
        <v>0</v>
      </c>
      <c r="K3162" s="5" t="str">
        <f t="shared" si="3162"/>
        <v>Rp0</v>
      </c>
      <c r="L3162" s="5" t="str">
        <f t="shared" si="3"/>
        <v>0</v>
      </c>
    </row>
    <row r="3163">
      <c r="A3163" s="6" t="s">
        <v>4471</v>
      </c>
      <c r="B3163" s="7" t="str">
        <f>HYPERLINK("https://shopee.co.id/Kiehl-s-Nightly-Refining-Micro-Peel-30ml-i.825870.1605132911", "https://shopee.co.id/Kiehl-s-Nightly-Refining-Micro-Peel-30ml-i.825870.1605132911")</f>
        <v>https://shopee.co.id/Kiehl-s-Nightly-Refining-Micro-Peel-30ml-i.825870.1605132911</v>
      </c>
      <c r="C3163" s="6" t="s">
        <v>2964</v>
      </c>
      <c r="D3163" s="6" t="s">
        <v>1184</v>
      </c>
      <c r="E3163" s="6" t="s">
        <v>12</v>
      </c>
      <c r="F3163" s="6" t="s">
        <v>13</v>
      </c>
      <c r="G3163" s="6" t="s">
        <v>21</v>
      </c>
      <c r="H3163" s="8" t="s">
        <v>3981</v>
      </c>
      <c r="I3163" s="9">
        <v>0.0</v>
      </c>
      <c r="J3163" s="5" t="str">
        <f t="shared" ref="J3163:K3163" si="3163">SUBSTITUTE(H3163, ",", "")</f>
        <v>0</v>
      </c>
      <c r="K3163" s="5" t="str">
        <f t="shared" si="3163"/>
        <v>Rp0</v>
      </c>
      <c r="L3163" s="5" t="str">
        <f t="shared" si="3"/>
        <v>0</v>
      </c>
    </row>
    <row r="3164">
      <c r="A3164" s="6" t="s">
        <v>4472</v>
      </c>
      <c r="B3164" s="7" t="str">
        <f>HYPERLINK("https://shopee.co.id/Kiehl-s-Powerful-Strength-Line-Reducing-50ml-i.825870.1429665881", "https://shopee.co.id/Kiehl-s-Powerful-Strength-Line-Reducing-50ml-i.825870.1429665881")</f>
        <v>https://shopee.co.id/Kiehl-s-Powerful-Strength-Line-Reducing-50ml-i.825870.1429665881</v>
      </c>
      <c r="C3164" s="6" t="s">
        <v>2964</v>
      </c>
      <c r="D3164" s="6" t="s">
        <v>1184</v>
      </c>
      <c r="E3164" s="6" t="s">
        <v>12</v>
      </c>
      <c r="F3164" s="6" t="s">
        <v>13</v>
      </c>
      <c r="G3164" s="6" t="s">
        <v>21</v>
      </c>
      <c r="H3164" s="8" t="s">
        <v>3981</v>
      </c>
      <c r="I3164" s="9">
        <v>0.0</v>
      </c>
      <c r="J3164" s="5" t="str">
        <f t="shared" ref="J3164:K3164" si="3164">SUBSTITUTE(H3164, ",", "")</f>
        <v>0</v>
      </c>
      <c r="K3164" s="5" t="str">
        <f t="shared" si="3164"/>
        <v>Rp0</v>
      </c>
      <c r="L3164" s="5" t="str">
        <f t="shared" si="3"/>
        <v>0</v>
      </c>
    </row>
    <row r="3165">
      <c r="A3165" s="6" t="s">
        <v>4473</v>
      </c>
      <c r="B3165" s="7" t="str">
        <f>HYPERLINK("https://shopee.co.id/KIEHLS-Vital-Skin-Strengthening-Super-Serum-i.68111.3038354759", "https://shopee.co.id/KIEHLS-Vital-Skin-Strengthening-Super-Serum-i.68111.3038354759")</f>
        <v>https://shopee.co.id/KIEHLS-Vital-Skin-Strengthening-Super-Serum-i.68111.3038354759</v>
      </c>
      <c r="C3165" s="6" t="s">
        <v>2964</v>
      </c>
      <c r="D3165" s="6" t="s">
        <v>441</v>
      </c>
      <c r="E3165" s="6" t="s">
        <v>12</v>
      </c>
      <c r="F3165" s="6" t="s">
        <v>13</v>
      </c>
      <c r="G3165" s="6" t="s">
        <v>130</v>
      </c>
      <c r="H3165" s="8" t="s">
        <v>3981</v>
      </c>
      <c r="I3165" s="9">
        <v>0.0</v>
      </c>
      <c r="J3165" s="5" t="str">
        <f t="shared" ref="J3165:K3165" si="3165">SUBSTITUTE(H3165, ",", "")</f>
        <v>0</v>
      </c>
      <c r="K3165" s="5" t="str">
        <f t="shared" si="3165"/>
        <v>Rp0</v>
      </c>
      <c r="L3165" s="5" t="str">
        <f t="shared" si="3"/>
        <v>0</v>
      </c>
    </row>
    <row r="3166">
      <c r="A3166" s="6" t="s">
        <v>4474</v>
      </c>
      <c r="B3166" s="7" t="str">
        <f>HYPERLINK("https://shopee.co.id/Kifa-Adonis-Gold-Serum-with-Gold-Laminaria-Japonica-Extract-Semua-Jenis-Kulit-20-ml-i.307898880.5159440996", "https://shopee.co.id/Kifa-Adonis-Gold-Serum-with-Gold-Laminaria-Japonica-Extract-Semua-Jenis-Kulit-20-ml-i.307898880.5159440996")</f>
        <v>https://shopee.co.id/Kifa-Adonis-Gold-Serum-with-Gold-Laminaria-Japonica-Extract-Semua-Jenis-Kulit-20-ml-i.307898880.5159440996</v>
      </c>
      <c r="C3166" s="6" t="s">
        <v>4475</v>
      </c>
      <c r="D3166" s="6" t="s">
        <v>4476</v>
      </c>
      <c r="E3166" s="6" t="s">
        <v>12</v>
      </c>
      <c r="F3166" s="6" t="s">
        <v>13</v>
      </c>
      <c r="G3166" s="6" t="s">
        <v>98</v>
      </c>
      <c r="H3166" s="8" t="s">
        <v>3981</v>
      </c>
      <c r="I3166" s="9">
        <v>0.0</v>
      </c>
      <c r="J3166" s="5" t="str">
        <f t="shared" ref="J3166:K3166" si="3166">SUBSTITUTE(H3166, ",", "")</f>
        <v>0</v>
      </c>
      <c r="K3166" s="5" t="str">
        <f t="shared" si="3166"/>
        <v>Rp0</v>
      </c>
      <c r="L3166" s="5" t="str">
        <f t="shared" si="3"/>
        <v>0</v>
      </c>
    </row>
    <row r="3167">
      <c r="A3167" s="6" t="s">
        <v>4477</v>
      </c>
      <c r="B3167" s="7" t="str">
        <f>HYPERLINK("https://shopee.co.id/KKV-CORSX-Mela-14-White-Ampule-20-ml-i.261911729.3441646455", "https://shopee.co.id/KKV-CORSX-Mela-14-White-Ampule-20-ml-i.261911729.3441646455")</f>
        <v>https://shopee.co.id/KKV-CORSX-Mela-14-White-Ampule-20-ml-i.261911729.3441646455</v>
      </c>
      <c r="C3167" s="6" t="s">
        <v>305</v>
      </c>
      <c r="D3167" s="6" t="s">
        <v>1485</v>
      </c>
      <c r="E3167" s="6" t="s">
        <v>12</v>
      </c>
      <c r="F3167" s="6" t="s">
        <v>13</v>
      </c>
      <c r="G3167" s="6" t="s">
        <v>61</v>
      </c>
      <c r="H3167" s="8" t="s">
        <v>3981</v>
      </c>
      <c r="I3167" s="9">
        <v>0.0</v>
      </c>
      <c r="J3167" s="5" t="str">
        <f t="shared" ref="J3167:K3167" si="3167">SUBSTITUTE(H3167, ",", "")</f>
        <v>0</v>
      </c>
      <c r="K3167" s="5" t="str">
        <f t="shared" si="3167"/>
        <v>Rp0</v>
      </c>
      <c r="L3167" s="5" t="str">
        <f t="shared" si="3"/>
        <v>0</v>
      </c>
    </row>
    <row r="3168">
      <c r="A3168" s="6" t="s">
        <v>4478</v>
      </c>
      <c r="B3168" s="7" t="str">
        <f>HYPERLINK("https://shopee.co.id/KKV-Everwhite-Brightening-Essence-Serum-15g-i.261911729.6989174897", "https://shopee.co.id/KKV-Everwhite-Brightening-Essence-Serum-15g-i.261911729.6989174897")</f>
        <v>https://shopee.co.id/KKV-Everwhite-Brightening-Essence-Serum-15g-i.261911729.6989174897</v>
      </c>
      <c r="C3168" s="6" t="s">
        <v>157</v>
      </c>
      <c r="D3168" s="6" t="s">
        <v>1485</v>
      </c>
      <c r="E3168" s="6" t="s">
        <v>12</v>
      </c>
      <c r="F3168" s="6" t="s">
        <v>13</v>
      </c>
      <c r="G3168" s="6" t="s">
        <v>21</v>
      </c>
      <c r="H3168" s="8" t="s">
        <v>3981</v>
      </c>
      <c r="I3168" s="9">
        <v>0.0</v>
      </c>
      <c r="J3168" s="5" t="str">
        <f t="shared" ref="J3168:K3168" si="3168">SUBSTITUTE(H3168, ",", "")</f>
        <v>0</v>
      </c>
      <c r="K3168" s="5" t="str">
        <f t="shared" si="3168"/>
        <v>Rp0</v>
      </c>
      <c r="L3168" s="5" t="str">
        <f t="shared" si="3"/>
        <v>0</v>
      </c>
    </row>
    <row r="3169">
      <c r="A3169" s="6" t="s">
        <v>4479</v>
      </c>
      <c r="B3169" s="7" t="str">
        <f>HYPERLINK("https://shopee.co.id/KKV-Holika-Holika-One-Solution-Ampoule-Brightening-30ml-Serum-Wajah-Nutrisi-Wajah-i.261911729.6241536938", "https://shopee.co.id/KKV-Holika-Holika-One-Solution-Ampoule-Brightening-30ml-Serum-Wajah-Nutrisi-Wajah-i.261911729.6241536938")</f>
        <v>https://shopee.co.id/KKV-Holika-Holika-One-Solution-Ampoule-Brightening-30ml-Serum-Wajah-Nutrisi-Wajah-i.261911729.6241536938</v>
      </c>
      <c r="C3169" s="6" t="s">
        <v>2265</v>
      </c>
      <c r="D3169" s="6" t="s">
        <v>1485</v>
      </c>
      <c r="E3169" s="6" t="s">
        <v>12</v>
      </c>
      <c r="F3169" s="6" t="s">
        <v>13</v>
      </c>
      <c r="G3169" s="6" t="s">
        <v>61</v>
      </c>
      <c r="H3169" s="8" t="s">
        <v>3981</v>
      </c>
      <c r="I3169" s="9">
        <v>0.0</v>
      </c>
      <c r="J3169" s="5" t="str">
        <f t="shared" ref="J3169:K3169" si="3169">SUBSTITUTE(H3169, ",", "")</f>
        <v>0</v>
      </c>
      <c r="K3169" s="5" t="str">
        <f t="shared" si="3169"/>
        <v>Rp0</v>
      </c>
      <c r="L3169" s="5" t="str">
        <f t="shared" si="3"/>
        <v>0</v>
      </c>
    </row>
    <row r="3170">
      <c r="A3170" s="6" t="s">
        <v>4480</v>
      </c>
      <c r="B3170" s="7" t="str">
        <f>HYPERLINK("https://shopee.co.id/KKV-Holika-Holika-One-Solution-Ampoule-Firming-Serum-i.313431312.7559566447", "https://shopee.co.id/KKV-Holika-Holika-One-Solution-Ampoule-Firming-Serum-i.313431312.7559566447")</f>
        <v>https://shopee.co.id/KKV-Holika-Holika-One-Solution-Ampoule-Firming-Serum-i.313431312.7559566447</v>
      </c>
      <c r="C3170" s="6" t="s">
        <v>2265</v>
      </c>
      <c r="D3170" s="6" t="s">
        <v>1524</v>
      </c>
      <c r="E3170" s="6" t="s">
        <v>12</v>
      </c>
      <c r="F3170" s="6" t="s">
        <v>13</v>
      </c>
      <c r="G3170" s="6" t="s">
        <v>61</v>
      </c>
      <c r="H3170" s="8" t="s">
        <v>3981</v>
      </c>
      <c r="I3170" s="9">
        <v>0.0</v>
      </c>
      <c r="J3170" s="5" t="str">
        <f t="shared" ref="J3170:K3170" si="3170">SUBSTITUTE(H3170, ",", "")</f>
        <v>0</v>
      </c>
      <c r="K3170" s="5" t="str">
        <f t="shared" si="3170"/>
        <v>Rp0</v>
      </c>
      <c r="L3170" s="5" t="str">
        <f t="shared" si="3"/>
        <v>0</v>
      </c>
    </row>
    <row r="3171">
      <c r="A3171" s="6" t="s">
        <v>4481</v>
      </c>
      <c r="B3171" s="7" t="str">
        <f>HYPERLINK("https://shopee.co.id/KKV-ITS-Skin-Power-10-Formula-VE-Effector-Serum-Wajah-i.313431312.6062041253", "https://shopee.co.id/KKV-ITS-Skin-Power-10-Formula-VE-Effector-Serum-Wajah-i.313431312.6062041253")</f>
        <v>https://shopee.co.id/KKV-ITS-Skin-Power-10-Formula-VE-Effector-Serum-Wajah-i.313431312.6062041253</v>
      </c>
      <c r="C3171" s="6" t="s">
        <v>4482</v>
      </c>
      <c r="D3171" s="6" t="s">
        <v>1524</v>
      </c>
      <c r="E3171" s="6" t="s">
        <v>12</v>
      </c>
      <c r="F3171" s="6" t="s">
        <v>13</v>
      </c>
      <c r="G3171" s="6" t="s">
        <v>61</v>
      </c>
      <c r="H3171" s="8" t="s">
        <v>3981</v>
      </c>
      <c r="I3171" s="9">
        <v>0.0</v>
      </c>
      <c r="J3171" s="5" t="str">
        <f t="shared" ref="J3171:K3171" si="3171">SUBSTITUTE(H3171, ",", "")</f>
        <v>0</v>
      </c>
      <c r="K3171" s="5" t="str">
        <f t="shared" si="3171"/>
        <v>Rp0</v>
      </c>
      <c r="L3171" s="5" t="str">
        <f t="shared" si="3"/>
        <v>0</v>
      </c>
    </row>
    <row r="3172">
      <c r="A3172" s="6" t="s">
        <v>4483</v>
      </c>
      <c r="B3172" s="7" t="str">
        <f>HYPERLINK("https://shopee.co.id/KKV-ITS-Skin-Power-10-Formula-WH-Effector-30ml-Serum-Wajah-Nutrisi-Wajah-i.261911729.4841543425", "https://shopee.co.id/KKV-ITS-Skin-Power-10-Formula-WH-Effector-30ml-Serum-Wajah-Nutrisi-Wajah-i.261911729.4841543425")</f>
        <v>https://shopee.co.id/KKV-ITS-Skin-Power-10-Formula-WH-Effector-30ml-Serum-Wajah-Nutrisi-Wajah-i.261911729.4841543425</v>
      </c>
      <c r="C3172" s="6" t="s">
        <v>4482</v>
      </c>
      <c r="D3172" s="6" t="s">
        <v>1485</v>
      </c>
      <c r="E3172" s="6" t="s">
        <v>12</v>
      </c>
      <c r="F3172" s="6" t="s">
        <v>13</v>
      </c>
      <c r="G3172" s="6" t="s">
        <v>61</v>
      </c>
      <c r="H3172" s="8" t="s">
        <v>3981</v>
      </c>
      <c r="I3172" s="9">
        <v>0.0</v>
      </c>
      <c r="J3172" s="5" t="str">
        <f t="shared" ref="J3172:K3172" si="3172">SUBSTITUTE(H3172, ",", "")</f>
        <v>0</v>
      </c>
      <c r="K3172" s="5" t="str">
        <f t="shared" si="3172"/>
        <v>Rp0</v>
      </c>
      <c r="L3172" s="5" t="str">
        <f t="shared" si="3"/>
        <v>0</v>
      </c>
    </row>
    <row r="3173">
      <c r="A3173" s="6" t="s">
        <v>4484</v>
      </c>
      <c r="B3173" s="7" t="str">
        <f>HYPERLINK("https://shopee.co.id/KKV-POWER-10-Vitamin-C-Serum-30ML-Serum-Wajah-Nutrisi-Wajah-i.261911729.6341541811", "https://shopee.co.id/KKV-POWER-10-Vitamin-C-Serum-30ML-Serum-Wajah-Nutrisi-Wajah-i.261911729.6341541811")</f>
        <v>https://shopee.co.id/KKV-POWER-10-Vitamin-C-Serum-30ML-Serum-Wajah-Nutrisi-Wajah-i.261911729.6341541811</v>
      </c>
      <c r="C3173" s="6" t="s">
        <v>4485</v>
      </c>
      <c r="D3173" s="6" t="s">
        <v>1485</v>
      </c>
      <c r="E3173" s="6" t="s">
        <v>12</v>
      </c>
      <c r="F3173" s="6" t="s">
        <v>13</v>
      </c>
      <c r="G3173" s="6" t="s">
        <v>61</v>
      </c>
      <c r="H3173" s="8" t="s">
        <v>3981</v>
      </c>
      <c r="I3173" s="9">
        <v>0.0</v>
      </c>
      <c r="J3173" s="5" t="str">
        <f t="shared" ref="J3173:K3173" si="3173">SUBSTITUTE(H3173, ",", "")</f>
        <v>0</v>
      </c>
      <c r="K3173" s="5" t="str">
        <f t="shared" si="3173"/>
        <v>Rp0</v>
      </c>
      <c r="L3173" s="5" t="str">
        <f t="shared" si="3"/>
        <v>0</v>
      </c>
    </row>
    <row r="3174">
      <c r="A3174" s="6" t="s">
        <v>4486</v>
      </c>
      <c r="B3174" s="7" t="str">
        <f>HYPERLINK("https://shopee.co.id/KKV-Smooto-Lemon-C-Snail-Oil-Control-Serum-10g-i.261911729.7743432835", "https://shopee.co.id/KKV-Smooto-Lemon-C-Snail-Oil-Control-Serum-10g-i.261911729.7743432835")</f>
        <v>https://shopee.co.id/KKV-Smooto-Lemon-C-Snail-Oil-Control-Serum-10g-i.261911729.7743432835</v>
      </c>
      <c r="C3174" s="6" t="s">
        <v>2779</v>
      </c>
      <c r="D3174" s="6" t="s">
        <v>1485</v>
      </c>
      <c r="E3174" s="6" t="s">
        <v>12</v>
      </c>
      <c r="F3174" s="6" t="s">
        <v>13</v>
      </c>
      <c r="G3174" s="6" t="s">
        <v>61</v>
      </c>
      <c r="H3174" s="8" t="s">
        <v>3981</v>
      </c>
      <c r="I3174" s="9">
        <v>0.0</v>
      </c>
      <c r="J3174" s="5" t="str">
        <f t="shared" ref="J3174:K3174" si="3174">SUBSTITUTE(H3174, ",", "")</f>
        <v>0</v>
      </c>
      <c r="K3174" s="5" t="str">
        <f t="shared" si="3174"/>
        <v>Rp0</v>
      </c>
      <c r="L3174" s="5" t="str">
        <f t="shared" si="3"/>
        <v>0</v>
      </c>
    </row>
    <row r="3175">
      <c r="A3175" s="6" t="s">
        <v>4487</v>
      </c>
      <c r="B3175" s="7" t="str">
        <f>HYPERLINK("https://shopee.co.id/KKV-SOMETHINC-10-Niacinamide-Moisture-Sabi-Beet-Max-Brightening-Serum-Skincare-20ml-i.261911729.8848502206", "https://shopee.co.id/KKV-SOMETHINC-10-Niacinamide-Moisture-Sabi-Beet-Max-Brightening-Serum-Skincare-20ml-i.261911729.8848502206")</f>
        <v>https://shopee.co.id/KKV-SOMETHINC-10-Niacinamide-Moisture-Sabi-Beet-Max-Brightening-Serum-Skincare-20ml-i.261911729.8848502206</v>
      </c>
      <c r="C3175" s="6" t="s">
        <v>45</v>
      </c>
      <c r="D3175" s="6" t="s">
        <v>1485</v>
      </c>
      <c r="E3175" s="6" t="s">
        <v>12</v>
      </c>
      <c r="F3175" s="6" t="s">
        <v>13</v>
      </c>
      <c r="G3175" s="6" t="s">
        <v>61</v>
      </c>
      <c r="H3175" s="8" t="s">
        <v>3981</v>
      </c>
      <c r="I3175" s="9">
        <v>0.0</v>
      </c>
      <c r="J3175" s="5" t="str">
        <f t="shared" ref="J3175:K3175" si="3175">SUBSTITUTE(H3175, ",", "")</f>
        <v>0</v>
      </c>
      <c r="K3175" s="5" t="str">
        <f t="shared" si="3175"/>
        <v>Rp0</v>
      </c>
      <c r="L3175" s="5" t="str">
        <f t="shared" si="3"/>
        <v>0</v>
      </c>
    </row>
    <row r="3176">
      <c r="A3176" s="6" t="s">
        <v>4488</v>
      </c>
      <c r="B3176" s="7" t="str">
        <f>HYPERLINK("https://shopee.co.id/KKV-SOMETHINC-5-Niacinamide-Moisture-Sabi-Beet-Serum-Skincare-20ml-i.261911729.8848495978", "https://shopee.co.id/KKV-SOMETHINC-5-Niacinamide-Moisture-Sabi-Beet-Serum-Skincare-20ml-i.261911729.8848495978")</f>
        <v>https://shopee.co.id/KKV-SOMETHINC-5-Niacinamide-Moisture-Sabi-Beet-Serum-Skincare-20ml-i.261911729.8848495978</v>
      </c>
      <c r="C3176" s="6" t="s">
        <v>45</v>
      </c>
      <c r="D3176" s="6" t="s">
        <v>1485</v>
      </c>
      <c r="E3176" s="6" t="s">
        <v>12</v>
      </c>
      <c r="F3176" s="6" t="s">
        <v>13</v>
      </c>
      <c r="G3176" s="6" t="s">
        <v>61</v>
      </c>
      <c r="H3176" s="8" t="s">
        <v>3981</v>
      </c>
      <c r="I3176" s="9">
        <v>0.0</v>
      </c>
      <c r="J3176" s="5" t="str">
        <f t="shared" ref="J3176:K3176" si="3176">SUBSTITUTE(H3176, ",", "")</f>
        <v>0</v>
      </c>
      <c r="K3176" s="5" t="str">
        <f t="shared" si="3176"/>
        <v>Rp0</v>
      </c>
      <c r="L3176" s="5" t="str">
        <f t="shared" si="3"/>
        <v>0</v>
      </c>
    </row>
    <row r="3177">
      <c r="A3177" s="6" t="s">
        <v>4489</v>
      </c>
      <c r="B3177" s="7" t="str">
        <f>HYPERLINK("https://shopee.co.id/KKV-SOMETHINC-Hyaluronic-B5-Serum-Skincare-20ml-i.261911729.2950140805", "https://shopee.co.id/KKV-SOMETHINC-Hyaluronic-B5-Serum-Skincare-20ml-i.261911729.2950140805")</f>
        <v>https://shopee.co.id/KKV-SOMETHINC-Hyaluronic-B5-Serum-Skincare-20ml-i.261911729.2950140805</v>
      </c>
      <c r="C3177" s="6" t="s">
        <v>45</v>
      </c>
      <c r="D3177" s="6" t="s">
        <v>1485</v>
      </c>
      <c r="E3177" s="6" t="s">
        <v>12</v>
      </c>
      <c r="F3177" s="6" t="s">
        <v>13</v>
      </c>
      <c r="G3177" s="6" t="s">
        <v>61</v>
      </c>
      <c r="H3177" s="8" t="s">
        <v>3981</v>
      </c>
      <c r="I3177" s="9">
        <v>0.0</v>
      </c>
      <c r="J3177" s="5" t="str">
        <f t="shared" ref="J3177:K3177" si="3177">SUBSTITUTE(H3177, ",", "")</f>
        <v>0</v>
      </c>
      <c r="K3177" s="5" t="str">
        <f t="shared" si="3177"/>
        <v>Rp0</v>
      </c>
      <c r="L3177" s="5" t="str">
        <f t="shared" si="3"/>
        <v>0</v>
      </c>
    </row>
    <row r="3178">
      <c r="A3178" s="6" t="s">
        <v>4490</v>
      </c>
      <c r="B3178" s="7" t="str">
        <f>HYPERLINK("https://shopee.co.id/Klairs-Freshly-Juiced-Vitamin-Drop-35ml-i.825870.1844956965", "https://shopee.co.id/Klairs-Freshly-Juiced-Vitamin-Drop-35ml-i.825870.1844956965")</f>
        <v>https://shopee.co.id/Klairs-Freshly-Juiced-Vitamin-Drop-35ml-i.825870.1844956965</v>
      </c>
      <c r="C3178" s="6" t="s">
        <v>432</v>
      </c>
      <c r="D3178" s="6" t="s">
        <v>1184</v>
      </c>
      <c r="E3178" s="6" t="s">
        <v>12</v>
      </c>
      <c r="F3178" s="6" t="s">
        <v>13</v>
      </c>
      <c r="G3178" s="6" t="s">
        <v>21</v>
      </c>
      <c r="H3178" s="8" t="s">
        <v>3981</v>
      </c>
      <c r="I3178" s="9">
        <v>0.0</v>
      </c>
      <c r="J3178" s="5" t="str">
        <f t="shared" ref="J3178:K3178" si="3178">SUBSTITUTE(H3178, ",", "")</f>
        <v>0</v>
      </c>
      <c r="K3178" s="5" t="str">
        <f t="shared" si="3178"/>
        <v>Rp0</v>
      </c>
      <c r="L3178" s="5" t="str">
        <f t="shared" si="3"/>
        <v>0</v>
      </c>
    </row>
    <row r="3179">
      <c r="A3179" s="6" t="s">
        <v>4491</v>
      </c>
      <c r="B3179" s="7" t="str">
        <f>HYPERLINK("https://shopee.co.id/Klairs-Midnight-Blue-Activating-Youth-Drop-20ml-i.10689.1085017478", "https://shopee.co.id/Klairs-Midnight-Blue-Activating-Youth-Drop-20ml-i.10689.1085017478")</f>
        <v>https://shopee.co.id/Klairs-Midnight-Blue-Activating-Youth-Drop-20ml-i.10689.1085017478</v>
      </c>
      <c r="C3179" s="6" t="s">
        <v>432</v>
      </c>
      <c r="D3179" s="6" t="s">
        <v>745</v>
      </c>
      <c r="E3179" s="6" t="s">
        <v>12</v>
      </c>
      <c r="F3179" s="6" t="s">
        <v>13</v>
      </c>
      <c r="G3179" s="6" t="s">
        <v>61</v>
      </c>
      <c r="H3179" s="8" t="s">
        <v>3981</v>
      </c>
      <c r="I3179" s="9">
        <v>0.0</v>
      </c>
      <c r="J3179" s="5" t="str">
        <f t="shared" ref="J3179:K3179" si="3179">SUBSTITUTE(H3179, ",", "")</f>
        <v>0</v>
      </c>
      <c r="K3179" s="5" t="str">
        <f t="shared" si="3179"/>
        <v>Rp0</v>
      </c>
      <c r="L3179" s="5" t="str">
        <f t="shared" si="3"/>
        <v>0</v>
      </c>
    </row>
    <row r="3180">
      <c r="A3180" s="6" t="s">
        <v>4492</v>
      </c>
      <c r="B3180" s="7" t="str">
        <f>HYPERLINK("https://shopee.co.id/Klairs-Midnight-Blue-Youth-Activating-Drop-20ml-i.825870.1845014247", "https://shopee.co.id/Klairs-Midnight-Blue-Youth-Activating-Drop-20ml-i.825870.1845014247")</f>
        <v>https://shopee.co.id/Klairs-Midnight-Blue-Youth-Activating-Drop-20ml-i.825870.1845014247</v>
      </c>
      <c r="C3180" s="6" t="s">
        <v>432</v>
      </c>
      <c r="D3180" s="6" t="s">
        <v>1184</v>
      </c>
      <c r="E3180" s="6" t="s">
        <v>12</v>
      </c>
      <c r="F3180" s="6" t="s">
        <v>13</v>
      </c>
      <c r="G3180" s="6" t="s">
        <v>21</v>
      </c>
      <c r="H3180" s="8" t="s">
        <v>3981</v>
      </c>
      <c r="I3180" s="9">
        <v>0.0</v>
      </c>
      <c r="J3180" s="5" t="str">
        <f t="shared" ref="J3180:K3180" si="3180">SUBSTITUTE(H3180, ",", "")</f>
        <v>0</v>
      </c>
      <c r="K3180" s="5" t="str">
        <f t="shared" si="3180"/>
        <v>Rp0</v>
      </c>
      <c r="L3180" s="5" t="str">
        <f t="shared" si="3"/>
        <v>0</v>
      </c>
    </row>
    <row r="3181">
      <c r="A3181" s="6" t="s">
        <v>4493</v>
      </c>
      <c r="B3181" s="7" t="str">
        <f>HYPERLINK("https://shopee.co.id/Klairs-Rich-Moist-Soothing-Serum-80ml-i.825870.1845215250", "https://shopee.co.id/Klairs-Rich-Moist-Soothing-Serum-80ml-i.825870.1845215250")</f>
        <v>https://shopee.co.id/Klairs-Rich-Moist-Soothing-Serum-80ml-i.825870.1845215250</v>
      </c>
      <c r="C3181" s="6" t="s">
        <v>2240</v>
      </c>
      <c r="D3181" s="6" t="s">
        <v>1184</v>
      </c>
      <c r="E3181" s="6" t="s">
        <v>12</v>
      </c>
      <c r="F3181" s="6" t="s">
        <v>13</v>
      </c>
      <c r="G3181" s="6" t="s">
        <v>21</v>
      </c>
      <c r="H3181" s="8" t="s">
        <v>3981</v>
      </c>
      <c r="I3181" s="9">
        <v>0.0</v>
      </c>
      <c r="J3181" s="5" t="str">
        <f t="shared" ref="J3181:K3181" si="3181">SUBSTITUTE(H3181, ",", "")</f>
        <v>0</v>
      </c>
      <c r="K3181" s="5" t="str">
        <f t="shared" si="3181"/>
        <v>Rp0</v>
      </c>
      <c r="L3181" s="5" t="str">
        <f t="shared" si="3"/>
        <v>0</v>
      </c>
    </row>
    <row r="3182">
      <c r="A3182" s="6" t="s">
        <v>4494</v>
      </c>
      <c r="B3182" s="7" t="str">
        <f>HYPERLINK("https://shopee.co.id/KLAIRS-Sample-Sachet-i.68111.1331838636", "https://shopee.co.id/KLAIRS-Sample-Sachet-i.68111.1331838636")</f>
        <v>https://shopee.co.id/KLAIRS-Sample-Sachet-i.68111.1331838636</v>
      </c>
      <c r="C3182" s="6" t="s">
        <v>432</v>
      </c>
      <c r="D3182" s="6" t="s">
        <v>441</v>
      </c>
      <c r="E3182" s="6" t="s">
        <v>12</v>
      </c>
      <c r="F3182" s="6" t="s">
        <v>13</v>
      </c>
      <c r="G3182" s="6" t="s">
        <v>130</v>
      </c>
      <c r="H3182" s="8" t="s">
        <v>3981</v>
      </c>
      <c r="I3182" s="9">
        <v>0.0</v>
      </c>
      <c r="J3182" s="5" t="str">
        <f t="shared" ref="J3182:K3182" si="3182">SUBSTITUTE(H3182, ",", "")</f>
        <v>0</v>
      </c>
      <c r="K3182" s="5" t="str">
        <f t="shared" si="3182"/>
        <v>Rp0</v>
      </c>
      <c r="L3182" s="5" t="str">
        <f t="shared" si="3"/>
        <v>0</v>
      </c>
    </row>
    <row r="3183">
      <c r="A3183" s="6" t="s">
        <v>4495</v>
      </c>
      <c r="B3183" s="7" t="str">
        <f>HYPERLINK("https://shopee.co.id/KLALAB-My-Skin-Barrier-Serum-30ml-i.404614028.8541813537", "https://shopee.co.id/KLALAB-My-Skin-Barrier-Serum-30ml-i.404614028.8541813537")</f>
        <v>https://shopee.co.id/KLALAB-My-Skin-Barrier-Serum-30ml-i.404614028.8541813537</v>
      </c>
      <c r="C3183" s="6" t="s">
        <v>4496</v>
      </c>
      <c r="D3183" s="6" t="s">
        <v>4497</v>
      </c>
      <c r="E3183" s="6" t="s">
        <v>12</v>
      </c>
      <c r="F3183" s="6" t="s">
        <v>13</v>
      </c>
      <c r="G3183" s="6" t="s">
        <v>350</v>
      </c>
      <c r="H3183" s="8" t="s">
        <v>3981</v>
      </c>
      <c r="I3183" s="9">
        <v>0.0</v>
      </c>
      <c r="J3183" s="5" t="str">
        <f t="shared" ref="J3183:K3183" si="3183">SUBSTITUTE(H3183, ",", "")</f>
        <v>0</v>
      </c>
      <c r="K3183" s="5" t="str">
        <f t="shared" si="3183"/>
        <v>Rp0</v>
      </c>
      <c r="L3183" s="5" t="str">
        <f t="shared" si="3"/>
        <v>0</v>
      </c>
    </row>
    <row r="3184">
      <c r="A3184" s="6" t="s">
        <v>4498</v>
      </c>
      <c r="B3184" s="7" t="str">
        <f>HYPERLINK("https://shopee.co.id/Kleveru-Glass-Skin-Overnight-Serum-20ml-i.825870.5301478469", "https://shopee.co.id/Kleveru-Glass-Skin-Overnight-Serum-20ml-i.825870.5301478469")</f>
        <v>https://shopee.co.id/Kleveru-Glass-Skin-Overnight-Serum-20ml-i.825870.5301478469</v>
      </c>
      <c r="C3184" s="6" t="s">
        <v>2408</v>
      </c>
      <c r="D3184" s="6" t="s">
        <v>1184</v>
      </c>
      <c r="E3184" s="6" t="s">
        <v>12</v>
      </c>
      <c r="F3184" s="6" t="s">
        <v>13</v>
      </c>
      <c r="G3184" s="6" t="s">
        <v>21</v>
      </c>
      <c r="H3184" s="8" t="s">
        <v>3981</v>
      </c>
      <c r="I3184" s="9">
        <v>0.0</v>
      </c>
      <c r="J3184" s="5" t="str">
        <f t="shared" ref="J3184:K3184" si="3184">SUBSTITUTE(H3184, ",", "")</f>
        <v>0</v>
      </c>
      <c r="K3184" s="5" t="str">
        <f t="shared" si="3184"/>
        <v>Rp0</v>
      </c>
      <c r="L3184" s="5" t="str">
        <f t="shared" si="3"/>
        <v>0</v>
      </c>
    </row>
    <row r="3185">
      <c r="A3185" s="6" t="s">
        <v>3206</v>
      </c>
      <c r="B3185" s="7" t="str">
        <f>HYPERLINK("https://shopee.co.id/Kleveru-Glass-Skin-Overnight-Serum-20ml-i.10689.6468644675", "https://shopee.co.id/Kleveru-Glass-Skin-Overnight-Serum-20ml-i.10689.6468644675")</f>
        <v>https://shopee.co.id/Kleveru-Glass-Skin-Overnight-Serum-20ml-i.10689.6468644675</v>
      </c>
      <c r="C3185" s="6" t="s">
        <v>2408</v>
      </c>
      <c r="D3185" s="6" t="s">
        <v>745</v>
      </c>
      <c r="E3185" s="6" t="s">
        <v>12</v>
      </c>
      <c r="F3185" s="6" t="s">
        <v>13</v>
      </c>
      <c r="G3185" s="6" t="s">
        <v>61</v>
      </c>
      <c r="H3185" s="8" t="s">
        <v>3981</v>
      </c>
      <c r="I3185" s="9">
        <v>0.0</v>
      </c>
      <c r="J3185" s="5" t="str">
        <f t="shared" ref="J3185:K3185" si="3185">SUBSTITUTE(H3185, ",", "")</f>
        <v>0</v>
      </c>
      <c r="K3185" s="5" t="str">
        <f t="shared" si="3185"/>
        <v>Rp0</v>
      </c>
      <c r="L3185" s="5" t="str">
        <f t="shared" si="3"/>
        <v>0</v>
      </c>
    </row>
    <row r="3186">
      <c r="A3186" s="6" t="s">
        <v>2819</v>
      </c>
      <c r="B3186" s="7" t="str">
        <f>HYPERLINK("https://shopee.co.id/Kleveru-Vitamin-C-10-Ferulic-Serum-15ml-i.10689.3046338416", "https://shopee.co.id/Kleveru-Vitamin-C-10-Ferulic-Serum-15ml-i.10689.3046338416")</f>
        <v>https://shopee.co.id/Kleveru-Vitamin-C-10-Ferulic-Serum-15ml-i.10689.3046338416</v>
      </c>
      <c r="C3186" s="6" t="s">
        <v>2408</v>
      </c>
      <c r="D3186" s="6" t="s">
        <v>745</v>
      </c>
      <c r="E3186" s="6" t="s">
        <v>12</v>
      </c>
      <c r="F3186" s="6" t="s">
        <v>13</v>
      </c>
      <c r="G3186" s="6" t="s">
        <v>61</v>
      </c>
      <c r="H3186" s="8" t="s">
        <v>3981</v>
      </c>
      <c r="I3186" s="9">
        <v>0.0</v>
      </c>
      <c r="J3186" s="5" t="str">
        <f t="shared" ref="J3186:K3186" si="3186">SUBSTITUTE(H3186, ",", "")</f>
        <v>0</v>
      </c>
      <c r="K3186" s="5" t="str">
        <f t="shared" si="3186"/>
        <v>Rp0</v>
      </c>
      <c r="L3186" s="5" t="str">
        <f t="shared" si="3"/>
        <v>0</v>
      </c>
    </row>
    <row r="3187">
      <c r="A3187" s="6" t="s">
        <v>4499</v>
      </c>
      <c r="B3187" s="7" t="str">
        <f>HYPERLINK("https://shopee.co.id/Kose-Cosmeport-Clear-Turn-Babyish-Precious-B-Mengenyalkan-1-sheet-i.17912887.9432115099", "https://shopee.co.id/Kose-Cosmeport-Clear-Turn-Babyish-Precious-B-Mengenyalkan-1-sheet-i.17912887.9432115099")</f>
        <v>https://shopee.co.id/Kose-Cosmeport-Clear-Turn-Babyish-Precious-B-Mengenyalkan-1-sheet-i.17912887.9432115099</v>
      </c>
      <c r="C3187" s="6" t="s">
        <v>4500</v>
      </c>
      <c r="D3187" s="6" t="s">
        <v>4501</v>
      </c>
      <c r="E3187" s="6" t="s">
        <v>12</v>
      </c>
      <c r="F3187" s="6" t="s">
        <v>13</v>
      </c>
      <c r="G3187" s="6" t="s">
        <v>21</v>
      </c>
      <c r="H3187" s="8" t="s">
        <v>3981</v>
      </c>
      <c r="I3187" s="9">
        <v>0.0</v>
      </c>
      <c r="J3187" s="5" t="str">
        <f t="shared" ref="J3187:K3187" si="3187">SUBSTITUTE(H3187, ",", "")</f>
        <v>0</v>
      </c>
      <c r="K3187" s="5" t="str">
        <f t="shared" si="3187"/>
        <v>Rp0</v>
      </c>
      <c r="L3187" s="5" t="str">
        <f t="shared" si="3"/>
        <v>0</v>
      </c>
    </row>
    <row r="3188">
      <c r="A3188" s="6" t="s">
        <v>2769</v>
      </c>
      <c r="B3188" s="7" t="str">
        <f>HYPERLINK("https://shopee.co.id/Kulit-Cerah-Merona-i.65323877.6094983241", "https://shopee.co.id/Kulit-Cerah-Merona-i.65323877.6094983241")</f>
        <v>https://shopee.co.id/Kulit-Cerah-Merona-i.65323877.6094983241</v>
      </c>
      <c r="C3188" s="6" t="s">
        <v>4502</v>
      </c>
      <c r="D3188" s="6" t="s">
        <v>1600</v>
      </c>
      <c r="E3188" s="6" t="s">
        <v>12</v>
      </c>
      <c r="F3188" s="6" t="s">
        <v>13</v>
      </c>
      <c r="G3188" s="6" t="s">
        <v>296</v>
      </c>
      <c r="H3188" s="8" t="s">
        <v>3981</v>
      </c>
      <c r="I3188" s="9">
        <v>0.0</v>
      </c>
      <c r="J3188" s="5" t="str">
        <f t="shared" ref="J3188:K3188" si="3188">SUBSTITUTE(H3188, ",", "")</f>
        <v>0</v>
      </c>
      <c r="K3188" s="5" t="str">
        <f t="shared" si="3188"/>
        <v>Rp0</v>
      </c>
      <c r="L3188" s="5" t="str">
        <f t="shared" si="3"/>
        <v>0</v>
      </c>
    </row>
    <row r="3189">
      <c r="A3189" s="6" t="s">
        <v>4503</v>
      </c>
      <c r="B3189" s="7" t="str">
        <f>HYPERLINK("https://shopee.co.id/Kulit-s-C-Serum-20ml-i.30736001.1044557872", "https://shopee.co.id/Kulit-s-C-Serum-20ml-i.30736001.1044557872")</f>
        <v>https://shopee.co.id/Kulit-s-C-Serum-20ml-i.30736001.1044557872</v>
      </c>
      <c r="C3189" s="6" t="s">
        <v>4504</v>
      </c>
      <c r="D3189" s="6" t="s">
        <v>335</v>
      </c>
      <c r="E3189" s="6" t="s">
        <v>12</v>
      </c>
      <c r="F3189" s="6" t="s">
        <v>13</v>
      </c>
      <c r="G3189" s="6" t="s">
        <v>36</v>
      </c>
      <c r="H3189" s="8" t="s">
        <v>3981</v>
      </c>
      <c r="I3189" s="9">
        <v>0.0</v>
      </c>
      <c r="J3189" s="5" t="str">
        <f t="shared" ref="J3189:K3189" si="3189">SUBSTITUTE(H3189, ",", "")</f>
        <v>0</v>
      </c>
      <c r="K3189" s="5" t="str">
        <f t="shared" si="3189"/>
        <v>Rp0</v>
      </c>
      <c r="L3189" s="5" t="str">
        <f t="shared" si="3"/>
        <v>0</v>
      </c>
    </row>
    <row r="3190">
      <c r="A3190" s="6" t="s">
        <v>4505</v>
      </c>
      <c r="B3190" s="7" t="str">
        <f>HYPERLINK("https://shopee.co.id/L-Occitane-Aqua-Reotier-Moisture-Prep-Essence-150-mL--i.88079439.1480571622", "https://shopee.co.id/L-Occitane-Aqua-Reotier-Moisture-Prep-Essence-150-mL--i.88079439.1480571622")</f>
        <v>https://shopee.co.id/L-Occitane-Aqua-Reotier-Moisture-Prep-Essence-150-mL--i.88079439.1480571622</v>
      </c>
      <c r="C3190" s="6" t="s">
        <v>579</v>
      </c>
      <c r="D3190" s="6" t="s">
        <v>580</v>
      </c>
      <c r="E3190" s="6" t="s">
        <v>12</v>
      </c>
      <c r="F3190" s="6" t="s">
        <v>13</v>
      </c>
      <c r="G3190" s="6" t="s">
        <v>532</v>
      </c>
      <c r="H3190" s="8" t="s">
        <v>3981</v>
      </c>
      <c r="I3190" s="9">
        <v>0.0</v>
      </c>
      <c r="J3190" s="5" t="str">
        <f t="shared" ref="J3190:K3190" si="3190">SUBSTITUTE(H3190, ",", "")</f>
        <v>0</v>
      </c>
      <c r="K3190" s="5" t="str">
        <f t="shared" si="3190"/>
        <v>Rp0</v>
      </c>
      <c r="L3190" s="5" t="str">
        <f t="shared" si="3"/>
        <v>0</v>
      </c>
    </row>
    <row r="3191">
      <c r="A3191" s="6" t="s">
        <v>4506</v>
      </c>
      <c r="B3191" s="7" t="str">
        <f>HYPERLINK("https://shopee.co.id/L-Oreal-Dermatologist-Expert-White-Perfect-Laser-Wht-Essence-30ml-i.30736001.431558440", "https://shopee.co.id/L-Oreal-Dermatologist-Expert-White-Perfect-Laser-Wht-Essence-30ml-i.30736001.431558440")</f>
        <v>https://shopee.co.id/L-Oreal-Dermatologist-Expert-White-Perfect-Laser-Wht-Essence-30ml-i.30736001.431558440</v>
      </c>
      <c r="C3191" s="6" t="s">
        <v>105</v>
      </c>
      <c r="D3191" s="6" t="s">
        <v>335</v>
      </c>
      <c r="E3191" s="6" t="s">
        <v>12</v>
      </c>
      <c r="F3191" s="6" t="s">
        <v>13</v>
      </c>
      <c r="G3191" s="6" t="s">
        <v>36</v>
      </c>
      <c r="H3191" s="8" t="s">
        <v>3981</v>
      </c>
      <c r="I3191" s="9">
        <v>0.0</v>
      </c>
      <c r="J3191" s="5" t="str">
        <f t="shared" ref="J3191:K3191" si="3191">SUBSTITUTE(H3191, ",", "")</f>
        <v>0</v>
      </c>
      <c r="K3191" s="5" t="str">
        <f t="shared" si="3191"/>
        <v>Rp0</v>
      </c>
      <c r="L3191" s="5" t="str">
        <f t="shared" si="3"/>
        <v>0</v>
      </c>
    </row>
    <row r="3192">
      <c r="A3192" s="6" t="s">
        <v>4507</v>
      </c>
      <c r="B3192" s="7" t="str">
        <f>HYPERLINK("https://shopee.co.id/L-Oreal-Paris-Perfect-Clinical-Derm-White-Essence-serum-30ml-i.24819895.3438782441", "https://shopee.co.id/L-Oreal-Paris-Perfect-Clinical-Derm-White-Essence-serum-30ml-i.24819895.3438782441")</f>
        <v>https://shopee.co.id/L-Oreal-Paris-Perfect-Clinical-Derm-White-Essence-serum-30ml-i.24819895.3438782441</v>
      </c>
      <c r="C3192" s="6" t="s">
        <v>105</v>
      </c>
      <c r="D3192" s="6" t="s">
        <v>2491</v>
      </c>
      <c r="E3192" s="6" t="s">
        <v>12</v>
      </c>
      <c r="F3192" s="6" t="s">
        <v>13</v>
      </c>
      <c r="G3192" s="6" t="s">
        <v>1085</v>
      </c>
      <c r="H3192" s="8" t="s">
        <v>3981</v>
      </c>
      <c r="I3192" s="9">
        <v>0.0</v>
      </c>
      <c r="J3192" s="5" t="str">
        <f t="shared" ref="J3192:K3192" si="3192">SUBSTITUTE(H3192, ",", "")</f>
        <v>0</v>
      </c>
      <c r="K3192" s="5" t="str">
        <f t="shared" si="3192"/>
        <v>Rp0</v>
      </c>
      <c r="L3192" s="5" t="str">
        <f t="shared" si="3"/>
        <v>0</v>
      </c>
    </row>
    <row r="3193">
      <c r="A3193" s="6" t="s">
        <v>4508</v>
      </c>
      <c r="B3193" s="7" t="str">
        <f>HYPERLINK("https://shopee.co.id/L-Oreal-Paris-Revitalift-Crystal-Micro-Essence-Serum-Skin-Care-130-ml-Pro-Youth-Serum-i.62579622.3448837381", "https://shopee.co.id/L-Oreal-Paris-Revitalift-Crystal-Micro-Essence-Serum-Skin-Care-130-ml-Pro-Youth-Serum-i.62579622.3448837381")</f>
        <v>https://shopee.co.id/L-Oreal-Paris-Revitalift-Crystal-Micro-Essence-Serum-Skin-Care-130-ml-Pro-Youth-Serum-i.62579622.3448837381</v>
      </c>
      <c r="C3193" s="6" t="s">
        <v>105</v>
      </c>
      <c r="D3193" s="6" t="s">
        <v>106</v>
      </c>
      <c r="E3193" s="6" t="s">
        <v>12</v>
      </c>
      <c r="F3193" s="6" t="s">
        <v>13</v>
      </c>
      <c r="G3193" s="6" t="s">
        <v>61</v>
      </c>
      <c r="H3193" s="8" t="s">
        <v>3981</v>
      </c>
      <c r="I3193" s="9">
        <v>0.0</v>
      </c>
      <c r="J3193" s="5" t="str">
        <f t="shared" ref="J3193:K3193" si="3193">SUBSTITUTE(H3193, ",", "")</f>
        <v>0</v>
      </c>
      <c r="K3193" s="5" t="str">
        <f t="shared" si="3193"/>
        <v>Rp0</v>
      </c>
      <c r="L3193" s="5" t="str">
        <f t="shared" si="3"/>
        <v>0</v>
      </c>
    </row>
    <row r="3194">
      <c r="A3194" s="6" t="s">
        <v>4509</v>
      </c>
      <c r="B3194" s="7" t="str">
        <f>HYPERLINK("https://shopee.co.id/L-Oreal-Paris-Revitalift-Crystal-Micro-Essence-Serum-Skin-Care-130-ml-Pro-Youth-Serum-Mask-i.62579622.4348737414", "https://shopee.co.id/L-Oreal-Paris-Revitalift-Crystal-Micro-Essence-Serum-Skin-Care-130-ml-Pro-Youth-Serum-Mask-i.62579622.4348737414")</f>
        <v>https://shopee.co.id/L-Oreal-Paris-Revitalift-Crystal-Micro-Essence-Serum-Skin-Care-130-ml-Pro-Youth-Serum-Mask-i.62579622.4348737414</v>
      </c>
      <c r="C3194" s="6" t="s">
        <v>105</v>
      </c>
      <c r="D3194" s="6" t="s">
        <v>106</v>
      </c>
      <c r="E3194" s="6" t="s">
        <v>12</v>
      </c>
      <c r="F3194" s="6" t="s">
        <v>13</v>
      </c>
      <c r="G3194" s="6" t="s">
        <v>61</v>
      </c>
      <c r="H3194" s="8" t="s">
        <v>3981</v>
      </c>
      <c r="I3194" s="9">
        <v>0.0</v>
      </c>
      <c r="J3194" s="5" t="str">
        <f t="shared" ref="J3194:K3194" si="3194">SUBSTITUTE(H3194, ",", "")</f>
        <v>0</v>
      </c>
      <c r="K3194" s="5" t="str">
        <f t="shared" si="3194"/>
        <v>Rp0</v>
      </c>
      <c r="L3194" s="5" t="str">
        <f t="shared" si="3"/>
        <v>0</v>
      </c>
    </row>
    <row r="3195">
      <c r="A3195" s="6" t="s">
        <v>4509</v>
      </c>
      <c r="B3195" s="7" t="str">
        <f>HYPERLINK("https://shopee.co.id/L-Oreal-Paris-Revitalift-Crystal-Micro-Essence-Serum-Skin-Care-130-ml-Pro-Youth-Serum-Mask-i.62579622.6348739820", "https://shopee.co.id/L-Oreal-Paris-Revitalift-Crystal-Micro-Essence-Serum-Skin-Care-130-ml-Pro-Youth-Serum-Mask-i.62579622.6348739820")</f>
        <v>https://shopee.co.id/L-Oreal-Paris-Revitalift-Crystal-Micro-Essence-Serum-Skin-Care-130-ml-Pro-Youth-Serum-Mask-i.62579622.6348739820</v>
      </c>
      <c r="C3195" s="6" t="s">
        <v>105</v>
      </c>
      <c r="D3195" s="6" t="s">
        <v>106</v>
      </c>
      <c r="E3195" s="6" t="s">
        <v>12</v>
      </c>
      <c r="F3195" s="6" t="s">
        <v>13</v>
      </c>
      <c r="G3195" s="6" t="s">
        <v>61</v>
      </c>
      <c r="H3195" s="8" t="s">
        <v>3981</v>
      </c>
      <c r="I3195" s="9">
        <v>0.0</v>
      </c>
      <c r="J3195" s="5" t="str">
        <f t="shared" ref="J3195:K3195" si="3195">SUBSTITUTE(H3195, ",", "")</f>
        <v>0</v>
      </c>
      <c r="K3195" s="5" t="str">
        <f t="shared" si="3195"/>
        <v>Rp0</v>
      </c>
      <c r="L3195" s="5" t="str">
        <f t="shared" si="3"/>
        <v>0</v>
      </c>
    </row>
    <row r="3196">
      <c r="A3196" s="6" t="s">
        <v>4510</v>
      </c>
      <c r="B3196" s="7" t="str">
        <f>HYPERLINK("https://shopee.co.id/L-Oreal-Paris-Revitalift-Crystal-Micro-Essence-Serum-Skin-Care-65-ml-i.62579622.6548734456", "https://shopee.co.id/L-Oreal-Paris-Revitalift-Crystal-Micro-Essence-Serum-Skin-Care-65-ml-i.62579622.6548734456")</f>
        <v>https://shopee.co.id/L-Oreal-Paris-Revitalift-Crystal-Micro-Essence-Serum-Skin-Care-65-ml-i.62579622.6548734456</v>
      </c>
      <c r="C3196" s="6" t="s">
        <v>105</v>
      </c>
      <c r="D3196" s="6" t="s">
        <v>106</v>
      </c>
      <c r="E3196" s="6" t="s">
        <v>12</v>
      </c>
      <c r="F3196" s="6" t="s">
        <v>13</v>
      </c>
      <c r="G3196" s="6" t="s">
        <v>61</v>
      </c>
      <c r="H3196" s="8" t="s">
        <v>3981</v>
      </c>
      <c r="I3196" s="9">
        <v>0.0</v>
      </c>
      <c r="J3196" s="5" t="str">
        <f t="shared" ref="J3196:K3196" si="3196">SUBSTITUTE(H3196, ",", "")</f>
        <v>0</v>
      </c>
      <c r="K3196" s="5" t="str">
        <f t="shared" si="3196"/>
        <v>Rp0</v>
      </c>
      <c r="L3196" s="5" t="str">
        <f t="shared" si="3"/>
        <v>0</v>
      </c>
    </row>
    <row r="3197">
      <c r="A3197" s="6" t="s">
        <v>4510</v>
      </c>
      <c r="B3197" s="7" t="str">
        <f>HYPERLINK("https://shopee.co.id/L-Oreal-Paris-Revitalift-Crystal-Micro-Essence-Serum-Skin-Care-65-ml-i.62579622.4748740587", "https://shopee.co.id/L-Oreal-Paris-Revitalift-Crystal-Micro-Essence-Serum-Skin-Care-65-ml-i.62579622.4748740587")</f>
        <v>https://shopee.co.id/L-Oreal-Paris-Revitalift-Crystal-Micro-Essence-Serum-Skin-Care-65-ml-i.62579622.4748740587</v>
      </c>
      <c r="C3197" s="6" t="s">
        <v>105</v>
      </c>
      <c r="D3197" s="6" t="s">
        <v>106</v>
      </c>
      <c r="E3197" s="6" t="s">
        <v>12</v>
      </c>
      <c r="F3197" s="6" t="s">
        <v>13</v>
      </c>
      <c r="G3197" s="6" t="s">
        <v>61</v>
      </c>
      <c r="H3197" s="8" t="s">
        <v>3981</v>
      </c>
      <c r="I3197" s="9">
        <v>0.0</v>
      </c>
      <c r="J3197" s="5" t="str">
        <f t="shared" ref="J3197:K3197" si="3197">SUBSTITUTE(H3197, ",", "")</f>
        <v>0</v>
      </c>
      <c r="K3197" s="5" t="str">
        <f t="shared" si="3197"/>
        <v>Rp0</v>
      </c>
      <c r="L3197" s="5" t="str">
        <f t="shared" si="3"/>
        <v>0</v>
      </c>
    </row>
    <row r="3198">
      <c r="A3198" s="6" t="s">
        <v>4511</v>
      </c>
      <c r="B3198" s="7" t="str">
        <f>HYPERLINK("https://shopee.co.id/L-Oreal-Paris-Revitalift-Crystal-Micro-Essence-130-ml-Twinpack-Free-Jade-Roller--i.62579622.7558363456", "https://shopee.co.id/L-Oreal-Paris-Revitalift-Crystal-Micro-Essence-130-ml-Twinpack-Free-Jade-Roller--i.62579622.7558363456")</f>
        <v>https://shopee.co.id/L-Oreal-Paris-Revitalift-Crystal-Micro-Essence-130-ml-Twinpack-Free-Jade-Roller--i.62579622.7558363456</v>
      </c>
      <c r="C3198" s="6" t="s">
        <v>105</v>
      </c>
      <c r="D3198" s="6" t="s">
        <v>106</v>
      </c>
      <c r="E3198" s="6" t="s">
        <v>12</v>
      </c>
      <c r="F3198" s="6" t="s">
        <v>13</v>
      </c>
      <c r="G3198" s="6" t="s">
        <v>61</v>
      </c>
      <c r="H3198" s="8" t="s">
        <v>3981</v>
      </c>
      <c r="I3198" s="9">
        <v>0.0</v>
      </c>
      <c r="J3198" s="5" t="str">
        <f t="shared" ref="J3198:K3198" si="3198">SUBSTITUTE(H3198, ",", "")</f>
        <v>0</v>
      </c>
      <c r="K3198" s="5" t="str">
        <f t="shared" si="3198"/>
        <v>Rp0</v>
      </c>
      <c r="L3198" s="5" t="str">
        <f t="shared" si="3"/>
        <v>0</v>
      </c>
    </row>
    <row r="3199">
      <c r="A3199" s="6" t="s">
        <v>4512</v>
      </c>
      <c r="B3199" s="7" t="str">
        <f>HYPERLINK("https://shopee.co.id/L-Oreal-Paris-Revitalift-Crystal-Micro-Essence-Serum-Skin-Care-65-mL-Clinical-Essence-30-mL-i.65323877.9979914099", "https://shopee.co.id/L-Oreal-Paris-Revitalift-Crystal-Micro-Essence-Serum-Skin-Care-65-mL-Clinical-Essence-30-mL-i.65323877.9979914099")</f>
        <v>https://shopee.co.id/L-Oreal-Paris-Revitalift-Crystal-Micro-Essence-Serum-Skin-Care-65-mL-Clinical-Essence-30-mL-i.65323877.9979914099</v>
      </c>
      <c r="C3199" s="6" t="s">
        <v>105</v>
      </c>
      <c r="D3199" s="6" t="s">
        <v>1600</v>
      </c>
      <c r="E3199" s="6" t="s">
        <v>12</v>
      </c>
      <c r="F3199" s="6" t="s">
        <v>13</v>
      </c>
      <c r="G3199" s="6" t="s">
        <v>296</v>
      </c>
      <c r="H3199" s="8" t="s">
        <v>3981</v>
      </c>
      <c r="I3199" s="9">
        <v>0.0</v>
      </c>
      <c r="J3199" s="5" t="str">
        <f t="shared" ref="J3199:K3199" si="3199">SUBSTITUTE(H3199, ",", "")</f>
        <v>0</v>
      </c>
      <c r="K3199" s="5" t="str">
        <f t="shared" si="3199"/>
        <v>Rp0</v>
      </c>
      <c r="L3199" s="5" t="str">
        <f t="shared" si="3"/>
        <v>0</v>
      </c>
    </row>
    <row r="3200">
      <c r="A3200" s="6" t="s">
        <v>108</v>
      </c>
      <c r="B3200" s="7" t="str">
        <f>HYPERLINK("https://shopee.co.id/L-Oreal-Paris-Revitalift-Crystal-Micro-Essence-Water-Serum-Skin-Care-65-ml-i.62579622.5345119223", "https://shopee.co.id/L-Oreal-Paris-Revitalift-Crystal-Micro-Essence-Water-Serum-Skin-Care-65-ml-i.62579622.5345119223")</f>
        <v>https://shopee.co.id/L-Oreal-Paris-Revitalift-Crystal-Micro-Essence-Water-Serum-Skin-Care-65-ml-i.62579622.5345119223</v>
      </c>
      <c r="C3200" s="6" t="s">
        <v>105</v>
      </c>
      <c r="D3200" s="6" t="s">
        <v>106</v>
      </c>
      <c r="E3200" s="6" t="s">
        <v>12</v>
      </c>
      <c r="F3200" s="6" t="s">
        <v>13</v>
      </c>
      <c r="G3200" s="6" t="s">
        <v>61</v>
      </c>
      <c r="H3200" s="8" t="s">
        <v>3981</v>
      </c>
      <c r="I3200" s="9">
        <v>0.0</v>
      </c>
      <c r="J3200" s="5" t="str">
        <f t="shared" ref="J3200:K3200" si="3200">SUBSTITUTE(H3200, ",", "")</f>
        <v>0</v>
      </c>
      <c r="K3200" s="5" t="str">
        <f t="shared" si="3200"/>
        <v>Rp0</v>
      </c>
      <c r="L3200" s="5" t="str">
        <f t="shared" si="3"/>
        <v>0</v>
      </c>
    </row>
    <row r="3201">
      <c r="A3201" s="6" t="s">
        <v>4513</v>
      </c>
      <c r="B3201" s="7" t="str">
        <f>HYPERLINK("https://shopee.co.id/L-Oreal-Paris-Revitalift-Hyaluronic-Acid-Serum-Exclusive-Set-Free-3-Pro-Youth-Serum-Mask-i.62579622.3949251284", "https://shopee.co.id/L-Oreal-Paris-Revitalift-Hyaluronic-Acid-Serum-Exclusive-Set-Free-3-Pro-Youth-Serum-Mask-i.62579622.3949251284")</f>
        <v>https://shopee.co.id/L-Oreal-Paris-Revitalift-Hyaluronic-Acid-Serum-Exclusive-Set-Free-3-Pro-Youth-Serum-Mask-i.62579622.3949251284</v>
      </c>
      <c r="C3201" s="6" t="s">
        <v>105</v>
      </c>
      <c r="D3201" s="6" t="s">
        <v>106</v>
      </c>
      <c r="E3201" s="6" t="s">
        <v>12</v>
      </c>
      <c r="F3201" s="6" t="s">
        <v>13</v>
      </c>
      <c r="G3201" s="6" t="s">
        <v>61</v>
      </c>
      <c r="H3201" s="8" t="s">
        <v>3981</v>
      </c>
      <c r="I3201" s="9">
        <v>0.0</v>
      </c>
      <c r="J3201" s="5" t="str">
        <f t="shared" ref="J3201:K3201" si="3201">SUBSTITUTE(H3201, ",", "")</f>
        <v>0</v>
      </c>
      <c r="K3201" s="5" t="str">
        <f t="shared" si="3201"/>
        <v>Rp0</v>
      </c>
      <c r="L3201" s="5" t="str">
        <f t="shared" si="3"/>
        <v>0</v>
      </c>
    </row>
    <row r="3202">
      <c r="A3202" s="6" t="s">
        <v>4514</v>
      </c>
      <c r="B3202" s="7" t="str">
        <f>HYPERLINK("https://shopee.co.id/L-Oreal-Paris-Revitalift-Serum-White-Perfect-Day-Cream-Untuk-Kulit-Lembap-dan-Cerah-Tanpa-Noda--i.62579622.4349156560", "https://shopee.co.id/L-Oreal-Paris-Revitalift-Serum-White-Perfect-Day-Cream-Untuk-Kulit-Lembap-dan-Cerah-Tanpa-Noda--i.62579622.4349156560")</f>
        <v>https://shopee.co.id/L-Oreal-Paris-Revitalift-Serum-White-Perfect-Day-Cream-Untuk-Kulit-Lembap-dan-Cerah-Tanpa-Noda--i.62579622.4349156560</v>
      </c>
      <c r="C3202" s="6" t="s">
        <v>105</v>
      </c>
      <c r="D3202" s="6" t="s">
        <v>106</v>
      </c>
      <c r="E3202" s="6" t="s">
        <v>12</v>
      </c>
      <c r="F3202" s="6" t="s">
        <v>13</v>
      </c>
      <c r="G3202" s="6" t="s">
        <v>61</v>
      </c>
      <c r="H3202" s="8" t="s">
        <v>3981</v>
      </c>
      <c r="I3202" s="9">
        <v>0.0</v>
      </c>
      <c r="J3202" s="5" t="str">
        <f t="shared" ref="J3202:K3202" si="3202">SUBSTITUTE(H3202, ",", "")</f>
        <v>0</v>
      </c>
      <c r="K3202" s="5" t="str">
        <f t="shared" si="3202"/>
        <v>Rp0</v>
      </c>
      <c r="L3202" s="5" t="str">
        <f t="shared" si="3"/>
        <v>0</v>
      </c>
    </row>
    <row r="3203">
      <c r="A3203" s="6" t="s">
        <v>4515</v>
      </c>
      <c r="B3203" s="7" t="str">
        <f>HYPERLINK("https://shopee.co.id/L-Oreal-Paris-Revitalift-Serum-White-Perfect-Whip-Foam-Untuk-Kulit-Lembap-dan-Cerah-Tanpa-Noda--i.62579622.4849183698", "https://shopee.co.id/L-Oreal-Paris-Revitalift-Serum-White-Perfect-Whip-Foam-Untuk-Kulit-Lembap-dan-Cerah-Tanpa-Noda--i.62579622.4849183698")</f>
        <v>https://shopee.co.id/L-Oreal-Paris-Revitalift-Serum-White-Perfect-Whip-Foam-Untuk-Kulit-Lembap-dan-Cerah-Tanpa-Noda--i.62579622.4849183698</v>
      </c>
      <c r="C3203" s="6" t="s">
        <v>105</v>
      </c>
      <c r="D3203" s="6" t="s">
        <v>106</v>
      </c>
      <c r="E3203" s="6" t="s">
        <v>12</v>
      </c>
      <c r="F3203" s="6" t="s">
        <v>13</v>
      </c>
      <c r="G3203" s="6" t="s">
        <v>61</v>
      </c>
      <c r="H3203" s="8" t="s">
        <v>3981</v>
      </c>
      <c r="I3203" s="9">
        <v>0.0</v>
      </c>
      <c r="J3203" s="5" t="str">
        <f t="shared" ref="J3203:K3203" si="3203">SUBSTITUTE(H3203, ",", "")</f>
        <v>0</v>
      </c>
      <c r="K3203" s="5" t="str">
        <f t="shared" si="3203"/>
        <v>Rp0</v>
      </c>
      <c r="L3203" s="5" t="str">
        <f t="shared" si="3"/>
        <v>0</v>
      </c>
    </row>
    <row r="3204">
      <c r="A3204" s="6" t="s">
        <v>4516</v>
      </c>
      <c r="B3204" s="7" t="str">
        <f>HYPERLINK("https://shopee.co.id/L-Oreal-Paris-UV-Defender-Serum-Protector-Sunscreen-Bright-Clear-SPF50-PA-Mencerahkan-Kulit--i.79492424.8767528323", "https://shopee.co.id/L-Oreal-Paris-UV-Defender-Serum-Protector-Sunscreen-Bright-Clear-SPF50-PA-Mencerahkan-Kulit--i.79492424.8767528323")</f>
        <v>https://shopee.co.id/L-Oreal-Paris-UV-Defender-Serum-Protector-Sunscreen-Bright-Clear-SPF50-PA-Mencerahkan-Kulit--i.79492424.8767528323</v>
      </c>
      <c r="C3204" s="6" t="s">
        <v>105</v>
      </c>
      <c r="D3204" s="6" t="s">
        <v>3456</v>
      </c>
      <c r="E3204" s="6" t="s">
        <v>12</v>
      </c>
      <c r="F3204" s="6" t="s">
        <v>13</v>
      </c>
      <c r="G3204" s="6" t="s">
        <v>469</v>
      </c>
      <c r="H3204" s="8" t="s">
        <v>3981</v>
      </c>
      <c r="I3204" s="9">
        <v>0.0</v>
      </c>
      <c r="J3204" s="5" t="str">
        <f t="shared" ref="J3204:K3204" si="3204">SUBSTITUTE(H3204, ",", "")</f>
        <v>0</v>
      </c>
      <c r="K3204" s="5" t="str">
        <f t="shared" si="3204"/>
        <v>Rp0</v>
      </c>
      <c r="L3204" s="5" t="str">
        <f t="shared" si="3"/>
        <v>0</v>
      </c>
    </row>
    <row r="3205">
      <c r="A3205" s="6" t="s">
        <v>4517</v>
      </c>
      <c r="B3205" s="7" t="str">
        <f>HYPERLINK("https://shopee.co.id/L-Oreal-Paris-Youth-Code-Ferment-Pre-Essence-Serum-Skin-Care-30-mL-Untuk-Kulit-Cerah-Kencang--i.65323877.10419054926", "https://shopee.co.id/L-Oreal-Paris-Youth-Code-Ferment-Pre-Essence-Serum-Skin-Care-30-mL-Untuk-Kulit-Cerah-Kencang--i.65323877.10419054926")</f>
        <v>https://shopee.co.id/L-Oreal-Paris-Youth-Code-Ferment-Pre-Essence-Serum-Skin-Care-30-mL-Untuk-Kulit-Cerah-Kencang--i.65323877.10419054926</v>
      </c>
      <c r="C3205" s="6" t="s">
        <v>105</v>
      </c>
      <c r="D3205" s="6" t="s">
        <v>1600</v>
      </c>
      <c r="E3205" s="6" t="s">
        <v>12</v>
      </c>
      <c r="F3205" s="6" t="s">
        <v>13</v>
      </c>
      <c r="G3205" s="6" t="s">
        <v>296</v>
      </c>
      <c r="H3205" s="8" t="s">
        <v>3981</v>
      </c>
      <c r="I3205" s="9">
        <v>0.0</v>
      </c>
      <c r="J3205" s="5" t="str">
        <f t="shared" ref="J3205:K3205" si="3205">SUBSTITUTE(H3205, ",", "")</f>
        <v>0</v>
      </c>
      <c r="K3205" s="5" t="str">
        <f t="shared" si="3205"/>
        <v>Rp0</v>
      </c>
      <c r="L3205" s="5" t="str">
        <f t="shared" si="3"/>
        <v>0</v>
      </c>
    </row>
    <row r="3206">
      <c r="A3206" s="6" t="s">
        <v>4518</v>
      </c>
      <c r="B3206" s="7" t="str">
        <f>HYPERLINK("https://shopee.co.id/L-Oreal-Revitalift-Crystal-Micro-Essence-65ml-Golden-Truly-i.252636479.5134128255", "https://shopee.co.id/L-Oreal-Revitalift-Crystal-Micro-Essence-65ml-Golden-Truly-i.252636479.5134128255")</f>
        <v>https://shopee.co.id/L-Oreal-Revitalift-Crystal-Micro-Essence-65ml-Golden-Truly-i.252636479.5134128255</v>
      </c>
      <c r="C3206" s="6" t="s">
        <v>105</v>
      </c>
      <c r="D3206" s="6" t="s">
        <v>4519</v>
      </c>
      <c r="E3206" s="6" t="s">
        <v>12</v>
      </c>
      <c r="F3206" s="6" t="s">
        <v>13</v>
      </c>
      <c r="G3206" s="6" t="s">
        <v>61</v>
      </c>
      <c r="H3206" s="8" t="s">
        <v>3981</v>
      </c>
      <c r="I3206" s="9">
        <v>0.0</v>
      </c>
      <c r="J3206" s="5" t="str">
        <f t="shared" ref="J3206:K3206" si="3206">SUBSTITUTE(H3206, ",", "")</f>
        <v>0</v>
      </c>
      <c r="K3206" s="5" t="str">
        <f t="shared" si="3206"/>
        <v>Rp0</v>
      </c>
      <c r="L3206" s="5" t="str">
        <f t="shared" si="3"/>
        <v>0</v>
      </c>
    </row>
    <row r="3207">
      <c r="A3207" s="6" t="s">
        <v>4520</v>
      </c>
      <c r="B3207" s="7" t="str">
        <f>HYPERLINK("https://shopee.co.id/L-oreal-Revitalift-Intensive-Serum-30ml-i.24819895.7250909920", "https://shopee.co.id/L-oreal-Revitalift-Intensive-Serum-30ml-i.24819895.7250909920")</f>
        <v>https://shopee.co.id/L-oreal-Revitalift-Intensive-Serum-30ml-i.24819895.7250909920</v>
      </c>
      <c r="C3207" s="6" t="s">
        <v>105</v>
      </c>
      <c r="D3207" s="6" t="s">
        <v>2491</v>
      </c>
      <c r="E3207" s="6" t="s">
        <v>12</v>
      </c>
      <c r="F3207" s="6" t="s">
        <v>13</v>
      </c>
      <c r="G3207" s="6" t="s">
        <v>1085</v>
      </c>
      <c r="H3207" s="8" t="s">
        <v>3981</v>
      </c>
      <c r="I3207" s="9">
        <v>0.0</v>
      </c>
      <c r="J3207" s="5" t="str">
        <f t="shared" ref="J3207:K3207" si="3207">SUBSTITUTE(H3207, ",", "")</f>
        <v>0</v>
      </c>
      <c r="K3207" s="5" t="str">
        <f t="shared" si="3207"/>
        <v>Rp0</v>
      </c>
      <c r="L3207" s="5" t="str">
        <f t="shared" si="3"/>
        <v>0</v>
      </c>
    </row>
    <row r="3208">
      <c r="A3208" s="6" t="s">
        <v>4521</v>
      </c>
      <c r="B3208" s="7" t="str">
        <f>HYPERLINK("https://shopee.co.id/L-Oreal-White-Perfect-Derm-Expert-ESSENCE-Golden-Truly-i.252636479.5734100454", "https://shopee.co.id/L-Oreal-White-Perfect-Derm-Expert-ESSENCE-Golden-Truly-i.252636479.5734100454")</f>
        <v>https://shopee.co.id/L-Oreal-White-Perfect-Derm-Expert-ESSENCE-Golden-Truly-i.252636479.5734100454</v>
      </c>
      <c r="C3208" s="6" t="s">
        <v>105</v>
      </c>
      <c r="D3208" s="6" t="s">
        <v>4519</v>
      </c>
      <c r="E3208" s="6" t="s">
        <v>12</v>
      </c>
      <c r="F3208" s="6" t="s">
        <v>13</v>
      </c>
      <c r="G3208" s="6" t="s">
        <v>61</v>
      </c>
      <c r="H3208" s="8" t="s">
        <v>3981</v>
      </c>
      <c r="I3208" s="9">
        <v>0.0</v>
      </c>
      <c r="J3208" s="5" t="str">
        <f t="shared" ref="J3208:K3208" si="3208">SUBSTITUTE(H3208, ",", "")</f>
        <v>0</v>
      </c>
      <c r="K3208" s="5" t="str">
        <f t="shared" si="3208"/>
        <v>Rp0</v>
      </c>
      <c r="L3208" s="5" t="str">
        <f t="shared" si="3"/>
        <v>0</v>
      </c>
    </row>
    <row r="3209">
      <c r="A3209" s="6" t="s">
        <v>4522</v>
      </c>
      <c r="B3209" s="7" t="str">
        <f>HYPERLINK("https://shopee.co.id/L-Occitane-Immortelle-Overnight-Reset-Serum-50ml-i.88079439.2645435483", "https://shopee.co.id/L-Occitane-Immortelle-Overnight-Reset-Serum-50ml-i.88079439.2645435483")</f>
        <v>https://shopee.co.id/L-Occitane-Immortelle-Overnight-Reset-Serum-50ml-i.88079439.2645435483</v>
      </c>
      <c r="C3209" s="6" t="s">
        <v>579</v>
      </c>
      <c r="D3209" s="6" t="s">
        <v>580</v>
      </c>
      <c r="E3209" s="6" t="s">
        <v>12</v>
      </c>
      <c r="F3209" s="6" t="s">
        <v>13</v>
      </c>
      <c r="G3209" s="6" t="s">
        <v>532</v>
      </c>
      <c r="H3209" s="8" t="s">
        <v>3981</v>
      </c>
      <c r="I3209" s="9">
        <v>0.0</v>
      </c>
      <c r="J3209" s="5" t="str">
        <f t="shared" ref="J3209:K3209" si="3209">SUBSTITUTE(H3209, ",", "")</f>
        <v>0</v>
      </c>
      <c r="K3209" s="5" t="str">
        <f t="shared" si="3209"/>
        <v>Rp0</v>
      </c>
      <c r="L3209" s="5" t="str">
        <f t="shared" si="3"/>
        <v>0</v>
      </c>
    </row>
    <row r="3210">
      <c r="A3210" s="6" t="s">
        <v>4523</v>
      </c>
      <c r="B3210" s="7" t="str">
        <f>HYPERLINK("https://shopee.co.id/La-Tulipe-Essential-Whitening-Serum-20-mL-i.65323877.9079238862", "https://shopee.co.id/La-Tulipe-Essential-Whitening-Serum-20-mL-i.65323877.9079238862")</f>
        <v>https://shopee.co.id/La-Tulipe-Essential-Whitening-Serum-20-mL-i.65323877.9079238862</v>
      </c>
      <c r="C3210" s="6" t="s">
        <v>1761</v>
      </c>
      <c r="D3210" s="6" t="s">
        <v>1600</v>
      </c>
      <c r="E3210" s="6" t="s">
        <v>12</v>
      </c>
      <c r="F3210" s="6" t="s">
        <v>13</v>
      </c>
      <c r="G3210" s="6" t="s">
        <v>296</v>
      </c>
      <c r="H3210" s="8" t="s">
        <v>3981</v>
      </c>
      <c r="I3210" s="9">
        <v>0.0</v>
      </c>
      <c r="J3210" s="5" t="str">
        <f t="shared" ref="J3210:K3210" si="3210">SUBSTITUTE(H3210, ",", "")</f>
        <v>0</v>
      </c>
      <c r="K3210" s="5" t="str">
        <f t="shared" si="3210"/>
        <v>Rp0</v>
      </c>
      <c r="L3210" s="5" t="str">
        <f t="shared" si="3"/>
        <v>0</v>
      </c>
    </row>
    <row r="3211">
      <c r="A3211" s="6" t="s">
        <v>2882</v>
      </c>
      <c r="B3211" s="7" t="str">
        <f>HYPERLINK("https://shopee.co.id/Lacoco-5-Bakuchiol-Essence-30ml-i.10689.2990445182", "https://shopee.co.id/Lacoco-5-Bakuchiol-Essence-30ml-i.10689.2990445182")</f>
        <v>https://shopee.co.id/Lacoco-5-Bakuchiol-Essence-30ml-i.10689.2990445182</v>
      </c>
      <c r="C3211" s="6" t="s">
        <v>501</v>
      </c>
      <c r="D3211" s="6" t="s">
        <v>745</v>
      </c>
      <c r="E3211" s="6" t="s">
        <v>12</v>
      </c>
      <c r="F3211" s="6" t="s">
        <v>13</v>
      </c>
      <c r="G3211" s="6" t="s">
        <v>61</v>
      </c>
      <c r="H3211" s="8" t="s">
        <v>3981</v>
      </c>
      <c r="I3211" s="9">
        <v>0.0</v>
      </c>
      <c r="J3211" s="5" t="str">
        <f t="shared" ref="J3211:K3211" si="3211">SUBSTITUTE(H3211, ",", "")</f>
        <v>0</v>
      </c>
      <c r="K3211" s="5" t="str">
        <f t="shared" si="3211"/>
        <v>Rp0</v>
      </c>
      <c r="L3211" s="5" t="str">
        <f t="shared" si="3"/>
        <v>0</v>
      </c>
    </row>
    <row r="3212">
      <c r="A3212" s="6" t="s">
        <v>879</v>
      </c>
      <c r="B3212" s="7" t="str">
        <f>HYPERLINK("https://shopee.co.id/Lacoco-Dark-Spot-Essence-12ml-i.68111.7042114105", "https://shopee.co.id/Lacoco-Dark-Spot-Essence-12ml-i.68111.7042114105")</f>
        <v>https://shopee.co.id/Lacoco-Dark-Spot-Essence-12ml-i.68111.7042114105</v>
      </c>
      <c r="C3212" s="6" t="s">
        <v>501</v>
      </c>
      <c r="D3212" s="6" t="s">
        <v>441</v>
      </c>
      <c r="E3212" s="6" t="s">
        <v>12</v>
      </c>
      <c r="F3212" s="6" t="s">
        <v>13</v>
      </c>
      <c r="G3212" s="6" t="s">
        <v>130</v>
      </c>
      <c r="H3212" s="8" t="s">
        <v>3981</v>
      </c>
      <c r="I3212" s="9">
        <v>0.0</v>
      </c>
      <c r="J3212" s="5" t="str">
        <f t="shared" ref="J3212:K3212" si="3212">SUBSTITUTE(H3212, ",", "")</f>
        <v>0</v>
      </c>
      <c r="K3212" s="5" t="str">
        <f t="shared" si="3212"/>
        <v>Rp0</v>
      </c>
      <c r="L3212" s="5" t="str">
        <f t="shared" si="3"/>
        <v>0</v>
      </c>
    </row>
    <row r="3213">
      <c r="A3213" s="6" t="s">
        <v>4524</v>
      </c>
      <c r="B3213" s="7" t="str">
        <f>HYPERLINK("https://shopee.co.id/Lacoco-En-Nature-Hydrating-Divine-Essence-i.17081863.7755656459", "https://shopee.co.id/Lacoco-En-Nature-Hydrating-Divine-Essence-i.17081863.7755656459")</f>
        <v>https://shopee.co.id/Lacoco-En-Nature-Hydrating-Divine-Essence-i.17081863.7755656459</v>
      </c>
      <c r="C3213" s="6" t="s">
        <v>501</v>
      </c>
      <c r="D3213" s="6" t="s">
        <v>2497</v>
      </c>
      <c r="E3213" s="6" t="s">
        <v>12</v>
      </c>
      <c r="F3213" s="6" t="s">
        <v>13</v>
      </c>
      <c r="G3213" s="6" t="s">
        <v>21</v>
      </c>
      <c r="H3213" s="8" t="s">
        <v>3981</v>
      </c>
      <c r="I3213" s="9">
        <v>0.0</v>
      </c>
      <c r="J3213" s="5" t="str">
        <f t="shared" ref="J3213:K3213" si="3213">SUBSTITUTE(H3213, ",", "")</f>
        <v>0</v>
      </c>
      <c r="K3213" s="5" t="str">
        <f t="shared" si="3213"/>
        <v>Rp0</v>
      </c>
      <c r="L3213" s="5" t="str">
        <f t="shared" si="3"/>
        <v>0</v>
      </c>
    </row>
    <row r="3214">
      <c r="A3214" s="6" t="s">
        <v>4525</v>
      </c>
      <c r="B3214" s="7" t="str">
        <f>HYPERLINK("https://shopee.co.id/Lacoco-Hydrating-Divine-Essence-50-ml-i.110573301.8690585448", "https://shopee.co.id/Lacoco-Hydrating-Divine-Essence-50-ml-i.110573301.8690585448")</f>
        <v>https://shopee.co.id/Lacoco-Hydrating-Divine-Essence-50-ml-i.110573301.8690585448</v>
      </c>
      <c r="C3214" s="6" t="s">
        <v>501</v>
      </c>
      <c r="D3214" s="6" t="s">
        <v>227</v>
      </c>
      <c r="E3214" s="6" t="s">
        <v>12</v>
      </c>
      <c r="F3214" s="6" t="s">
        <v>13</v>
      </c>
      <c r="G3214" s="6" t="s">
        <v>61</v>
      </c>
      <c r="H3214" s="8" t="s">
        <v>3981</v>
      </c>
      <c r="I3214" s="9">
        <v>0.0</v>
      </c>
      <c r="J3214" s="5" t="str">
        <f t="shared" ref="J3214:K3214" si="3214">SUBSTITUTE(H3214, ",", "")</f>
        <v>0</v>
      </c>
      <c r="K3214" s="5" t="str">
        <f t="shared" si="3214"/>
        <v>Rp0</v>
      </c>
      <c r="L3214" s="5" t="str">
        <f t="shared" si="3"/>
        <v>0</v>
      </c>
    </row>
    <row r="3215">
      <c r="A3215" s="6" t="s">
        <v>4526</v>
      </c>
      <c r="B3215" s="7" t="str">
        <f>HYPERLINK("https://shopee.co.id/Lakon-Store-Luxcrime-Aurora-Serum-i.257893769.7337332202", "https://shopee.co.id/Lakon-Store-Luxcrime-Aurora-Serum-i.257893769.7337332202")</f>
        <v>https://shopee.co.id/Lakon-Store-Luxcrime-Aurora-Serum-i.257893769.7337332202</v>
      </c>
      <c r="C3215" s="6" t="s">
        <v>1646</v>
      </c>
      <c r="D3215" s="6" t="s">
        <v>4527</v>
      </c>
      <c r="E3215" s="6" t="s">
        <v>12</v>
      </c>
      <c r="F3215" s="6" t="s">
        <v>13</v>
      </c>
      <c r="G3215" s="6" t="s">
        <v>61</v>
      </c>
      <c r="H3215" s="8" t="s">
        <v>3981</v>
      </c>
      <c r="I3215" s="9">
        <v>0.0</v>
      </c>
      <c r="J3215" s="5" t="str">
        <f t="shared" ref="J3215:K3215" si="3215">SUBSTITUTE(H3215, ",", "")</f>
        <v>0</v>
      </c>
      <c r="K3215" s="5" t="str">
        <f t="shared" si="3215"/>
        <v>Rp0</v>
      </c>
      <c r="L3215" s="5" t="str">
        <f t="shared" si="3"/>
        <v>0</v>
      </c>
    </row>
    <row r="3216">
      <c r="A3216" s="6" t="s">
        <v>4528</v>
      </c>
      <c r="B3216" s="7" t="str">
        <f>HYPERLINK("https://shopee.co.id/Laneige-Clear-C-Peeling-Serum-80-mL-i.65323877.11819057892", "https://shopee.co.id/Laneige-Clear-C-Peeling-Serum-80-mL-i.65323877.11819057892")</f>
        <v>https://shopee.co.id/Laneige-Clear-C-Peeling-Serum-80-mL-i.65323877.11819057892</v>
      </c>
      <c r="C3216" s="6" t="s">
        <v>364</v>
      </c>
      <c r="D3216" s="6" t="s">
        <v>1600</v>
      </c>
      <c r="E3216" s="6" t="s">
        <v>12</v>
      </c>
      <c r="F3216" s="6" t="s">
        <v>13</v>
      </c>
      <c r="G3216" s="6" t="s">
        <v>296</v>
      </c>
      <c r="H3216" s="8" t="s">
        <v>3981</v>
      </c>
      <c r="I3216" s="9">
        <v>0.0</v>
      </c>
      <c r="J3216" s="5" t="str">
        <f t="shared" ref="J3216:K3216" si="3216">SUBSTITUTE(H3216, ",", "")</f>
        <v>0</v>
      </c>
      <c r="K3216" s="5" t="str">
        <f t="shared" si="3216"/>
        <v>Rp0</v>
      </c>
      <c r="L3216" s="5" t="str">
        <f t="shared" si="3"/>
        <v>0</v>
      </c>
    </row>
    <row r="3217">
      <c r="A3217" s="6" t="s">
        <v>4529</v>
      </c>
      <c r="B3217" s="7" t="str">
        <f>HYPERLINK("https://shopee.co.id/Langsre-Brightspot-Serum-30ml-i.825870.5023480059", "https://shopee.co.id/Langsre-Brightspot-Serum-30ml-i.825870.5023480059")</f>
        <v>https://shopee.co.id/Langsre-Brightspot-Serum-30ml-i.825870.5023480059</v>
      </c>
      <c r="C3217" s="6" t="s">
        <v>1295</v>
      </c>
      <c r="D3217" s="6" t="s">
        <v>1184</v>
      </c>
      <c r="E3217" s="6" t="s">
        <v>12</v>
      </c>
      <c r="F3217" s="6" t="s">
        <v>13</v>
      </c>
      <c r="G3217" s="6" t="s">
        <v>21</v>
      </c>
      <c r="H3217" s="8" t="s">
        <v>3981</v>
      </c>
      <c r="I3217" s="9">
        <v>0.0</v>
      </c>
      <c r="J3217" s="5" t="str">
        <f t="shared" ref="J3217:K3217" si="3217">SUBSTITUTE(H3217, ",", "")</f>
        <v>0</v>
      </c>
      <c r="K3217" s="5" t="str">
        <f t="shared" si="3217"/>
        <v>Rp0</v>
      </c>
      <c r="L3217" s="5" t="str">
        <f t="shared" si="3"/>
        <v>0</v>
      </c>
    </row>
    <row r="3218">
      <c r="A3218" s="6" t="s">
        <v>4530</v>
      </c>
      <c r="B3218" s="7" t="str">
        <f>HYPERLINK("https://shopee.co.id/Langsre-Good-Times-AHA-ed-Serum-30ml-i.825870.6671561722", "https://shopee.co.id/Langsre-Good-Times-AHA-ed-Serum-30ml-i.825870.6671561722")</f>
        <v>https://shopee.co.id/Langsre-Good-Times-AHA-ed-Serum-30ml-i.825870.6671561722</v>
      </c>
      <c r="C3218" s="6" t="s">
        <v>1295</v>
      </c>
      <c r="D3218" s="6" t="s">
        <v>1184</v>
      </c>
      <c r="E3218" s="6" t="s">
        <v>12</v>
      </c>
      <c r="F3218" s="6" t="s">
        <v>13</v>
      </c>
      <c r="G3218" s="6" t="s">
        <v>21</v>
      </c>
      <c r="H3218" s="8" t="s">
        <v>3981</v>
      </c>
      <c r="I3218" s="9">
        <v>0.0</v>
      </c>
      <c r="J3218" s="5" t="str">
        <f t="shared" ref="J3218:K3218" si="3218">SUBSTITUTE(H3218, ",", "")</f>
        <v>0</v>
      </c>
      <c r="K3218" s="5" t="str">
        <f t="shared" si="3218"/>
        <v>Rp0</v>
      </c>
      <c r="L3218" s="5" t="str">
        <f t="shared" si="3"/>
        <v>0</v>
      </c>
    </row>
    <row r="3219">
      <c r="A3219" s="6" t="s">
        <v>4531</v>
      </c>
      <c r="B3219" s="7" t="str">
        <f>HYPERLINK("https://shopee.co.id/Langsre-Hydraluronic-Serum-30ml-i.825870.7123478450", "https://shopee.co.id/Langsre-Hydraluronic-Serum-30ml-i.825870.7123478450")</f>
        <v>https://shopee.co.id/Langsre-Hydraluronic-Serum-30ml-i.825870.7123478450</v>
      </c>
      <c r="C3219" s="6" t="s">
        <v>1295</v>
      </c>
      <c r="D3219" s="6" t="s">
        <v>1184</v>
      </c>
      <c r="E3219" s="6" t="s">
        <v>12</v>
      </c>
      <c r="F3219" s="6" t="s">
        <v>13</v>
      </c>
      <c r="G3219" s="6" t="s">
        <v>21</v>
      </c>
      <c r="H3219" s="8" t="s">
        <v>3981</v>
      </c>
      <c r="I3219" s="9">
        <v>0.0</v>
      </c>
      <c r="J3219" s="5" t="str">
        <f t="shared" ref="J3219:K3219" si="3219">SUBSTITUTE(H3219, ",", "")</f>
        <v>0</v>
      </c>
      <c r="K3219" s="5" t="str">
        <f t="shared" si="3219"/>
        <v>Rp0</v>
      </c>
      <c r="L3219" s="5" t="str">
        <f t="shared" si="3"/>
        <v>0</v>
      </c>
    </row>
    <row r="3220">
      <c r="A3220" s="6" t="s">
        <v>4532</v>
      </c>
      <c r="B3220" s="7" t="str">
        <f>HYPERLINK("https://shopee.co.id/Lanore-Intelgold-Serum-Anti-Aging-dengan-Partikel-Emas-10-gr-i.46593637.1981185454", "https://shopee.co.id/Lanore-Intelgold-Serum-Anti-Aging-dengan-Partikel-Emas-10-gr-i.46593637.1981185454")</f>
        <v>https://shopee.co.id/Lanore-Intelgold-Serum-Anti-Aging-dengan-Partikel-Emas-10-gr-i.46593637.1981185454</v>
      </c>
      <c r="C3220" s="6" t="s">
        <v>2480</v>
      </c>
      <c r="D3220" s="6" t="s">
        <v>1607</v>
      </c>
      <c r="E3220" s="6" t="s">
        <v>12</v>
      </c>
      <c r="F3220" s="6" t="s">
        <v>13</v>
      </c>
      <c r="G3220" s="6" t="s">
        <v>350</v>
      </c>
      <c r="H3220" s="8" t="s">
        <v>3981</v>
      </c>
      <c r="I3220" s="9">
        <v>0.0</v>
      </c>
      <c r="J3220" s="5" t="str">
        <f t="shared" ref="J3220:K3220" si="3220">SUBSTITUTE(H3220, ",", "")</f>
        <v>0</v>
      </c>
      <c r="K3220" s="5" t="str">
        <f t="shared" si="3220"/>
        <v>Rp0</v>
      </c>
      <c r="L3220" s="5" t="str">
        <f t="shared" si="3"/>
        <v>0</v>
      </c>
    </row>
    <row r="3221">
      <c r="A3221" s="6" t="s">
        <v>4533</v>
      </c>
      <c r="B3221" s="7" t="str">
        <f>HYPERLINK("https://shopee.co.id/LAST-STOCK-MONSKIN-Glutathione-Vit-C-Serum-15-ml-i.163341372.3686631220", "https://shopee.co.id/LAST-STOCK-MONSKIN-Glutathione-Vit-C-Serum-15-ml-i.163341372.3686631220")</f>
        <v>https://shopee.co.id/LAST-STOCK-MONSKIN-Glutathione-Vit-C-Serum-15-ml-i.163341372.3686631220</v>
      </c>
      <c r="C3221" s="6" t="s">
        <v>4534</v>
      </c>
      <c r="D3221" s="6" t="s">
        <v>4535</v>
      </c>
      <c r="E3221" s="6" t="s">
        <v>12</v>
      </c>
      <c r="F3221" s="6" t="s">
        <v>13</v>
      </c>
      <c r="G3221" s="6" t="s">
        <v>1085</v>
      </c>
      <c r="H3221" s="8" t="s">
        <v>3981</v>
      </c>
      <c r="I3221" s="9">
        <v>0.0</v>
      </c>
      <c r="J3221" s="5" t="str">
        <f t="shared" ref="J3221:K3221" si="3221">SUBSTITUTE(H3221, ",", "")</f>
        <v>0</v>
      </c>
      <c r="K3221" s="5" t="str">
        <f t="shared" si="3221"/>
        <v>Rp0</v>
      </c>
      <c r="L3221" s="5" t="str">
        <f t="shared" si="3"/>
        <v>0</v>
      </c>
    </row>
    <row r="3222">
      <c r="A3222" s="6" t="s">
        <v>4536</v>
      </c>
      <c r="B3222" s="7" t="str">
        <f>HYPERLINK("https://shopee.co.id/LAST-STOCK-MONSKIN-Translucent-Brightening-Serum-15-ml-i.163341372.9445229748", "https://shopee.co.id/LAST-STOCK-MONSKIN-Translucent-Brightening-Serum-15-ml-i.163341372.9445229748")</f>
        <v>https://shopee.co.id/LAST-STOCK-MONSKIN-Translucent-Brightening-Serum-15-ml-i.163341372.9445229748</v>
      </c>
      <c r="C3222" s="6" t="s">
        <v>4534</v>
      </c>
      <c r="D3222" s="6" t="s">
        <v>4535</v>
      </c>
      <c r="E3222" s="6" t="s">
        <v>12</v>
      </c>
      <c r="F3222" s="6" t="s">
        <v>13</v>
      </c>
      <c r="G3222" s="6" t="s">
        <v>1085</v>
      </c>
      <c r="H3222" s="8" t="s">
        <v>3981</v>
      </c>
      <c r="I3222" s="9">
        <v>0.0</v>
      </c>
      <c r="J3222" s="5" t="str">
        <f t="shared" ref="J3222:K3222" si="3222">SUBSTITUTE(H3222, ",", "")</f>
        <v>0</v>
      </c>
      <c r="K3222" s="5" t="str">
        <f t="shared" si="3222"/>
        <v>Rp0</v>
      </c>
      <c r="L3222" s="5" t="str">
        <f t="shared" si="3"/>
        <v>0</v>
      </c>
    </row>
    <row r="3223">
      <c r="A3223" s="6" t="s">
        <v>4537</v>
      </c>
      <c r="B3223" s="7" t="str">
        <f>HYPERLINK("https://shopee.co.id/LAST-STOCK-MONSKIN-Whitening-Serum-for-Normal-Dry-Skin-15-ml-i.163341372.6981326866", "https://shopee.co.id/LAST-STOCK-MONSKIN-Whitening-Serum-for-Normal-Dry-Skin-15-ml-i.163341372.6981326866")</f>
        <v>https://shopee.co.id/LAST-STOCK-MONSKIN-Whitening-Serum-for-Normal-Dry-Skin-15-ml-i.163341372.6981326866</v>
      </c>
      <c r="C3223" s="6" t="s">
        <v>4534</v>
      </c>
      <c r="D3223" s="6" t="s">
        <v>4535</v>
      </c>
      <c r="E3223" s="6" t="s">
        <v>12</v>
      </c>
      <c r="F3223" s="6" t="s">
        <v>13</v>
      </c>
      <c r="G3223" s="6" t="s">
        <v>1085</v>
      </c>
      <c r="H3223" s="8" t="s">
        <v>3981</v>
      </c>
      <c r="I3223" s="9">
        <v>0.0</v>
      </c>
      <c r="J3223" s="5" t="str">
        <f t="shared" ref="J3223:K3223" si="3223">SUBSTITUTE(H3223, ",", "")</f>
        <v>0</v>
      </c>
      <c r="K3223" s="5" t="str">
        <f t="shared" si="3223"/>
        <v>Rp0</v>
      </c>
      <c r="L3223" s="5" t="str">
        <f t="shared" si="3"/>
        <v>0</v>
      </c>
    </row>
    <row r="3224">
      <c r="A3224" s="6" t="s">
        <v>4538</v>
      </c>
      <c r="B3224" s="7" t="str">
        <f>HYPERLINK("https://shopee.co.id/LAST-STOCK-MONSKIN-Whitening-Serum-for-Oily-Acne-Prone-Skin-15-ml-i.163341372.2534561858", "https://shopee.co.id/LAST-STOCK-MONSKIN-Whitening-Serum-for-Oily-Acne-Prone-Skin-15-ml-i.163341372.2534561858")</f>
        <v>https://shopee.co.id/LAST-STOCK-MONSKIN-Whitening-Serum-for-Oily-Acne-Prone-Skin-15-ml-i.163341372.2534561858</v>
      </c>
      <c r="C3224" s="6" t="s">
        <v>4534</v>
      </c>
      <c r="D3224" s="6" t="s">
        <v>4535</v>
      </c>
      <c r="E3224" s="6" t="s">
        <v>12</v>
      </c>
      <c r="F3224" s="6" t="s">
        <v>13</v>
      </c>
      <c r="G3224" s="6" t="s">
        <v>1085</v>
      </c>
      <c r="H3224" s="8" t="s">
        <v>3981</v>
      </c>
      <c r="I3224" s="9">
        <v>0.0</v>
      </c>
      <c r="J3224" s="5" t="str">
        <f t="shared" ref="J3224:K3224" si="3224">SUBSTITUTE(H3224, ",", "")</f>
        <v>0</v>
      </c>
      <c r="K3224" s="5" t="str">
        <f t="shared" si="3224"/>
        <v>Rp0</v>
      </c>
      <c r="L3224" s="5" t="str">
        <f t="shared" si="3"/>
        <v>0</v>
      </c>
    </row>
    <row r="3225">
      <c r="A3225" s="6" t="s">
        <v>4539</v>
      </c>
      <c r="B3225" s="7" t="str">
        <f>HYPERLINK("https://shopee.co.id/Liplapin-Glow-Activating-Serum-20ml-i.825870.7616663443", "https://shopee.co.id/Liplapin-Glow-Activating-Serum-20ml-i.825870.7616663443")</f>
        <v>https://shopee.co.id/Liplapin-Glow-Activating-Serum-20ml-i.825870.7616663443</v>
      </c>
      <c r="C3225" s="6" t="s">
        <v>3899</v>
      </c>
      <c r="D3225" s="6" t="s">
        <v>1184</v>
      </c>
      <c r="E3225" s="6" t="s">
        <v>12</v>
      </c>
      <c r="F3225" s="6" t="s">
        <v>13</v>
      </c>
      <c r="G3225" s="6" t="s">
        <v>21</v>
      </c>
      <c r="H3225" s="8" t="s">
        <v>3981</v>
      </c>
      <c r="I3225" s="9">
        <v>0.0</v>
      </c>
      <c r="J3225" s="5" t="str">
        <f t="shared" ref="J3225:K3225" si="3225">SUBSTITUTE(H3225, ",", "")</f>
        <v>0</v>
      </c>
      <c r="K3225" s="5" t="str">
        <f t="shared" si="3225"/>
        <v>Rp0</v>
      </c>
      <c r="L3225" s="5" t="str">
        <f t="shared" si="3"/>
        <v>0</v>
      </c>
    </row>
    <row r="3226">
      <c r="A3226" s="6" t="s">
        <v>4540</v>
      </c>
      <c r="B3226" s="7" t="str">
        <f>HYPERLINK("https://shopee.co.id/Lokos-me-Brightening-And-Glowing-Package-i.5109240.6265251011", "https://shopee.co.id/Lokos-me-Brightening-And-Glowing-Package-i.5109240.6265251011")</f>
        <v>https://shopee.co.id/Lokos-me-Brightening-And-Glowing-Package-i.5109240.6265251011</v>
      </c>
      <c r="C3226" s="6" t="s">
        <v>3296</v>
      </c>
      <c r="D3226" s="6" t="s">
        <v>3297</v>
      </c>
      <c r="E3226" s="6" t="s">
        <v>12</v>
      </c>
      <c r="F3226" s="6" t="s">
        <v>13</v>
      </c>
      <c r="G3226" s="6" t="s">
        <v>1130</v>
      </c>
      <c r="H3226" s="8" t="s">
        <v>3981</v>
      </c>
      <c r="I3226" s="9">
        <v>0.0</v>
      </c>
      <c r="J3226" s="5" t="str">
        <f t="shared" ref="J3226:K3226" si="3226">SUBSTITUTE(H3226, ",", "")</f>
        <v>0</v>
      </c>
      <c r="K3226" s="5" t="str">
        <f t="shared" si="3226"/>
        <v>Rp0</v>
      </c>
      <c r="L3226" s="5" t="str">
        <f t="shared" si="3"/>
        <v>0</v>
      </c>
    </row>
    <row r="3227">
      <c r="A3227" s="6" t="s">
        <v>4541</v>
      </c>
      <c r="B3227" s="7" t="str">
        <f>HYPERLINK("https://shopee.co.id/Loreal-Dex-Revita-Lift-Essence-Water-130-ml-i.186214521.7016798396", "https://shopee.co.id/Loreal-Dex-Revita-Lift-Essence-Water-130-ml-i.186214521.7016798396")</f>
        <v>https://shopee.co.id/Loreal-Dex-Revita-Lift-Essence-Water-130-ml-i.186214521.7016798396</v>
      </c>
      <c r="C3227" s="6" t="s">
        <v>4542</v>
      </c>
      <c r="D3227" s="6" t="s">
        <v>2293</v>
      </c>
      <c r="E3227" s="6" t="s">
        <v>12</v>
      </c>
      <c r="F3227" s="6" t="s">
        <v>13</v>
      </c>
      <c r="G3227" s="6" t="s">
        <v>61</v>
      </c>
      <c r="H3227" s="8" t="s">
        <v>3981</v>
      </c>
      <c r="I3227" s="9">
        <v>0.0</v>
      </c>
      <c r="J3227" s="5" t="str">
        <f t="shared" ref="J3227:K3227" si="3227">SUBSTITUTE(H3227, ",", "")</f>
        <v>0</v>
      </c>
      <c r="K3227" s="5" t="str">
        <f t="shared" si="3227"/>
        <v>Rp0</v>
      </c>
      <c r="L3227" s="5" t="str">
        <f t="shared" si="3"/>
        <v>0</v>
      </c>
    </row>
    <row r="3228">
      <c r="A3228" s="6" t="s">
        <v>4543</v>
      </c>
      <c r="B3228" s="7" t="str">
        <f>HYPERLINK("https://shopee.co.id/LOREAL-PARIS-Revitalift-Hyaluronic-Acid-Serum-30ml-i.68111.4859423051", "https://shopee.co.id/LOREAL-PARIS-Revitalift-Hyaluronic-Acid-Serum-30ml-i.68111.4859423051")</f>
        <v>https://shopee.co.id/LOREAL-PARIS-Revitalift-Hyaluronic-Acid-Serum-30ml-i.68111.4859423051</v>
      </c>
      <c r="C3228" s="6" t="s">
        <v>105</v>
      </c>
      <c r="D3228" s="6" t="s">
        <v>441</v>
      </c>
      <c r="E3228" s="6" t="s">
        <v>12</v>
      </c>
      <c r="F3228" s="6" t="s">
        <v>13</v>
      </c>
      <c r="G3228" s="6" t="s">
        <v>130</v>
      </c>
      <c r="H3228" s="8" t="s">
        <v>3981</v>
      </c>
      <c r="I3228" s="9">
        <v>0.0</v>
      </c>
      <c r="J3228" s="5" t="str">
        <f t="shared" ref="J3228:K3228" si="3228">SUBSTITUTE(H3228, ",", "")</f>
        <v>0</v>
      </c>
      <c r="K3228" s="5" t="str">
        <f t="shared" si="3228"/>
        <v>Rp0</v>
      </c>
      <c r="L3228" s="5" t="str">
        <f t="shared" si="3"/>
        <v>0</v>
      </c>
    </row>
    <row r="3229">
      <c r="A3229" s="6" t="s">
        <v>4544</v>
      </c>
      <c r="B3229" s="7" t="str">
        <f>HYPERLINK("https://shopee.co.id/Loreal-Revitalift-Micro-Essence-65-ML-418091--i.16735262.6367680327", "https://shopee.co.id/Loreal-Revitalift-Micro-Essence-65-ML-418091--i.16735262.6367680327")</f>
        <v>https://shopee.co.id/Loreal-Revitalift-Micro-Essence-65-ML-418091--i.16735262.6367680327</v>
      </c>
      <c r="C3229" s="6" t="s">
        <v>105</v>
      </c>
      <c r="D3229" s="6" t="s">
        <v>3598</v>
      </c>
      <c r="E3229" s="6" t="s">
        <v>12</v>
      </c>
      <c r="F3229" s="6" t="s">
        <v>13</v>
      </c>
      <c r="G3229" s="6" t="s">
        <v>36</v>
      </c>
      <c r="H3229" s="8" t="s">
        <v>3981</v>
      </c>
      <c r="I3229" s="9">
        <v>0.0</v>
      </c>
      <c r="J3229" s="5" t="str">
        <f t="shared" ref="J3229:K3229" si="3229">SUBSTITUTE(H3229, ",", "")</f>
        <v>0</v>
      </c>
      <c r="K3229" s="5" t="str">
        <f t="shared" si="3229"/>
        <v>Rp0</v>
      </c>
      <c r="L3229" s="5" t="str">
        <f t="shared" si="3"/>
        <v>0</v>
      </c>
    </row>
    <row r="3230">
      <c r="A3230" s="6" t="s">
        <v>4545</v>
      </c>
      <c r="B3230" s="7" t="str">
        <f>HYPERLINK("https://shopee.co.id/Loreal-White-Perfect-Laser-White-Essence-30-ml-i.186214521.7831338742", "https://shopee.co.id/Loreal-White-Perfect-Laser-White-Essence-30-ml-i.186214521.7831338742")</f>
        <v>https://shopee.co.id/Loreal-White-Perfect-Laser-White-Essence-30-ml-i.186214521.7831338742</v>
      </c>
      <c r="C3230" s="6" t="s">
        <v>105</v>
      </c>
      <c r="D3230" s="6" t="s">
        <v>2293</v>
      </c>
      <c r="E3230" s="6" t="s">
        <v>12</v>
      </c>
      <c r="F3230" s="6" t="s">
        <v>13</v>
      </c>
      <c r="G3230" s="6" t="s">
        <v>61</v>
      </c>
      <c r="H3230" s="8" t="s">
        <v>3981</v>
      </c>
      <c r="I3230" s="9">
        <v>0.0</v>
      </c>
      <c r="J3230" s="5" t="str">
        <f t="shared" ref="J3230:K3230" si="3230">SUBSTITUTE(H3230, ",", "")</f>
        <v>0</v>
      </c>
      <c r="K3230" s="5" t="str">
        <f t="shared" si="3230"/>
        <v>Rp0</v>
      </c>
      <c r="L3230" s="5" t="str">
        <f t="shared" si="3"/>
        <v>0</v>
      </c>
    </row>
    <row r="3231">
      <c r="A3231" s="6" t="s">
        <v>4546</v>
      </c>
      <c r="B3231" s="7" t="str">
        <f>HYPERLINK("https://shopee.co.id/LT-Pro-Powdery-Foundation-i.187117294.5138221294", "https://shopee.co.id/LT-Pro-Powdery-Foundation-i.187117294.5138221294")</f>
        <v>https://shopee.co.id/LT-Pro-Powdery-Foundation-i.187117294.5138221294</v>
      </c>
      <c r="C3231" s="6" t="s">
        <v>695</v>
      </c>
      <c r="D3231" s="6" t="s">
        <v>2366</v>
      </c>
      <c r="E3231" s="6" t="s">
        <v>12</v>
      </c>
      <c r="F3231" s="6" t="s">
        <v>13</v>
      </c>
      <c r="G3231" s="6" t="s">
        <v>469</v>
      </c>
      <c r="H3231" s="8" t="s">
        <v>3981</v>
      </c>
      <c r="I3231" s="9">
        <v>0.0</v>
      </c>
      <c r="J3231" s="5" t="str">
        <f t="shared" ref="J3231:K3231" si="3231">SUBSTITUTE(H3231, ",", "")</f>
        <v>0</v>
      </c>
      <c r="K3231" s="5" t="str">
        <f t="shared" si="3231"/>
        <v>Rp0</v>
      </c>
      <c r="L3231" s="5" t="str">
        <f t="shared" si="3"/>
        <v>0</v>
      </c>
    </row>
    <row r="3232">
      <c r="A3232" s="6" t="s">
        <v>4547</v>
      </c>
      <c r="B3232" s="7" t="str">
        <f>HYPERLINK("https://shopee.co.id/LUMIER-100-GREEN-CAVIAR-EXTRACT-i.231467354.5181354740", "https://shopee.co.id/LUMIER-100-GREEN-CAVIAR-EXTRACT-i.231467354.5181354740")</f>
        <v>https://shopee.co.id/LUMIER-100-GREEN-CAVIAR-EXTRACT-i.231467354.5181354740</v>
      </c>
      <c r="C3232" s="6" t="s">
        <v>2878</v>
      </c>
      <c r="D3232" s="6" t="s">
        <v>2879</v>
      </c>
      <c r="E3232" s="6" t="s">
        <v>12</v>
      </c>
      <c r="F3232" s="6" t="s">
        <v>13</v>
      </c>
      <c r="G3232" s="6" t="s">
        <v>532</v>
      </c>
      <c r="H3232" s="8" t="s">
        <v>3981</v>
      </c>
      <c r="I3232" s="9">
        <v>0.0</v>
      </c>
      <c r="J3232" s="5" t="str">
        <f t="shared" ref="J3232:K3232" si="3232">SUBSTITUTE(H3232, ",", "")</f>
        <v>0</v>
      </c>
      <c r="K3232" s="5" t="str">
        <f t="shared" si="3232"/>
        <v>Rp0</v>
      </c>
      <c r="L3232" s="5" t="str">
        <f t="shared" si="3"/>
        <v>0</v>
      </c>
    </row>
    <row r="3233">
      <c r="A3233" s="6" t="s">
        <v>4548</v>
      </c>
      <c r="B3233" s="7" t="str">
        <f>HYPERLINK("https://shopee.co.id/Luxcrime-Venus-Essence-Hydrating-Glowing-30ml-i.825870.2809588568", "https://shopee.co.id/Luxcrime-Venus-Essence-Hydrating-Glowing-30ml-i.825870.2809588568")</f>
        <v>https://shopee.co.id/Luxcrime-Venus-Essence-Hydrating-Glowing-30ml-i.825870.2809588568</v>
      </c>
      <c r="C3233" s="6" t="s">
        <v>1646</v>
      </c>
      <c r="D3233" s="6" t="s">
        <v>1184</v>
      </c>
      <c r="E3233" s="6" t="s">
        <v>12</v>
      </c>
      <c r="F3233" s="6" t="s">
        <v>13</v>
      </c>
      <c r="G3233" s="6" t="s">
        <v>21</v>
      </c>
      <c r="H3233" s="8" t="s">
        <v>3981</v>
      </c>
      <c r="I3233" s="9">
        <v>0.0</v>
      </c>
      <c r="J3233" s="5" t="str">
        <f t="shared" ref="J3233:K3233" si="3233">SUBSTITUTE(H3233, ",", "")</f>
        <v>0</v>
      </c>
      <c r="K3233" s="5" t="str">
        <f t="shared" si="3233"/>
        <v>Rp0</v>
      </c>
      <c r="L3233" s="5" t="str">
        <f t="shared" si="3"/>
        <v>0</v>
      </c>
    </row>
    <row r="3234">
      <c r="A3234" s="6" t="s">
        <v>1645</v>
      </c>
      <c r="B3234" s="7" t="str">
        <f>HYPERLINK("https://shopee.co.id/Luxcrime-Venus-Serum-Hydrating-Glowing-i.68111.9213796287", "https://shopee.co.id/Luxcrime-Venus-Serum-Hydrating-Glowing-i.68111.9213796287")</f>
        <v>https://shopee.co.id/Luxcrime-Venus-Serum-Hydrating-Glowing-i.68111.9213796287</v>
      </c>
      <c r="C3234" s="6" t="s">
        <v>1646</v>
      </c>
      <c r="D3234" s="6" t="s">
        <v>441</v>
      </c>
      <c r="E3234" s="6" t="s">
        <v>12</v>
      </c>
      <c r="F3234" s="6" t="s">
        <v>13</v>
      </c>
      <c r="G3234" s="6" t="s">
        <v>130</v>
      </c>
      <c r="H3234" s="8" t="s">
        <v>3981</v>
      </c>
      <c r="I3234" s="9">
        <v>0.0</v>
      </c>
      <c r="J3234" s="5" t="str">
        <f t="shared" ref="J3234:K3234" si="3234">SUBSTITUTE(H3234, ",", "")</f>
        <v>0</v>
      </c>
      <c r="K3234" s="5" t="str">
        <f t="shared" si="3234"/>
        <v>Rp0</v>
      </c>
      <c r="L3234" s="5" t="str">
        <f t="shared" si="3"/>
        <v>0</v>
      </c>
    </row>
    <row r="3235">
      <c r="A3235" s="6" t="s">
        <v>4549</v>
      </c>
      <c r="B3235" s="7" t="str">
        <f>HYPERLINK("https://shopee.co.id/Lysca-Paket-Hemat-Pure-Essence-Toner-White-Serum-i.267190835.10912042232", "https://shopee.co.id/Lysca-Paket-Hemat-Pure-Essence-Toner-White-Serum-i.267190835.10912042232")</f>
        <v>https://shopee.co.id/Lysca-Paket-Hemat-Pure-Essence-Toner-White-Serum-i.267190835.10912042232</v>
      </c>
      <c r="C3235" s="6" t="s">
        <v>2097</v>
      </c>
      <c r="D3235" s="6" t="s">
        <v>2098</v>
      </c>
      <c r="E3235" s="6" t="s">
        <v>12</v>
      </c>
      <c r="F3235" s="6" t="s">
        <v>13</v>
      </c>
      <c r="G3235" s="6" t="s">
        <v>115</v>
      </c>
      <c r="H3235" s="8" t="s">
        <v>3981</v>
      </c>
      <c r="I3235" s="9">
        <v>0.0</v>
      </c>
      <c r="J3235" s="5" t="str">
        <f t="shared" ref="J3235:K3235" si="3235">SUBSTITUTE(H3235, ",", "")</f>
        <v>0</v>
      </c>
      <c r="K3235" s="5" t="str">
        <f t="shared" si="3235"/>
        <v>Rp0</v>
      </c>
      <c r="L3235" s="5" t="str">
        <f t="shared" si="3"/>
        <v>0</v>
      </c>
    </row>
    <row r="3236">
      <c r="A3236" s="6" t="s">
        <v>4550</v>
      </c>
      <c r="B3236" s="7" t="str">
        <f>HYPERLINK("https://shopee.co.id/MAHARIS-SKIN-CARE-Sublime-Serum-30ml-i.68111.7233822832", "https://shopee.co.id/MAHARIS-SKIN-CARE-Sublime-Serum-30ml-i.68111.7233822832")</f>
        <v>https://shopee.co.id/MAHARIS-SKIN-CARE-Sublime-Serum-30ml-i.68111.7233822832</v>
      </c>
      <c r="C3236" s="6" t="s">
        <v>1946</v>
      </c>
      <c r="D3236" s="6" t="s">
        <v>441</v>
      </c>
      <c r="E3236" s="6" t="s">
        <v>12</v>
      </c>
      <c r="F3236" s="6" t="s">
        <v>13</v>
      </c>
      <c r="G3236" s="6" t="s">
        <v>130</v>
      </c>
      <c r="H3236" s="8" t="s">
        <v>3981</v>
      </c>
      <c r="I3236" s="9">
        <v>0.0</v>
      </c>
      <c r="J3236" s="5" t="str">
        <f t="shared" ref="J3236:K3236" si="3236">SUBSTITUTE(H3236, ",", "")</f>
        <v>0</v>
      </c>
      <c r="K3236" s="5" t="str">
        <f t="shared" si="3236"/>
        <v>Rp0</v>
      </c>
      <c r="L3236" s="5" t="str">
        <f t="shared" si="3"/>
        <v>0</v>
      </c>
    </row>
    <row r="3237">
      <c r="A3237" s="6" t="s">
        <v>4551</v>
      </c>
      <c r="B3237" s="7" t="str">
        <f>HYPERLINK("https://shopee.co.id/Maharis-SkinCare-Sun-Defense-Sublime-Serum-Bundle-i.199236456.6852462774", "https://shopee.co.id/Maharis-SkinCare-Sun-Defense-Sublime-Serum-Bundle-i.199236456.6852462774")</f>
        <v>https://shopee.co.id/Maharis-SkinCare-Sun-Defense-Sublime-Serum-Bundle-i.199236456.6852462774</v>
      </c>
      <c r="C3237" s="6" t="s">
        <v>1946</v>
      </c>
      <c r="D3237" s="6" t="s">
        <v>1947</v>
      </c>
      <c r="E3237" s="6" t="s">
        <v>12</v>
      </c>
      <c r="F3237" s="6" t="s">
        <v>13</v>
      </c>
      <c r="G3237" s="6" t="s">
        <v>98</v>
      </c>
      <c r="H3237" s="8" t="s">
        <v>3981</v>
      </c>
      <c r="I3237" s="9">
        <v>0.0</v>
      </c>
      <c r="J3237" s="5" t="str">
        <f t="shared" ref="J3237:K3237" si="3237">SUBSTITUTE(H3237, ",", "")</f>
        <v>0</v>
      </c>
      <c r="K3237" s="5" t="str">
        <f t="shared" si="3237"/>
        <v>Rp0</v>
      </c>
      <c r="L3237" s="5" t="str">
        <f t="shared" si="3"/>
        <v>0</v>
      </c>
    </row>
    <row r="3238">
      <c r="A3238" s="6" t="s">
        <v>4552</v>
      </c>
      <c r="B3238" s="7" t="str">
        <f>HYPERLINK("https://shopee.co.id/Make-Over-Hydration-Serum-33-ml-i.24819895.3733066051", "https://shopee.co.id/Make-Over-Hydration-Serum-33-ml-i.24819895.3733066051")</f>
        <v>https://shopee.co.id/Make-Over-Hydration-Serum-33-ml-i.24819895.3733066051</v>
      </c>
      <c r="C3238" s="6" t="s">
        <v>290</v>
      </c>
      <c r="D3238" s="6" t="s">
        <v>2491</v>
      </c>
      <c r="E3238" s="6" t="s">
        <v>12</v>
      </c>
      <c r="F3238" s="6" t="s">
        <v>13</v>
      </c>
      <c r="G3238" s="6" t="s">
        <v>1085</v>
      </c>
      <c r="H3238" s="8" t="s">
        <v>3981</v>
      </c>
      <c r="I3238" s="9">
        <v>0.0</v>
      </c>
      <c r="J3238" s="5" t="str">
        <f t="shared" ref="J3238:K3238" si="3238">SUBSTITUTE(H3238, ",", "")</f>
        <v>0</v>
      </c>
      <c r="K3238" s="5" t="str">
        <f t="shared" si="3238"/>
        <v>Rp0</v>
      </c>
      <c r="L3238" s="5" t="str">
        <f t="shared" si="3"/>
        <v>0</v>
      </c>
    </row>
    <row r="3239">
      <c r="A3239" s="6" t="s">
        <v>4553</v>
      </c>
      <c r="B3239" s="7" t="str">
        <f>HYPERLINK("https://shopee.co.id/Make-Over-Hydration-Serum-33ml-i.825870.8631677884", "https://shopee.co.id/Make-Over-Hydration-Serum-33ml-i.825870.8631677884")</f>
        <v>https://shopee.co.id/Make-Over-Hydration-Serum-33ml-i.825870.8631677884</v>
      </c>
      <c r="C3239" s="6" t="s">
        <v>290</v>
      </c>
      <c r="D3239" s="6" t="s">
        <v>1184</v>
      </c>
      <c r="E3239" s="6" t="s">
        <v>12</v>
      </c>
      <c r="F3239" s="6" t="s">
        <v>13</v>
      </c>
      <c r="G3239" s="6" t="s">
        <v>21</v>
      </c>
      <c r="H3239" s="8" t="s">
        <v>3981</v>
      </c>
      <c r="I3239" s="9">
        <v>0.0</v>
      </c>
      <c r="J3239" s="5" t="str">
        <f t="shared" ref="J3239:K3239" si="3239">SUBSTITUTE(H3239, ",", "")</f>
        <v>0</v>
      </c>
      <c r="K3239" s="5" t="str">
        <f t="shared" si="3239"/>
        <v>Rp0</v>
      </c>
      <c r="L3239" s="5" t="str">
        <f t="shared" si="3"/>
        <v>0</v>
      </c>
    </row>
    <row r="3240">
      <c r="A3240" s="6" t="s">
        <v>4554</v>
      </c>
      <c r="B3240" s="7" t="str">
        <f>HYPERLINK("https://shopee.co.id/MAKE-OVER-HYDRATION-SERUM-33-ML-i.221656536.7547592113", "https://shopee.co.id/MAKE-OVER-HYDRATION-SERUM-33-ML-i.221656536.7547592113")</f>
        <v>https://shopee.co.id/MAKE-OVER-HYDRATION-SERUM-33-ML-i.221656536.7547592113</v>
      </c>
      <c r="C3240" s="6" t="s">
        <v>290</v>
      </c>
      <c r="D3240" s="6" t="s">
        <v>4555</v>
      </c>
      <c r="E3240" s="6" t="s">
        <v>12</v>
      </c>
      <c r="F3240" s="6" t="s">
        <v>13</v>
      </c>
      <c r="G3240" s="6" t="s">
        <v>241</v>
      </c>
      <c r="H3240" s="8" t="s">
        <v>3981</v>
      </c>
      <c r="I3240" s="9">
        <v>0.0</v>
      </c>
      <c r="J3240" s="5" t="str">
        <f t="shared" ref="J3240:K3240" si="3240">SUBSTITUTE(H3240, ",", "")</f>
        <v>0</v>
      </c>
      <c r="K3240" s="5" t="str">
        <f t="shared" si="3240"/>
        <v>Rp0</v>
      </c>
      <c r="L3240" s="5" t="str">
        <f t="shared" si="3"/>
        <v>0</v>
      </c>
    </row>
    <row r="3241">
      <c r="A3241" s="6" t="s">
        <v>4556</v>
      </c>
      <c r="B3241" s="7" t="str">
        <f>HYPERLINK("https://shopee.co.id/MakeOver-Hydration-Serum-33-ml-400170--i.16735262.6079482552", "https://shopee.co.id/MakeOver-Hydration-Serum-33-ml-400170--i.16735262.6079482552")</f>
        <v>https://shopee.co.id/MakeOver-Hydration-Serum-33-ml-400170--i.16735262.6079482552</v>
      </c>
      <c r="C3241" s="6" t="s">
        <v>290</v>
      </c>
      <c r="D3241" s="6" t="s">
        <v>3598</v>
      </c>
      <c r="E3241" s="6" t="s">
        <v>12</v>
      </c>
      <c r="F3241" s="6" t="s">
        <v>13</v>
      </c>
      <c r="G3241" s="6" t="s">
        <v>36</v>
      </c>
      <c r="H3241" s="8" t="s">
        <v>3981</v>
      </c>
      <c r="I3241" s="9">
        <v>0.0</v>
      </c>
      <c r="J3241" s="5" t="str">
        <f t="shared" ref="J3241:K3241" si="3241">SUBSTITUTE(H3241, ",", "")</f>
        <v>0</v>
      </c>
      <c r="K3241" s="5" t="str">
        <f t="shared" si="3241"/>
        <v>Rp0</v>
      </c>
      <c r="L3241" s="5" t="str">
        <f t="shared" si="3"/>
        <v>0</v>
      </c>
    </row>
    <row r="3242">
      <c r="A3242" s="6" t="s">
        <v>4557</v>
      </c>
      <c r="B3242" s="7" t="str">
        <f>HYPERLINK("https://shopee.co.id/Man-Made-All-in-One-Essence-50ml-x-2pcs-i.373494324.8611541669", "https://shopee.co.id/Man-Made-All-in-One-Essence-50ml-x-2pcs-i.373494324.8611541669")</f>
        <v>https://shopee.co.id/Man-Made-All-in-One-Essence-50ml-x-2pcs-i.373494324.8611541669</v>
      </c>
      <c r="C3242" s="6" t="s">
        <v>3643</v>
      </c>
      <c r="D3242" s="6" t="s">
        <v>3644</v>
      </c>
      <c r="E3242" s="6" t="s">
        <v>12</v>
      </c>
      <c r="F3242" s="6" t="s">
        <v>13</v>
      </c>
      <c r="G3242" s="6" t="s">
        <v>98</v>
      </c>
      <c r="H3242" s="8" t="s">
        <v>3981</v>
      </c>
      <c r="I3242" s="9">
        <v>0.0</v>
      </c>
      <c r="J3242" s="5" t="str">
        <f t="shared" ref="J3242:K3242" si="3242">SUBSTITUTE(H3242, ",", "")</f>
        <v>0</v>
      </c>
      <c r="K3242" s="5" t="str">
        <f t="shared" si="3242"/>
        <v>Rp0</v>
      </c>
      <c r="L3242" s="5" t="str">
        <f t="shared" si="3"/>
        <v>0</v>
      </c>
    </row>
    <row r="3243">
      <c r="A3243" s="6" t="s">
        <v>4558</v>
      </c>
      <c r="B3243" s="7" t="str">
        <f>HYPERLINK("https://shopee.co.id/MARTINEZ-BEAUTE-LUXE-WHITE-BRIGHTENING-ELIXIR-ULTIME-TREATMENT-ESSENCE-100ML-BOTTLE-i.8463767.7537019610", "https://shopee.co.id/MARTINEZ-BEAUTE-LUXE-WHITE-BRIGHTENING-ELIXIR-ULTIME-TREATMENT-ESSENCE-100ML-BOTTLE-i.8463767.7537019610")</f>
        <v>https://shopee.co.id/MARTINEZ-BEAUTE-LUXE-WHITE-BRIGHTENING-ELIXIR-ULTIME-TREATMENT-ESSENCE-100ML-BOTTLE-i.8463767.7537019610</v>
      </c>
      <c r="C3243" s="6" t="s">
        <v>4559</v>
      </c>
      <c r="D3243" s="6" t="s">
        <v>3454</v>
      </c>
      <c r="E3243" s="6" t="s">
        <v>12</v>
      </c>
      <c r="F3243" s="6" t="s">
        <v>13</v>
      </c>
      <c r="G3243" s="6" t="s">
        <v>36</v>
      </c>
      <c r="H3243" s="8" t="s">
        <v>3981</v>
      </c>
      <c r="I3243" s="9">
        <v>0.0</v>
      </c>
      <c r="J3243" s="5" t="str">
        <f t="shared" ref="J3243:K3243" si="3243">SUBSTITUTE(H3243, ",", "")</f>
        <v>0</v>
      </c>
      <c r="K3243" s="5" t="str">
        <f t="shared" si="3243"/>
        <v>Rp0</v>
      </c>
      <c r="L3243" s="5" t="str">
        <f t="shared" si="3"/>
        <v>0</v>
      </c>
    </row>
    <row r="3244">
      <c r="A3244" s="6" t="s">
        <v>4560</v>
      </c>
      <c r="B3244" s="7" t="str">
        <f>HYPERLINK("https://shopee.co.id/MD-Glowing-Acne-Biosulfur-Serum-i.98061713.1733964715", "https://shopee.co.id/MD-Glowing-Acne-Biosulfur-Serum-i.98061713.1733964715")</f>
        <v>https://shopee.co.id/MD-Glowing-Acne-Biosulfur-Serum-i.98061713.1733964715</v>
      </c>
      <c r="C3244" s="6" t="s">
        <v>1353</v>
      </c>
      <c r="D3244" s="6" t="s">
        <v>1354</v>
      </c>
      <c r="E3244" s="6" t="s">
        <v>12</v>
      </c>
      <c r="F3244" s="6" t="s">
        <v>13</v>
      </c>
      <c r="G3244" s="6" t="s">
        <v>370</v>
      </c>
      <c r="H3244" s="8" t="s">
        <v>3981</v>
      </c>
      <c r="I3244" s="9">
        <v>0.0</v>
      </c>
      <c r="J3244" s="5" t="str">
        <f t="shared" ref="J3244:K3244" si="3244">SUBSTITUTE(H3244, ",", "")</f>
        <v>0</v>
      </c>
      <c r="K3244" s="5" t="str">
        <f t="shared" si="3244"/>
        <v>Rp0</v>
      </c>
      <c r="L3244" s="5" t="str">
        <f t="shared" si="3"/>
        <v>0</v>
      </c>
    </row>
    <row r="3245">
      <c r="A3245" s="6" t="s">
        <v>4561</v>
      </c>
      <c r="B3245" s="7" t="str">
        <f>HYPERLINK("https://shopee.co.id/Mediheal-Masking-Layering-Ampoule-Hydra-Shot-Size-4-ml-3-Edit-by-Sociolla-i.224957239.6630574133", "https://shopee.co.id/Mediheal-Masking-Layering-Ampoule-Hydra-Shot-Size-4-ml-3-Edit-by-Sociolla-i.224957239.6630574133")</f>
        <v>https://shopee.co.id/Mediheal-Masking-Layering-Ampoule-Hydra-Shot-Size-4-ml-3-Edit-by-Sociolla-i.224957239.6630574133</v>
      </c>
      <c r="C3245" s="6" t="s">
        <v>2972</v>
      </c>
      <c r="D3245" s="6" t="s">
        <v>492</v>
      </c>
      <c r="E3245" s="6" t="s">
        <v>12</v>
      </c>
      <c r="F3245" s="6" t="s">
        <v>13</v>
      </c>
      <c r="G3245" s="6" t="s">
        <v>21</v>
      </c>
      <c r="H3245" s="8" t="s">
        <v>3981</v>
      </c>
      <c r="I3245" s="9">
        <v>0.0</v>
      </c>
      <c r="J3245" s="5" t="str">
        <f t="shared" ref="J3245:K3245" si="3245">SUBSTITUTE(H3245, ",", "")</f>
        <v>0</v>
      </c>
      <c r="K3245" s="5" t="str">
        <f t="shared" si="3245"/>
        <v>Rp0</v>
      </c>
      <c r="L3245" s="5" t="str">
        <f t="shared" si="3"/>
        <v>0</v>
      </c>
    </row>
    <row r="3246">
      <c r="A3246" s="6" t="s">
        <v>3343</v>
      </c>
      <c r="B3246" s="7" t="str">
        <f>HYPERLINK("https://shopee.co.id/Melanox-Premium-Serum-15-ml-i.36998337.7551950310", "https://shopee.co.id/Melanox-Premium-Serum-15-ml-i.36998337.7551950310")</f>
        <v>https://shopee.co.id/Melanox-Premium-Serum-15-ml-i.36998337.7551950310</v>
      </c>
      <c r="C3246" s="6" t="s">
        <v>1606</v>
      </c>
      <c r="D3246" s="6" t="s">
        <v>2449</v>
      </c>
      <c r="E3246" s="6" t="s">
        <v>12</v>
      </c>
      <c r="F3246" s="6" t="s">
        <v>13</v>
      </c>
      <c r="G3246" s="6" t="s">
        <v>98</v>
      </c>
      <c r="H3246" s="8" t="s">
        <v>3981</v>
      </c>
      <c r="I3246" s="9">
        <v>0.0</v>
      </c>
      <c r="J3246" s="5" t="str">
        <f t="shared" ref="J3246:K3246" si="3246">SUBSTITUTE(H3246, ",", "")</f>
        <v>0</v>
      </c>
      <c r="K3246" s="5" t="str">
        <f t="shared" si="3246"/>
        <v>Rp0</v>
      </c>
      <c r="L3246" s="5" t="str">
        <f t="shared" si="3"/>
        <v>0</v>
      </c>
    </row>
    <row r="3247">
      <c r="A3247" s="6" t="s">
        <v>4562</v>
      </c>
      <c r="B3247" s="7" t="str">
        <f>HYPERLINK("https://shopee.co.id/Melanox-Premium-Whitening-Serum-Perawatan-Wajah-Serum-Wajah-i.185943783.6661812610", "https://shopee.co.id/Melanox-Premium-Whitening-Serum-Perawatan-Wajah-Serum-Wajah-i.185943783.6661812610")</f>
        <v>https://shopee.co.id/Melanox-Premium-Whitening-Serum-Perawatan-Wajah-Serum-Wajah-i.185943783.6661812610</v>
      </c>
      <c r="C3247" s="6" t="s">
        <v>1606</v>
      </c>
      <c r="D3247" s="6" t="s">
        <v>3429</v>
      </c>
      <c r="E3247" s="6" t="s">
        <v>12</v>
      </c>
      <c r="F3247" s="6" t="s">
        <v>13</v>
      </c>
      <c r="G3247" s="6" t="s">
        <v>36</v>
      </c>
      <c r="H3247" s="8" t="s">
        <v>3981</v>
      </c>
      <c r="I3247" s="9">
        <v>0.0</v>
      </c>
      <c r="J3247" s="5" t="str">
        <f t="shared" ref="J3247:K3247" si="3247">SUBSTITUTE(H3247, ",", "")</f>
        <v>0</v>
      </c>
      <c r="K3247" s="5" t="str">
        <f t="shared" si="3247"/>
        <v>Rp0</v>
      </c>
      <c r="L3247" s="5" t="str">
        <f t="shared" si="3"/>
        <v>0</v>
      </c>
    </row>
    <row r="3248">
      <c r="A3248" s="6" t="s">
        <v>4563</v>
      </c>
      <c r="B3248" s="7" t="str">
        <f>HYPERLINK("https://shopee.co.id/Mesoestetic-Glycolic-E-F-Ampoules-10x2ml-i.353481368.3571599515", "https://shopee.co.id/Mesoestetic-Glycolic-E-F-Ampoules-10x2ml-i.353481368.3571599515")</f>
        <v>https://shopee.co.id/Mesoestetic-Glycolic-E-F-Ampoules-10x2ml-i.353481368.3571599515</v>
      </c>
      <c r="C3248" s="6" t="s">
        <v>2226</v>
      </c>
      <c r="D3248" s="6" t="s">
        <v>2227</v>
      </c>
      <c r="E3248" s="6" t="s">
        <v>12</v>
      </c>
      <c r="F3248" s="6" t="s">
        <v>13</v>
      </c>
      <c r="G3248" s="6" t="s">
        <v>21</v>
      </c>
      <c r="H3248" s="8" t="s">
        <v>3981</v>
      </c>
      <c r="I3248" s="9">
        <v>0.0</v>
      </c>
      <c r="J3248" s="5" t="str">
        <f t="shared" ref="J3248:K3248" si="3248">SUBSTITUTE(H3248, ",", "")</f>
        <v>0</v>
      </c>
      <c r="K3248" s="5" t="str">
        <f t="shared" si="3248"/>
        <v>Rp0</v>
      </c>
      <c r="L3248" s="5" t="str">
        <f t="shared" si="3"/>
        <v>0</v>
      </c>
    </row>
    <row r="3249">
      <c r="A3249" s="6" t="s">
        <v>4564</v>
      </c>
      <c r="B3249" s="7" t="str">
        <f>HYPERLINK("https://shopee.co.id/Mesoestetic-Melan-Tran3x-Intensive-Concentrate-30ml-i.353481368.7373902885", "https://shopee.co.id/Mesoestetic-Melan-Tran3x-Intensive-Concentrate-30ml-i.353481368.7373902885")</f>
        <v>https://shopee.co.id/Mesoestetic-Melan-Tran3x-Intensive-Concentrate-30ml-i.353481368.7373902885</v>
      </c>
      <c r="C3249" s="6" t="s">
        <v>2226</v>
      </c>
      <c r="D3249" s="6" t="s">
        <v>2227</v>
      </c>
      <c r="E3249" s="6" t="s">
        <v>12</v>
      </c>
      <c r="F3249" s="6" t="s">
        <v>13</v>
      </c>
      <c r="G3249" s="6" t="s">
        <v>21</v>
      </c>
      <c r="H3249" s="8" t="s">
        <v>3981</v>
      </c>
      <c r="I3249" s="9">
        <v>0.0</v>
      </c>
      <c r="J3249" s="5" t="str">
        <f t="shared" ref="J3249:K3249" si="3249">SUBSTITUTE(H3249, ",", "")</f>
        <v>0</v>
      </c>
      <c r="K3249" s="5" t="str">
        <f t="shared" si="3249"/>
        <v>Rp0</v>
      </c>
      <c r="L3249" s="5" t="str">
        <f t="shared" si="3"/>
        <v>0</v>
      </c>
    </row>
    <row r="3250">
      <c r="A3250" s="6" t="s">
        <v>4565</v>
      </c>
      <c r="B3250" s="7" t="str">
        <f>HYPERLINK("https://shopee.co.id/MFS-Special-Shiseido-Creamy-Cleansing-Emulsion-i.345419471.7869542701", "https://shopee.co.id/MFS-Special-Shiseido-Creamy-Cleansing-Emulsion-i.345419471.7869542701")</f>
        <v>https://shopee.co.id/MFS-Special-Shiseido-Creamy-Cleansing-Emulsion-i.345419471.7869542701</v>
      </c>
      <c r="C3250" s="6" t="s">
        <v>868</v>
      </c>
      <c r="D3250" s="6" t="s">
        <v>869</v>
      </c>
      <c r="E3250" s="6" t="s">
        <v>12</v>
      </c>
      <c r="F3250" s="6" t="s">
        <v>13</v>
      </c>
      <c r="G3250" s="6" t="s">
        <v>130</v>
      </c>
      <c r="H3250" s="8" t="s">
        <v>3981</v>
      </c>
      <c r="I3250" s="9">
        <v>0.0</v>
      </c>
      <c r="J3250" s="5" t="str">
        <f t="shared" ref="J3250:K3250" si="3250">SUBSTITUTE(H3250, ",", "")</f>
        <v>0</v>
      </c>
      <c r="K3250" s="5" t="str">
        <f t="shared" si="3250"/>
        <v>Rp0</v>
      </c>
      <c r="L3250" s="5" t="str">
        <f t="shared" si="3"/>
        <v>0</v>
      </c>
    </row>
    <row r="3251">
      <c r="A3251" s="6" t="s">
        <v>4566</v>
      </c>
      <c r="B3251" s="7" t="str">
        <f>HYPERLINK("https://shopee.co.id/Mila-D-opiz-Skin-Purifying-Clear-Serum-30ml-Miladopiz-i.322619273.6057937342", "https://shopee.co.id/Mila-D-opiz-Skin-Purifying-Clear-Serum-30ml-Miladopiz-i.322619273.6057937342")</f>
        <v>https://shopee.co.id/Mila-D-opiz-Skin-Purifying-Clear-Serum-30ml-Miladopiz-i.322619273.6057937342</v>
      </c>
      <c r="C3251" s="6" t="s">
        <v>2182</v>
      </c>
      <c r="D3251" s="6" t="s">
        <v>2183</v>
      </c>
      <c r="E3251" s="6" t="s">
        <v>12</v>
      </c>
      <c r="F3251" s="6" t="s">
        <v>13</v>
      </c>
      <c r="G3251" s="6" t="s">
        <v>469</v>
      </c>
      <c r="H3251" s="8" t="s">
        <v>3981</v>
      </c>
      <c r="I3251" s="9">
        <v>0.0</v>
      </c>
      <c r="J3251" s="5" t="str">
        <f t="shared" ref="J3251:K3251" si="3251">SUBSTITUTE(H3251, ",", "")</f>
        <v>0</v>
      </c>
      <c r="K3251" s="5" t="str">
        <f t="shared" si="3251"/>
        <v>Rp0</v>
      </c>
      <c r="L3251" s="5" t="str">
        <f t="shared" si="3"/>
        <v>0</v>
      </c>
    </row>
    <row r="3252">
      <c r="A3252" s="6" t="s">
        <v>4567</v>
      </c>
      <c r="B3252" s="7" t="str">
        <f>HYPERLINK("https://shopee.co.id/Mila-D-opiz-Stem-cells-Ampoule-50ml-Miladopiz-Stemcells-Ampoule-50ml-i.322619273.5463818960", "https://shopee.co.id/Mila-D-opiz-Stem-cells-Ampoule-50ml-Miladopiz-Stemcells-Ampoule-50ml-i.322619273.5463818960")</f>
        <v>https://shopee.co.id/Mila-D-opiz-Stem-cells-Ampoule-50ml-Miladopiz-Stemcells-Ampoule-50ml-i.322619273.5463818960</v>
      </c>
      <c r="C3252" s="6" t="s">
        <v>2182</v>
      </c>
      <c r="D3252" s="6" t="s">
        <v>2183</v>
      </c>
      <c r="E3252" s="6" t="s">
        <v>12</v>
      </c>
      <c r="F3252" s="6" t="s">
        <v>13</v>
      </c>
      <c r="G3252" s="6" t="s">
        <v>469</v>
      </c>
      <c r="H3252" s="8" t="s">
        <v>3981</v>
      </c>
      <c r="I3252" s="9">
        <v>0.0</v>
      </c>
      <c r="J3252" s="5" t="str">
        <f t="shared" ref="J3252:K3252" si="3252">SUBSTITUTE(H3252, ",", "")</f>
        <v>0</v>
      </c>
      <c r="K3252" s="5" t="str">
        <f t="shared" si="3252"/>
        <v>Rp0</v>
      </c>
      <c r="L3252" s="5" t="str">
        <f t="shared" si="3"/>
        <v>0</v>
      </c>
    </row>
    <row r="3253">
      <c r="A3253" s="6" t="s">
        <v>4568</v>
      </c>
      <c r="B3253" s="7" t="str">
        <f>HYPERLINK("https://shopee.co.id/Mila-D-opiz-Stem-Cells-Ampoule-5ml-Miladopiz-Anti-Aging-Ampoule-Stemcells-i.322619273.7857905812", "https://shopee.co.id/Mila-D-opiz-Stem-Cells-Ampoule-5ml-Miladopiz-Anti-Aging-Ampoule-Stemcells-i.322619273.7857905812")</f>
        <v>https://shopee.co.id/Mila-D-opiz-Stem-Cells-Ampoule-5ml-Miladopiz-Anti-Aging-Ampoule-Stemcells-i.322619273.7857905812</v>
      </c>
      <c r="C3253" s="6" t="s">
        <v>2182</v>
      </c>
      <c r="D3253" s="6" t="s">
        <v>2183</v>
      </c>
      <c r="E3253" s="6" t="s">
        <v>12</v>
      </c>
      <c r="F3253" s="6" t="s">
        <v>13</v>
      </c>
      <c r="G3253" s="6" t="s">
        <v>469</v>
      </c>
      <c r="H3253" s="8" t="s">
        <v>3981</v>
      </c>
      <c r="I3253" s="9">
        <v>0.0</v>
      </c>
      <c r="J3253" s="5" t="str">
        <f t="shared" ref="J3253:K3253" si="3253">SUBSTITUTE(H3253, ",", "")</f>
        <v>0</v>
      </c>
      <c r="K3253" s="5" t="str">
        <f t="shared" si="3253"/>
        <v>Rp0</v>
      </c>
      <c r="L3253" s="5" t="str">
        <f t="shared" si="3"/>
        <v>0</v>
      </c>
    </row>
    <row r="3254">
      <c r="A3254" s="6" t="s">
        <v>4569</v>
      </c>
      <c r="B3254" s="7" t="str">
        <f>HYPERLINK("https://shopee.co.id/Mila-D-opiz-The-Skin-Whisperer-Serum-30ml-Miladopiz-i.322619273.7357893953", "https://shopee.co.id/Mila-D-opiz-The-Skin-Whisperer-Serum-30ml-Miladopiz-i.322619273.7357893953")</f>
        <v>https://shopee.co.id/Mila-D-opiz-The-Skin-Whisperer-Serum-30ml-Miladopiz-i.322619273.7357893953</v>
      </c>
      <c r="C3254" s="6" t="s">
        <v>2182</v>
      </c>
      <c r="D3254" s="6" t="s">
        <v>2183</v>
      </c>
      <c r="E3254" s="6" t="s">
        <v>12</v>
      </c>
      <c r="F3254" s="6" t="s">
        <v>13</v>
      </c>
      <c r="G3254" s="6" t="s">
        <v>469</v>
      </c>
      <c r="H3254" s="8" t="s">
        <v>3981</v>
      </c>
      <c r="I3254" s="9">
        <v>0.0</v>
      </c>
      <c r="J3254" s="5" t="str">
        <f t="shared" ref="J3254:K3254" si="3254">SUBSTITUTE(H3254, ",", "")</f>
        <v>0</v>
      </c>
      <c r="K3254" s="5" t="str">
        <f t="shared" si="3254"/>
        <v>Rp0</v>
      </c>
      <c r="L3254" s="5" t="str">
        <f t="shared" si="3"/>
        <v>0</v>
      </c>
    </row>
    <row r="3255">
      <c r="A3255" s="6" t="s">
        <v>4570</v>
      </c>
      <c r="B3255" s="7" t="str">
        <f>HYPERLINK("https://shopee.co.id/MINERAL-BOTANICA-Acne-Care-Perfect-Purifying-Serum-i.187117294.4754184575", "https://shopee.co.id/MINERAL-BOTANICA-Acne-Care-Perfect-Purifying-Serum-i.187117294.4754184575")</f>
        <v>https://shopee.co.id/MINERAL-BOTANICA-Acne-Care-Perfect-Purifying-Serum-i.187117294.4754184575</v>
      </c>
      <c r="C3255" s="6" t="s">
        <v>807</v>
      </c>
      <c r="D3255" s="6" t="s">
        <v>2366</v>
      </c>
      <c r="E3255" s="6" t="s">
        <v>12</v>
      </c>
      <c r="F3255" s="6" t="s">
        <v>13</v>
      </c>
      <c r="G3255" s="6" t="s">
        <v>469</v>
      </c>
      <c r="H3255" s="8" t="s">
        <v>3981</v>
      </c>
      <c r="I3255" s="9">
        <v>0.0</v>
      </c>
      <c r="J3255" s="5" t="str">
        <f t="shared" ref="J3255:K3255" si="3255">SUBSTITUTE(H3255, ",", "")</f>
        <v>0</v>
      </c>
      <c r="K3255" s="5" t="str">
        <f t="shared" si="3255"/>
        <v>Rp0</v>
      </c>
      <c r="L3255" s="5" t="str">
        <f t="shared" si="3"/>
        <v>0</v>
      </c>
    </row>
    <row r="3256">
      <c r="A3256" s="6" t="s">
        <v>4571</v>
      </c>
      <c r="B3256" s="7" t="str">
        <f>HYPERLINK("https://shopee.co.id/Mineral-Botanica-Acne-Serum-15ml-i.121791179.1863493721", "https://shopee.co.id/Mineral-Botanica-Acne-Serum-15ml-i.121791179.1863493721")</f>
        <v>https://shopee.co.id/Mineral-Botanica-Acne-Serum-15ml-i.121791179.1863493721</v>
      </c>
      <c r="C3256" s="6" t="s">
        <v>807</v>
      </c>
      <c r="D3256" s="6" t="s">
        <v>1733</v>
      </c>
      <c r="E3256" s="6" t="s">
        <v>12</v>
      </c>
      <c r="F3256" s="6" t="s">
        <v>13</v>
      </c>
      <c r="G3256" s="6" t="s">
        <v>36</v>
      </c>
      <c r="H3256" s="8" t="s">
        <v>3981</v>
      </c>
      <c r="I3256" s="9">
        <v>0.0</v>
      </c>
      <c r="J3256" s="5" t="str">
        <f t="shared" ref="J3256:K3256" si="3256">SUBSTITUTE(H3256, ",", "")</f>
        <v>0</v>
      </c>
      <c r="K3256" s="5" t="str">
        <f t="shared" si="3256"/>
        <v>Rp0</v>
      </c>
      <c r="L3256" s="5" t="str">
        <f t="shared" si="3"/>
        <v>0</v>
      </c>
    </row>
    <row r="3257">
      <c r="A3257" s="6" t="s">
        <v>4572</v>
      </c>
      <c r="B3257" s="7" t="str">
        <f>HYPERLINK("https://shopee.co.id/MINERAL-BOTANICA-White-Plus-Complex-Serum-i.30736001.1044570276", "https://shopee.co.id/MINERAL-BOTANICA-White-Plus-Complex-Serum-i.30736001.1044570276")</f>
        <v>https://shopee.co.id/MINERAL-BOTANICA-White-Plus-Complex-Serum-i.30736001.1044570276</v>
      </c>
      <c r="C3257" s="6" t="s">
        <v>807</v>
      </c>
      <c r="D3257" s="6" t="s">
        <v>335</v>
      </c>
      <c r="E3257" s="6" t="s">
        <v>12</v>
      </c>
      <c r="F3257" s="6" t="s">
        <v>13</v>
      </c>
      <c r="G3257" s="6" t="s">
        <v>36</v>
      </c>
      <c r="H3257" s="8" t="s">
        <v>3981</v>
      </c>
      <c r="I3257" s="9">
        <v>0.0</v>
      </c>
      <c r="J3257" s="5" t="str">
        <f t="shared" ref="J3257:K3257" si="3257">SUBSTITUTE(H3257, ",", "")</f>
        <v>0</v>
      </c>
      <c r="K3257" s="5" t="str">
        <f t="shared" si="3257"/>
        <v>Rp0</v>
      </c>
      <c r="L3257" s="5" t="str">
        <f t="shared" si="3"/>
        <v>0</v>
      </c>
    </row>
    <row r="3258">
      <c r="A3258" s="6" t="s">
        <v>4573</v>
      </c>
      <c r="B3258" s="7" t="str">
        <f>HYPERLINK("https://shopee.co.id/Mirelle-Acne-Serum-15ml-i.825870.9175026456", "https://shopee.co.id/Mirelle-Acne-Serum-15ml-i.825870.9175026456")</f>
        <v>https://shopee.co.id/Mirelle-Acne-Serum-15ml-i.825870.9175026456</v>
      </c>
      <c r="C3258" s="6" t="s">
        <v>1478</v>
      </c>
      <c r="D3258" s="6" t="s">
        <v>1184</v>
      </c>
      <c r="E3258" s="6" t="s">
        <v>12</v>
      </c>
      <c r="F3258" s="6" t="s">
        <v>13</v>
      </c>
      <c r="G3258" s="6" t="s">
        <v>21</v>
      </c>
      <c r="H3258" s="8" t="s">
        <v>3981</v>
      </c>
      <c r="I3258" s="9">
        <v>0.0</v>
      </c>
      <c r="J3258" s="5" t="str">
        <f t="shared" ref="J3258:K3258" si="3258">SUBSTITUTE(H3258, ",", "")</f>
        <v>0</v>
      </c>
      <c r="K3258" s="5" t="str">
        <f t="shared" si="3258"/>
        <v>Rp0</v>
      </c>
      <c r="L3258" s="5" t="str">
        <f t="shared" si="3"/>
        <v>0</v>
      </c>
    </row>
    <row r="3259">
      <c r="A3259" s="6" t="s">
        <v>4574</v>
      </c>
      <c r="B3259" s="7" t="str">
        <f>HYPERLINK("https://shopee.co.id/MISSHA-Near-Skin-Trouble-Cut-Spot-Cover-i.37557990.6525958546", "https://shopee.co.id/MISSHA-Near-Skin-Trouble-Cut-Spot-Cover-i.37557990.6525958546")</f>
        <v>https://shopee.co.id/MISSHA-Near-Skin-Trouble-Cut-Spot-Cover-i.37557990.6525958546</v>
      </c>
      <c r="C3259" s="6" t="s">
        <v>695</v>
      </c>
      <c r="D3259" s="6" t="s">
        <v>696</v>
      </c>
      <c r="E3259" s="6" t="s">
        <v>12</v>
      </c>
      <c r="F3259" s="6" t="s">
        <v>13</v>
      </c>
      <c r="G3259" s="6" t="s">
        <v>80</v>
      </c>
      <c r="H3259" s="8" t="s">
        <v>3981</v>
      </c>
      <c r="I3259" s="9">
        <v>0.0</v>
      </c>
      <c r="J3259" s="5" t="str">
        <f t="shared" ref="J3259:K3259" si="3259">SUBSTITUTE(H3259, ",", "")</f>
        <v>0</v>
      </c>
      <c r="K3259" s="5" t="str">
        <f t="shared" si="3259"/>
        <v>Rp0</v>
      </c>
      <c r="L3259" s="5" t="str">
        <f t="shared" si="3"/>
        <v>0</v>
      </c>
    </row>
    <row r="3260">
      <c r="A3260" s="6" t="s">
        <v>4575</v>
      </c>
      <c r="B3260" s="7" t="str">
        <f>HYPERLINK("https://shopee.co.id/MISSHA-Paket-Vita-C-Healthy-Set-1-set-Snail-Cleansing-Foam-1--i.37557990.11624922298", "https://shopee.co.id/MISSHA-Paket-Vita-C-Healthy-Set-1-set-Snail-Cleansing-Foam-1--i.37557990.11624922298")</f>
        <v>https://shopee.co.id/MISSHA-Paket-Vita-C-Healthy-Set-1-set-Snail-Cleansing-Foam-1--i.37557990.11624922298</v>
      </c>
      <c r="C3260" s="6" t="s">
        <v>695</v>
      </c>
      <c r="D3260" s="6" t="s">
        <v>696</v>
      </c>
      <c r="E3260" s="6" t="s">
        <v>12</v>
      </c>
      <c r="F3260" s="6" t="s">
        <v>13</v>
      </c>
      <c r="G3260" s="6" t="s">
        <v>80</v>
      </c>
      <c r="H3260" s="8" t="s">
        <v>3981</v>
      </c>
      <c r="I3260" s="9">
        <v>0.0</v>
      </c>
      <c r="J3260" s="5" t="str">
        <f t="shared" ref="J3260:K3260" si="3260">SUBSTITUTE(H3260, ",", "")</f>
        <v>0</v>
      </c>
      <c r="K3260" s="5" t="str">
        <f t="shared" si="3260"/>
        <v>Rp0</v>
      </c>
      <c r="L3260" s="5" t="str">
        <f t="shared" si="3"/>
        <v>0</v>
      </c>
    </row>
    <row r="3261">
      <c r="A3261" s="6" t="s">
        <v>4576</v>
      </c>
      <c r="B3261" s="7" t="str">
        <f>HYPERLINK("https://shopee.co.id/Missha-Super-Aqua-Snail-skin-Treatment-130ML-i.187117294.4137751101", "https://shopee.co.id/Missha-Super-Aqua-Snail-skin-Treatment-130ML-i.187117294.4137751101")</f>
        <v>https://shopee.co.id/Missha-Super-Aqua-Snail-skin-Treatment-130ML-i.187117294.4137751101</v>
      </c>
      <c r="C3261" s="6" t="s">
        <v>695</v>
      </c>
      <c r="D3261" s="6" t="s">
        <v>2366</v>
      </c>
      <c r="E3261" s="6" t="s">
        <v>12</v>
      </c>
      <c r="F3261" s="6" t="s">
        <v>13</v>
      </c>
      <c r="G3261" s="6" t="s">
        <v>469</v>
      </c>
      <c r="H3261" s="8" t="s">
        <v>3981</v>
      </c>
      <c r="I3261" s="9">
        <v>0.0</v>
      </c>
      <c r="J3261" s="5" t="str">
        <f t="shared" ref="J3261:K3261" si="3261">SUBSTITUTE(H3261, ",", "")</f>
        <v>0</v>
      </c>
      <c r="K3261" s="5" t="str">
        <f t="shared" si="3261"/>
        <v>Rp0</v>
      </c>
      <c r="L3261" s="5" t="str">
        <f t="shared" si="3"/>
        <v>0</v>
      </c>
    </row>
    <row r="3262">
      <c r="A3262" s="6" t="s">
        <v>4577</v>
      </c>
      <c r="B3262" s="7" t="str">
        <f>HYPERLINK("https://shopee.co.id/MISSHA-Time-Evolution-The-First-Treatment-Essence-Rx-i.187117294.4938219162", "https://shopee.co.id/MISSHA-Time-Evolution-The-First-Treatment-Essence-Rx-i.187117294.4938219162")</f>
        <v>https://shopee.co.id/MISSHA-Time-Evolution-The-First-Treatment-Essence-Rx-i.187117294.4938219162</v>
      </c>
      <c r="C3262" s="6" t="s">
        <v>695</v>
      </c>
      <c r="D3262" s="6" t="s">
        <v>2366</v>
      </c>
      <c r="E3262" s="6" t="s">
        <v>12</v>
      </c>
      <c r="F3262" s="6" t="s">
        <v>13</v>
      </c>
      <c r="G3262" s="6" t="s">
        <v>469</v>
      </c>
      <c r="H3262" s="8" t="s">
        <v>3981</v>
      </c>
      <c r="I3262" s="9">
        <v>0.0</v>
      </c>
      <c r="J3262" s="5" t="str">
        <f t="shared" ref="J3262:K3262" si="3262">SUBSTITUTE(H3262, ",", "")</f>
        <v>0</v>
      </c>
      <c r="K3262" s="5" t="str">
        <f t="shared" si="3262"/>
        <v>Rp0</v>
      </c>
      <c r="L3262" s="5" t="str">
        <f t="shared" si="3"/>
        <v>0</v>
      </c>
    </row>
    <row r="3263">
      <c r="A3263" s="6" t="s">
        <v>4578</v>
      </c>
      <c r="B3263" s="7" t="str">
        <f>HYPERLINK("https://shopee.co.id/Missha-Time-Revolution-Night-Repair-Probio-Ampoule-i.187117294.7438221535", "https://shopee.co.id/Missha-Time-Revolution-Night-Repair-Probio-Ampoule-i.187117294.7438221535")</f>
        <v>https://shopee.co.id/Missha-Time-Revolution-Night-Repair-Probio-Ampoule-i.187117294.7438221535</v>
      </c>
      <c r="C3263" s="6" t="s">
        <v>695</v>
      </c>
      <c r="D3263" s="6" t="s">
        <v>2366</v>
      </c>
      <c r="E3263" s="6" t="s">
        <v>12</v>
      </c>
      <c r="F3263" s="6" t="s">
        <v>13</v>
      </c>
      <c r="G3263" s="6" t="s">
        <v>469</v>
      </c>
      <c r="H3263" s="8" t="s">
        <v>3981</v>
      </c>
      <c r="I3263" s="9">
        <v>0.0</v>
      </c>
      <c r="J3263" s="5" t="str">
        <f t="shared" ref="J3263:K3263" si="3263">SUBSTITUTE(H3263, ",", "")</f>
        <v>0</v>
      </c>
      <c r="K3263" s="5" t="str">
        <f t="shared" si="3263"/>
        <v>Rp0</v>
      </c>
      <c r="L3263" s="5" t="str">
        <f t="shared" si="3"/>
        <v>0</v>
      </c>
    </row>
    <row r="3264">
      <c r="A3264" s="6" t="s">
        <v>4579</v>
      </c>
      <c r="B3264" s="7" t="str">
        <f>HYPERLINK("https://shopee.co.id/Missha-yei-hyun-essence-i.221656536.11726313474", "https://shopee.co.id/Missha-yei-hyun-essence-i.221656536.11726313474")</f>
        <v>https://shopee.co.id/Missha-yei-hyun-essence-i.221656536.11726313474</v>
      </c>
      <c r="C3264" s="6" t="s">
        <v>695</v>
      </c>
      <c r="D3264" s="6" t="s">
        <v>4555</v>
      </c>
      <c r="E3264" s="6" t="s">
        <v>12</v>
      </c>
      <c r="F3264" s="6" t="s">
        <v>13</v>
      </c>
      <c r="G3264" s="6" t="s">
        <v>241</v>
      </c>
      <c r="H3264" s="8" t="s">
        <v>3981</v>
      </c>
      <c r="I3264" s="9">
        <v>0.0</v>
      </c>
      <c r="J3264" s="5" t="str">
        <f t="shared" ref="J3264:K3264" si="3264">SUBSTITUTE(H3264, ",", "")</f>
        <v>0</v>
      </c>
      <c r="K3264" s="5" t="str">
        <f t="shared" si="3264"/>
        <v>Rp0</v>
      </c>
      <c r="L3264" s="5" t="str">
        <f t="shared" si="3"/>
        <v>0</v>
      </c>
    </row>
    <row r="3265">
      <c r="A3265" s="6" t="s">
        <v>4580</v>
      </c>
      <c r="B3265" s="7" t="str">
        <f>HYPERLINK("https://shopee.co.id/MONSKIN-Glutathione-Vit-C-Serum-15-ml-i.163341372.2534682520", "https://shopee.co.id/MONSKIN-Glutathione-Vit-C-Serum-15-ml-i.163341372.2534682520")</f>
        <v>https://shopee.co.id/MONSKIN-Glutathione-Vit-C-Serum-15-ml-i.163341372.2534682520</v>
      </c>
      <c r="C3265" s="6" t="s">
        <v>4534</v>
      </c>
      <c r="D3265" s="6" t="s">
        <v>4535</v>
      </c>
      <c r="E3265" s="6" t="s">
        <v>12</v>
      </c>
      <c r="F3265" s="6" t="s">
        <v>13</v>
      </c>
      <c r="G3265" s="6" t="s">
        <v>1085</v>
      </c>
      <c r="H3265" s="8" t="s">
        <v>3981</v>
      </c>
      <c r="I3265" s="9">
        <v>0.0</v>
      </c>
      <c r="J3265" s="5" t="str">
        <f t="shared" ref="J3265:K3265" si="3265">SUBSTITUTE(H3265, ",", "")</f>
        <v>0</v>
      </c>
      <c r="K3265" s="5" t="str">
        <f t="shared" si="3265"/>
        <v>Rp0</v>
      </c>
      <c r="L3265" s="5" t="str">
        <f t="shared" si="3"/>
        <v>0</v>
      </c>
    </row>
    <row r="3266">
      <c r="A3266" s="6" t="s">
        <v>4581</v>
      </c>
      <c r="B3266" s="7" t="str">
        <f>HYPERLINK("https://shopee.co.id/MONSKIN-Post-Acne-Lightening-Serum-15-ml-i.163341372.2534750019", "https://shopee.co.id/MONSKIN-Post-Acne-Lightening-Serum-15-ml-i.163341372.2534750019")</f>
        <v>https://shopee.co.id/MONSKIN-Post-Acne-Lightening-Serum-15-ml-i.163341372.2534750019</v>
      </c>
      <c r="C3266" s="6" t="s">
        <v>4534</v>
      </c>
      <c r="D3266" s="6" t="s">
        <v>4535</v>
      </c>
      <c r="E3266" s="6" t="s">
        <v>12</v>
      </c>
      <c r="F3266" s="6" t="s">
        <v>13</v>
      </c>
      <c r="G3266" s="6" t="s">
        <v>1085</v>
      </c>
      <c r="H3266" s="8" t="s">
        <v>3981</v>
      </c>
      <c r="I3266" s="9">
        <v>0.0</v>
      </c>
      <c r="J3266" s="5" t="str">
        <f t="shared" ref="J3266:K3266" si="3266">SUBSTITUTE(H3266, ",", "")</f>
        <v>0</v>
      </c>
      <c r="K3266" s="5" t="str">
        <f t="shared" si="3266"/>
        <v>Rp0</v>
      </c>
      <c r="L3266" s="5" t="str">
        <f t="shared" si="3"/>
        <v>0</v>
      </c>
    </row>
    <row r="3267">
      <c r="A3267" s="6" t="s">
        <v>4582</v>
      </c>
      <c r="B3267" s="7" t="str">
        <f>HYPERLINK("https://shopee.co.id/MONSKIN-Translucent-Brightening-Serum-15-ml-i.163341372.2534723114", "https://shopee.co.id/MONSKIN-Translucent-Brightening-Serum-15-ml-i.163341372.2534723114")</f>
        <v>https://shopee.co.id/MONSKIN-Translucent-Brightening-Serum-15-ml-i.163341372.2534723114</v>
      </c>
      <c r="C3267" s="6" t="s">
        <v>4534</v>
      </c>
      <c r="D3267" s="6" t="s">
        <v>4535</v>
      </c>
      <c r="E3267" s="6" t="s">
        <v>12</v>
      </c>
      <c r="F3267" s="6" t="s">
        <v>13</v>
      </c>
      <c r="G3267" s="6" t="s">
        <v>1085</v>
      </c>
      <c r="H3267" s="8" t="s">
        <v>3981</v>
      </c>
      <c r="I3267" s="9">
        <v>0.0</v>
      </c>
      <c r="J3267" s="5" t="str">
        <f t="shared" ref="J3267:K3267" si="3267">SUBSTITUTE(H3267, ",", "")</f>
        <v>0</v>
      </c>
      <c r="K3267" s="5" t="str">
        <f t="shared" si="3267"/>
        <v>Rp0</v>
      </c>
      <c r="L3267" s="5" t="str">
        <f t="shared" si="3"/>
        <v>0</v>
      </c>
    </row>
    <row r="3268">
      <c r="A3268" s="6" t="s">
        <v>4583</v>
      </c>
      <c r="B3268" s="7" t="str">
        <f>HYPERLINK("https://shopee.co.id/Moriganic-Almond-Oil-Serum-30ml-BPOM-i.160415531.2622186866", "https://shopee.co.id/Moriganic-Almond-Oil-Serum-30ml-BPOM-i.160415531.2622186866")</f>
        <v>https://shopee.co.id/Moriganic-Almond-Oil-Serum-30ml-BPOM-i.160415531.2622186866</v>
      </c>
      <c r="C3268" s="6" t="s">
        <v>1421</v>
      </c>
      <c r="D3268" s="6" t="s">
        <v>1422</v>
      </c>
      <c r="E3268" s="6" t="s">
        <v>12</v>
      </c>
      <c r="F3268" s="6" t="s">
        <v>13</v>
      </c>
      <c r="G3268" s="6" t="s">
        <v>21</v>
      </c>
      <c r="H3268" s="8" t="s">
        <v>3981</v>
      </c>
      <c r="I3268" s="9">
        <v>0.0</v>
      </c>
      <c r="J3268" s="5" t="str">
        <f t="shared" ref="J3268:K3268" si="3268">SUBSTITUTE(H3268, ",", "")</f>
        <v>0</v>
      </c>
      <c r="K3268" s="5" t="str">
        <f t="shared" si="3268"/>
        <v>Rp0</v>
      </c>
      <c r="L3268" s="5" t="str">
        <f t="shared" si="3"/>
        <v>0</v>
      </c>
    </row>
    <row r="3269">
      <c r="A3269" s="6" t="s">
        <v>4584</v>
      </c>
      <c r="B3269" s="7" t="str">
        <f>HYPERLINK("https://shopee.co.id/Moriganic-Castor-Oil-Serum-30ml-BPOM-i.160415531.2622234253", "https://shopee.co.id/Moriganic-Castor-Oil-Serum-30ml-BPOM-i.160415531.2622234253")</f>
        <v>https://shopee.co.id/Moriganic-Castor-Oil-Serum-30ml-BPOM-i.160415531.2622234253</v>
      </c>
      <c r="C3269" s="6" t="s">
        <v>1421</v>
      </c>
      <c r="D3269" s="6" t="s">
        <v>1422</v>
      </c>
      <c r="E3269" s="6" t="s">
        <v>12</v>
      </c>
      <c r="F3269" s="6" t="s">
        <v>13</v>
      </c>
      <c r="G3269" s="6" t="s">
        <v>21</v>
      </c>
      <c r="H3269" s="8" t="s">
        <v>3981</v>
      </c>
      <c r="I3269" s="9">
        <v>0.0</v>
      </c>
      <c r="J3269" s="5" t="str">
        <f t="shared" ref="J3269:K3269" si="3269">SUBSTITUTE(H3269, ",", "")</f>
        <v>0</v>
      </c>
      <c r="K3269" s="5" t="str">
        <f t="shared" si="3269"/>
        <v>Rp0</v>
      </c>
      <c r="L3269" s="5" t="str">
        <f t="shared" si="3"/>
        <v>0</v>
      </c>
    </row>
    <row r="3270">
      <c r="A3270" s="6" t="s">
        <v>4585</v>
      </c>
      <c r="B3270" s="7" t="str">
        <f>HYPERLINK("https://shopee.co.id/Ms-Glow-Peeling-Serum-Mencerahkan-Kulit-Kusam-Bibir-yang-kehitaman-Bpom-Original-Bisa-Bayar-Cod-i.301699781.11729527642", "https://shopee.co.id/Ms-Glow-Peeling-Serum-Mencerahkan-Kulit-Kusam-Bibir-yang-kehitaman-Bpom-Original-Bisa-Bayar-Cod-i.301699781.11729527642")</f>
        <v>https://shopee.co.id/Ms-Glow-Peeling-Serum-Mencerahkan-Kulit-Kusam-Bibir-yang-kehitaman-Bpom-Original-Bisa-Bayar-Cod-i.301699781.11729527642</v>
      </c>
      <c r="C3270" s="6" t="s">
        <v>96</v>
      </c>
      <c r="D3270" s="6" t="s">
        <v>2954</v>
      </c>
      <c r="E3270" s="6" t="s">
        <v>12</v>
      </c>
      <c r="F3270" s="6" t="s">
        <v>13</v>
      </c>
      <c r="G3270" s="6" t="s">
        <v>115</v>
      </c>
      <c r="H3270" s="8" t="s">
        <v>3981</v>
      </c>
      <c r="I3270" s="9">
        <v>0.0</v>
      </c>
      <c r="J3270" s="5" t="str">
        <f t="shared" ref="J3270:K3270" si="3270">SUBSTITUTE(H3270, ",", "")</f>
        <v>0</v>
      </c>
      <c r="K3270" s="5" t="str">
        <f t="shared" si="3270"/>
        <v>Rp0</v>
      </c>
      <c r="L3270" s="5" t="str">
        <f t="shared" si="3"/>
        <v>0</v>
      </c>
    </row>
    <row r="3271">
      <c r="A3271" s="6" t="s">
        <v>4586</v>
      </c>
      <c r="B3271" s="7" t="str">
        <f>HYPERLINK("https://shopee.co.id/MS-Glow-Serum-Acne-Serum-Meredakan-Jerawat-Menghilangkan-Bekas-Jerawat-Mengatasi-Kemerahan-Bpom-i.301699781.10229549184", "https://shopee.co.id/MS-Glow-Serum-Acne-Serum-Meredakan-Jerawat-Menghilangkan-Bekas-Jerawat-Mengatasi-Kemerahan-Bpom-i.301699781.10229549184")</f>
        <v>https://shopee.co.id/MS-Glow-Serum-Acne-Serum-Meredakan-Jerawat-Menghilangkan-Bekas-Jerawat-Mengatasi-Kemerahan-Bpom-i.301699781.10229549184</v>
      </c>
      <c r="C3271" s="6" t="s">
        <v>96</v>
      </c>
      <c r="D3271" s="6" t="s">
        <v>2954</v>
      </c>
      <c r="E3271" s="6" t="s">
        <v>12</v>
      </c>
      <c r="F3271" s="6" t="s">
        <v>13</v>
      </c>
      <c r="G3271" s="6" t="s">
        <v>115</v>
      </c>
      <c r="H3271" s="8" t="s">
        <v>3981</v>
      </c>
      <c r="I3271" s="9">
        <v>0.0</v>
      </c>
      <c r="J3271" s="5" t="str">
        <f t="shared" ref="J3271:K3271" si="3271">SUBSTITUTE(H3271, ",", "")</f>
        <v>0</v>
      </c>
      <c r="K3271" s="5" t="str">
        <f t="shared" si="3271"/>
        <v>Rp0</v>
      </c>
      <c r="L3271" s="5" t="str">
        <f t="shared" si="3"/>
        <v>0</v>
      </c>
    </row>
    <row r="3272">
      <c r="A3272" s="6" t="s">
        <v>4587</v>
      </c>
      <c r="B3272" s="7" t="str">
        <f>HYPERLINK("https://shopee.co.id/MS-Glow-Serum-Lifting-Mencerahkan-dan-Mengatasi-Kerutan-pada-Kulit-Wajah-Menghilangkan-Flek-Hitam-i.301699781.11529534383", "https://shopee.co.id/MS-Glow-Serum-Lifting-Mencerahkan-dan-Mengatasi-Kerutan-pada-Kulit-Wajah-Menghilangkan-Flek-Hitam-i.301699781.11529534383")</f>
        <v>https://shopee.co.id/MS-Glow-Serum-Lifting-Mencerahkan-dan-Mengatasi-Kerutan-pada-Kulit-Wajah-Menghilangkan-Flek-Hitam-i.301699781.11529534383</v>
      </c>
      <c r="C3272" s="6" t="s">
        <v>96</v>
      </c>
      <c r="D3272" s="6" t="s">
        <v>2954</v>
      </c>
      <c r="E3272" s="6" t="s">
        <v>12</v>
      </c>
      <c r="F3272" s="6" t="s">
        <v>13</v>
      </c>
      <c r="G3272" s="6" t="s">
        <v>115</v>
      </c>
      <c r="H3272" s="8" t="s">
        <v>3981</v>
      </c>
      <c r="I3272" s="9">
        <v>0.0</v>
      </c>
      <c r="J3272" s="5" t="str">
        <f t="shared" ref="J3272:K3272" si="3272">SUBSTITUTE(H3272, ",", "")</f>
        <v>0</v>
      </c>
      <c r="K3272" s="5" t="str">
        <f t="shared" si="3272"/>
        <v>Rp0</v>
      </c>
      <c r="L3272" s="5" t="str">
        <f t="shared" si="3"/>
        <v>0</v>
      </c>
    </row>
    <row r="3273">
      <c r="A3273" s="6" t="s">
        <v>4588</v>
      </c>
      <c r="B3273" s="7" t="str">
        <f>HYPERLINK("https://shopee.co.id/MSBB-Avoskin-Reverse-the-Youth-Bundling-i.288588702.3875770244", "https://shopee.co.id/MSBB-Avoskin-Reverse-the-Youth-Bundling-i.288588702.3875770244")</f>
        <v>https://shopee.co.id/MSBB-Avoskin-Reverse-the-Youth-Bundling-i.288588702.3875770244</v>
      </c>
      <c r="C3273" s="6" t="s">
        <v>83</v>
      </c>
      <c r="D3273" s="6" t="s">
        <v>79</v>
      </c>
      <c r="E3273" s="6" t="s">
        <v>12</v>
      </c>
      <c r="F3273" s="6" t="s">
        <v>13</v>
      </c>
      <c r="G3273" s="6" t="s">
        <v>80</v>
      </c>
      <c r="H3273" s="8" t="s">
        <v>3981</v>
      </c>
      <c r="I3273" s="9">
        <v>0.0</v>
      </c>
      <c r="J3273" s="5" t="str">
        <f t="shared" ref="J3273:K3273" si="3273">SUBSTITUTE(H3273, ",", "")</f>
        <v>0</v>
      </c>
      <c r="K3273" s="5" t="str">
        <f t="shared" si="3273"/>
        <v>Rp0</v>
      </c>
      <c r="L3273" s="5" t="str">
        <f t="shared" si="3"/>
        <v>0</v>
      </c>
    </row>
    <row r="3274">
      <c r="A3274" s="6" t="s">
        <v>4589</v>
      </c>
      <c r="B3274" s="7" t="str">
        <f>HYPERLINK("https://shopee.co.id/MSBB-Avoskin-Your-Skin-Bae-Panthenol-5-Mugwort-Cica-Barrier-Hero-Serum-i.288588702.10415284479", "https://shopee.co.id/MSBB-Avoskin-Your-Skin-Bae-Panthenol-5-Mugwort-Cica-Barrier-Hero-Serum-i.288588702.10415284479")</f>
        <v>https://shopee.co.id/MSBB-Avoskin-Your-Skin-Bae-Panthenol-5-Mugwort-Cica-Barrier-Hero-Serum-i.288588702.10415284479</v>
      </c>
      <c r="C3274" s="6" t="s">
        <v>78</v>
      </c>
      <c r="D3274" s="6" t="s">
        <v>79</v>
      </c>
      <c r="E3274" s="6" t="s">
        <v>12</v>
      </c>
      <c r="F3274" s="6" t="s">
        <v>13</v>
      </c>
      <c r="G3274" s="6" t="s">
        <v>80</v>
      </c>
      <c r="H3274" s="8" t="s">
        <v>3981</v>
      </c>
      <c r="I3274" s="9">
        <v>0.0</v>
      </c>
      <c r="J3274" s="5" t="str">
        <f t="shared" ref="J3274:K3274" si="3274">SUBSTITUTE(H3274, ",", "")</f>
        <v>0</v>
      </c>
      <c r="K3274" s="5" t="str">
        <f t="shared" si="3274"/>
        <v>Rp0</v>
      </c>
      <c r="L3274" s="5" t="str">
        <f t="shared" si="3"/>
        <v>0</v>
      </c>
    </row>
    <row r="3275">
      <c r="A3275" s="6" t="s">
        <v>4590</v>
      </c>
      <c r="B3275" s="7" t="str">
        <f>HYPERLINK("https://shopee.co.id/MSBB-BIYU-Hyaluronic-Acid-Serum-i.288588702.9630486788", "https://shopee.co.id/MSBB-BIYU-Hyaluronic-Acid-Serum-i.288588702.9630486788")</f>
        <v>https://shopee.co.id/MSBB-BIYU-Hyaluronic-Acid-Serum-i.288588702.9630486788</v>
      </c>
      <c r="C3275" s="6" t="s">
        <v>78</v>
      </c>
      <c r="D3275" s="6" t="s">
        <v>79</v>
      </c>
      <c r="E3275" s="6" t="s">
        <v>12</v>
      </c>
      <c r="F3275" s="6" t="s">
        <v>13</v>
      </c>
      <c r="G3275" s="6" t="s">
        <v>80</v>
      </c>
      <c r="H3275" s="8" t="s">
        <v>3981</v>
      </c>
      <c r="I3275" s="9">
        <v>0.0</v>
      </c>
      <c r="J3275" s="5" t="str">
        <f t="shared" ref="J3275:K3275" si="3275">SUBSTITUTE(H3275, ",", "")</f>
        <v>0</v>
      </c>
      <c r="K3275" s="5" t="str">
        <f t="shared" si="3275"/>
        <v>Rp0</v>
      </c>
      <c r="L3275" s="5" t="str">
        <f t="shared" si="3"/>
        <v>0</v>
      </c>
    </row>
    <row r="3276">
      <c r="A3276" s="6" t="s">
        <v>4591</v>
      </c>
      <c r="B3276" s="7" t="str">
        <f>HYPERLINK("https://shopee.co.id/MSBB-Dear-Me-Beauty-10-Niacinamide-Watermelon-Extract-Face-Serum-12ml-i.288588702.8058833331", "https://shopee.co.id/MSBB-Dear-Me-Beauty-10-Niacinamide-Watermelon-Extract-Face-Serum-12ml-i.288588702.8058833331")</f>
        <v>https://shopee.co.id/MSBB-Dear-Me-Beauty-10-Niacinamide-Watermelon-Extract-Face-Serum-12ml-i.288588702.8058833331</v>
      </c>
      <c r="C3276" s="6" t="s">
        <v>78</v>
      </c>
      <c r="D3276" s="6" t="s">
        <v>79</v>
      </c>
      <c r="E3276" s="6" t="s">
        <v>12</v>
      </c>
      <c r="F3276" s="6" t="s">
        <v>13</v>
      </c>
      <c r="G3276" s="6" t="s">
        <v>80</v>
      </c>
      <c r="H3276" s="8" t="s">
        <v>3981</v>
      </c>
      <c r="I3276" s="9">
        <v>0.0</v>
      </c>
      <c r="J3276" s="5" t="str">
        <f t="shared" ref="J3276:K3276" si="3276">SUBSTITUTE(H3276, ",", "")</f>
        <v>0</v>
      </c>
      <c r="K3276" s="5" t="str">
        <f t="shared" si="3276"/>
        <v>Rp0</v>
      </c>
      <c r="L3276" s="5" t="str">
        <f t="shared" si="3"/>
        <v>0</v>
      </c>
    </row>
    <row r="3277">
      <c r="A3277" s="6" t="s">
        <v>4592</v>
      </c>
      <c r="B3277" s="7" t="str">
        <f>HYPERLINK("https://shopee.co.id/MSBB-Dear-Me-Beauty-10-Vitamin-C-Orange-Extract-Face-Serum-12ml-i.288588702.6789841088", "https://shopee.co.id/MSBB-Dear-Me-Beauty-10-Vitamin-C-Orange-Extract-Face-Serum-12ml-i.288588702.6789841088")</f>
        <v>https://shopee.co.id/MSBB-Dear-Me-Beauty-10-Vitamin-C-Orange-Extract-Face-Serum-12ml-i.288588702.6789841088</v>
      </c>
      <c r="C3277" s="6" t="s">
        <v>78</v>
      </c>
      <c r="D3277" s="6" t="s">
        <v>79</v>
      </c>
      <c r="E3277" s="6" t="s">
        <v>12</v>
      </c>
      <c r="F3277" s="6" t="s">
        <v>13</v>
      </c>
      <c r="G3277" s="6" t="s">
        <v>80</v>
      </c>
      <c r="H3277" s="8" t="s">
        <v>3981</v>
      </c>
      <c r="I3277" s="9">
        <v>0.0</v>
      </c>
      <c r="J3277" s="5" t="str">
        <f t="shared" ref="J3277:K3277" si="3277">SUBSTITUTE(H3277, ",", "")</f>
        <v>0</v>
      </c>
      <c r="K3277" s="5" t="str">
        <f t="shared" si="3277"/>
        <v>Rp0</v>
      </c>
      <c r="L3277" s="5" t="str">
        <f t="shared" si="3"/>
        <v>0</v>
      </c>
    </row>
    <row r="3278">
      <c r="A3278" s="6" t="s">
        <v>4593</v>
      </c>
      <c r="B3278" s="7" t="str">
        <f>HYPERLINK("https://shopee.co.id/MSBB-Elsheskin-Sebum-Reducer-Serum-i.288588702.4467965174", "https://shopee.co.id/MSBB-Elsheskin-Sebum-Reducer-Serum-i.288588702.4467965174")</f>
        <v>https://shopee.co.id/MSBB-Elsheskin-Sebum-Reducer-Serum-i.288588702.4467965174</v>
      </c>
      <c r="C3278" s="6" t="s">
        <v>135</v>
      </c>
      <c r="D3278" s="6" t="s">
        <v>79</v>
      </c>
      <c r="E3278" s="6" t="s">
        <v>12</v>
      </c>
      <c r="F3278" s="6" t="s">
        <v>13</v>
      </c>
      <c r="G3278" s="6" t="s">
        <v>80</v>
      </c>
      <c r="H3278" s="8" t="s">
        <v>3981</v>
      </c>
      <c r="I3278" s="9">
        <v>0.0</v>
      </c>
      <c r="J3278" s="5" t="str">
        <f t="shared" ref="J3278:K3278" si="3278">SUBSTITUTE(H3278, ",", "")</f>
        <v>0</v>
      </c>
      <c r="K3278" s="5" t="str">
        <f t="shared" si="3278"/>
        <v>Rp0</v>
      </c>
      <c r="L3278" s="5" t="str">
        <f t="shared" si="3"/>
        <v>0</v>
      </c>
    </row>
    <row r="3279">
      <c r="A3279" s="6" t="s">
        <v>4594</v>
      </c>
      <c r="B3279" s="7" t="str">
        <f>HYPERLINK("https://shopee.co.id/MSBB-For-Skin-s-Sake-Hyaluronic-Acid-Serum-i.288588702.8039322941", "https://shopee.co.id/MSBB-For-Skin-s-Sake-Hyaluronic-Acid-Serum-i.288588702.8039322941")</f>
        <v>https://shopee.co.id/MSBB-For-Skin-s-Sake-Hyaluronic-Acid-Serum-i.288588702.8039322941</v>
      </c>
      <c r="C3279" s="6" t="s">
        <v>78</v>
      </c>
      <c r="D3279" s="6" t="s">
        <v>79</v>
      </c>
      <c r="E3279" s="6" t="s">
        <v>12</v>
      </c>
      <c r="F3279" s="6" t="s">
        <v>13</v>
      </c>
      <c r="G3279" s="6" t="s">
        <v>80</v>
      </c>
      <c r="H3279" s="8" t="s">
        <v>3981</v>
      </c>
      <c r="I3279" s="9">
        <v>0.0</v>
      </c>
      <c r="J3279" s="5" t="str">
        <f t="shared" ref="J3279:K3279" si="3279">SUBSTITUTE(H3279, ",", "")</f>
        <v>0</v>
      </c>
      <c r="K3279" s="5" t="str">
        <f t="shared" si="3279"/>
        <v>Rp0</v>
      </c>
      <c r="L3279" s="5" t="str">
        <f t="shared" si="3"/>
        <v>0</v>
      </c>
    </row>
    <row r="3280">
      <c r="A3280" s="6" t="s">
        <v>4595</v>
      </c>
      <c r="B3280" s="7" t="str">
        <f>HYPERLINK("https://shopee.co.id/MSBB-For-Skin-s-Sake-Retinol-Serum-i.288588702.5685112187", "https://shopee.co.id/MSBB-For-Skin-s-Sake-Retinol-Serum-i.288588702.5685112187")</f>
        <v>https://shopee.co.id/MSBB-For-Skin-s-Sake-Retinol-Serum-i.288588702.5685112187</v>
      </c>
      <c r="C3280" s="6" t="s">
        <v>78</v>
      </c>
      <c r="D3280" s="6" t="s">
        <v>79</v>
      </c>
      <c r="E3280" s="6" t="s">
        <v>12</v>
      </c>
      <c r="F3280" s="6" t="s">
        <v>13</v>
      </c>
      <c r="G3280" s="6" t="s">
        <v>80</v>
      </c>
      <c r="H3280" s="8" t="s">
        <v>3981</v>
      </c>
      <c r="I3280" s="9">
        <v>0.0</v>
      </c>
      <c r="J3280" s="5" t="str">
        <f t="shared" ref="J3280:K3280" si="3280">SUBSTITUTE(H3280, ",", "")</f>
        <v>0</v>
      </c>
      <c r="K3280" s="5" t="str">
        <f t="shared" si="3280"/>
        <v>Rp0</v>
      </c>
      <c r="L3280" s="5" t="str">
        <f t="shared" si="3"/>
        <v>0</v>
      </c>
    </row>
    <row r="3281">
      <c r="A3281" s="6" t="s">
        <v>4596</v>
      </c>
      <c r="B3281" s="7" t="str">
        <f>HYPERLINK("https://shopee.co.id/MSBB-Glowlabs-Glo-C-Serum-i.288588702.6893442998", "https://shopee.co.id/MSBB-Glowlabs-Glo-C-Serum-i.288588702.6893442998")</f>
        <v>https://shopee.co.id/MSBB-Glowlabs-Glo-C-Serum-i.288588702.6893442998</v>
      </c>
      <c r="C3281" s="6" t="s">
        <v>78</v>
      </c>
      <c r="D3281" s="6" t="s">
        <v>79</v>
      </c>
      <c r="E3281" s="6" t="s">
        <v>12</v>
      </c>
      <c r="F3281" s="6" t="s">
        <v>13</v>
      </c>
      <c r="G3281" s="6" t="s">
        <v>80</v>
      </c>
      <c r="H3281" s="8" t="s">
        <v>3981</v>
      </c>
      <c r="I3281" s="9">
        <v>0.0</v>
      </c>
      <c r="J3281" s="5" t="str">
        <f t="shared" ref="J3281:K3281" si="3281">SUBSTITUTE(H3281, ",", "")</f>
        <v>0</v>
      </c>
      <c r="K3281" s="5" t="str">
        <f t="shared" si="3281"/>
        <v>Rp0</v>
      </c>
      <c r="L3281" s="5" t="str">
        <f t="shared" si="3"/>
        <v>0</v>
      </c>
    </row>
    <row r="3282">
      <c r="A3282" s="6" t="s">
        <v>4597</v>
      </c>
      <c r="B3282" s="7" t="str">
        <f>HYPERLINK("https://shopee.co.id/MSBB-Haple-Silver-Moon-Calming-Serum-i.288588702.9748898666", "https://shopee.co.id/MSBB-Haple-Silver-Moon-Calming-Serum-i.288588702.9748898666")</f>
        <v>https://shopee.co.id/MSBB-Haple-Silver-Moon-Calming-Serum-i.288588702.9748898666</v>
      </c>
      <c r="C3282" s="6" t="s">
        <v>1415</v>
      </c>
      <c r="D3282" s="6" t="s">
        <v>79</v>
      </c>
      <c r="E3282" s="6" t="s">
        <v>12</v>
      </c>
      <c r="F3282" s="6" t="s">
        <v>13</v>
      </c>
      <c r="G3282" s="6" t="s">
        <v>80</v>
      </c>
      <c r="H3282" s="8" t="s">
        <v>3981</v>
      </c>
      <c r="I3282" s="9">
        <v>0.0</v>
      </c>
      <c r="J3282" s="5" t="str">
        <f t="shared" ref="J3282:K3282" si="3282">SUBSTITUTE(H3282, ",", "")</f>
        <v>0</v>
      </c>
      <c r="K3282" s="5" t="str">
        <f t="shared" si="3282"/>
        <v>Rp0</v>
      </c>
      <c r="L3282" s="5" t="str">
        <f t="shared" si="3"/>
        <v>0</v>
      </c>
    </row>
    <row r="3283">
      <c r="A3283" s="6" t="s">
        <v>4598</v>
      </c>
      <c r="B3283" s="7" t="str">
        <f>HYPERLINK("https://shopee.co.id/MSBB-Haum-Aloecid-Niacinamide-10-50-Gr-i.288588702.10132641661", "https://shopee.co.id/MSBB-Haum-Aloecid-Niacinamide-10-50-Gr-i.288588702.10132641661")</f>
        <v>https://shopee.co.id/MSBB-Haum-Aloecid-Niacinamide-10-50-Gr-i.288588702.10132641661</v>
      </c>
      <c r="C3283" s="6" t="s">
        <v>78</v>
      </c>
      <c r="D3283" s="6" t="s">
        <v>79</v>
      </c>
      <c r="E3283" s="6" t="s">
        <v>12</v>
      </c>
      <c r="F3283" s="6" t="s">
        <v>13</v>
      </c>
      <c r="G3283" s="6" t="s">
        <v>80</v>
      </c>
      <c r="H3283" s="8" t="s">
        <v>3981</v>
      </c>
      <c r="I3283" s="9">
        <v>0.0</v>
      </c>
      <c r="J3283" s="5" t="str">
        <f t="shared" ref="J3283:K3283" si="3283">SUBSTITUTE(H3283, ",", "")</f>
        <v>0</v>
      </c>
      <c r="K3283" s="5" t="str">
        <f t="shared" si="3283"/>
        <v>Rp0</v>
      </c>
      <c r="L3283" s="5" t="str">
        <f t="shared" si="3"/>
        <v>0</v>
      </c>
    </row>
    <row r="3284">
      <c r="A3284" s="6" t="s">
        <v>4599</v>
      </c>
      <c r="B3284" s="7" t="str">
        <f>HYPERLINK("https://shopee.co.id/MSBB-I-Trust-Nature-Licorice-Serum-Soothing-Brightening-i.288588702.8167616966", "https://shopee.co.id/MSBB-I-Trust-Nature-Licorice-Serum-Soothing-Brightening-i.288588702.8167616966")</f>
        <v>https://shopee.co.id/MSBB-I-Trust-Nature-Licorice-Serum-Soothing-Brightening-i.288588702.8167616966</v>
      </c>
      <c r="C3284" s="6" t="s">
        <v>78</v>
      </c>
      <c r="D3284" s="6" t="s">
        <v>79</v>
      </c>
      <c r="E3284" s="6" t="s">
        <v>12</v>
      </c>
      <c r="F3284" s="6" t="s">
        <v>13</v>
      </c>
      <c r="G3284" s="6" t="s">
        <v>80</v>
      </c>
      <c r="H3284" s="8" t="s">
        <v>3981</v>
      </c>
      <c r="I3284" s="9">
        <v>0.0</v>
      </c>
      <c r="J3284" s="5" t="str">
        <f t="shared" ref="J3284:K3284" si="3284">SUBSTITUTE(H3284, ",", "")</f>
        <v>0</v>
      </c>
      <c r="K3284" s="5" t="str">
        <f t="shared" si="3284"/>
        <v>Rp0</v>
      </c>
      <c r="L3284" s="5" t="str">
        <f t="shared" si="3"/>
        <v>0</v>
      </c>
    </row>
    <row r="3285">
      <c r="A3285" s="6" t="s">
        <v>4600</v>
      </c>
      <c r="B3285" s="7" t="str">
        <f>HYPERLINK("https://shopee.co.id/MSBB-Jarkeen-Porcelain-Skin-Serum-i.288588702.6891515780", "https://shopee.co.id/MSBB-Jarkeen-Porcelain-Skin-Serum-i.288588702.6891515780")</f>
        <v>https://shopee.co.id/MSBB-Jarkeen-Porcelain-Skin-Serum-i.288588702.6891515780</v>
      </c>
      <c r="C3285" s="6" t="s">
        <v>78</v>
      </c>
      <c r="D3285" s="6" t="s">
        <v>79</v>
      </c>
      <c r="E3285" s="6" t="s">
        <v>12</v>
      </c>
      <c r="F3285" s="6" t="s">
        <v>13</v>
      </c>
      <c r="G3285" s="6" t="s">
        <v>80</v>
      </c>
      <c r="H3285" s="8" t="s">
        <v>3981</v>
      </c>
      <c r="I3285" s="9">
        <v>0.0</v>
      </c>
      <c r="J3285" s="5" t="str">
        <f t="shared" ref="J3285:K3285" si="3285">SUBSTITUTE(H3285, ",", "")</f>
        <v>0</v>
      </c>
      <c r="K3285" s="5" t="str">
        <f t="shared" si="3285"/>
        <v>Rp0</v>
      </c>
      <c r="L3285" s="5" t="str">
        <f t="shared" si="3"/>
        <v>0</v>
      </c>
    </row>
    <row r="3286">
      <c r="A3286" s="6" t="s">
        <v>4601</v>
      </c>
      <c r="B3286" s="7" t="str">
        <f>HYPERLINK("https://shopee.co.id/MSBB-Jarkeen-Skin-Purifier-Gel-Serum-i.288588702.10721443724", "https://shopee.co.id/MSBB-Jarkeen-Skin-Purifier-Gel-Serum-i.288588702.10721443724")</f>
        <v>https://shopee.co.id/MSBB-Jarkeen-Skin-Purifier-Gel-Serum-i.288588702.10721443724</v>
      </c>
      <c r="C3286" s="6" t="s">
        <v>78</v>
      </c>
      <c r="D3286" s="6" t="s">
        <v>79</v>
      </c>
      <c r="E3286" s="6" t="s">
        <v>12</v>
      </c>
      <c r="F3286" s="6" t="s">
        <v>13</v>
      </c>
      <c r="G3286" s="6" t="s">
        <v>80</v>
      </c>
      <c r="H3286" s="8" t="s">
        <v>3981</v>
      </c>
      <c r="I3286" s="9">
        <v>0.0</v>
      </c>
      <c r="J3286" s="5" t="str">
        <f t="shared" ref="J3286:K3286" si="3286">SUBSTITUTE(H3286, ",", "")</f>
        <v>0</v>
      </c>
      <c r="K3286" s="5" t="str">
        <f t="shared" si="3286"/>
        <v>Rp0</v>
      </c>
      <c r="L3286" s="5" t="str">
        <f t="shared" si="3"/>
        <v>0</v>
      </c>
    </row>
    <row r="3287">
      <c r="A3287" s="6" t="s">
        <v>4602</v>
      </c>
      <c r="B3287" s="7" t="str">
        <f>HYPERLINK("https://shopee.co.id/MSBB-Joylab-Wonderskin-Power-Serum-15ml-i.288588702.9153379383", "https://shopee.co.id/MSBB-Joylab-Wonderskin-Power-Serum-15ml-i.288588702.9153379383")</f>
        <v>https://shopee.co.id/MSBB-Joylab-Wonderskin-Power-Serum-15ml-i.288588702.9153379383</v>
      </c>
      <c r="C3287" s="6" t="s">
        <v>1795</v>
      </c>
      <c r="D3287" s="6" t="s">
        <v>79</v>
      </c>
      <c r="E3287" s="6" t="s">
        <v>12</v>
      </c>
      <c r="F3287" s="6" t="s">
        <v>13</v>
      </c>
      <c r="G3287" s="6" t="s">
        <v>80</v>
      </c>
      <c r="H3287" s="8" t="s">
        <v>3981</v>
      </c>
      <c r="I3287" s="9">
        <v>0.0</v>
      </c>
      <c r="J3287" s="5" t="str">
        <f t="shared" ref="J3287:K3287" si="3287">SUBSTITUTE(H3287, ",", "")</f>
        <v>0</v>
      </c>
      <c r="K3287" s="5" t="str">
        <f t="shared" si="3287"/>
        <v>Rp0</v>
      </c>
      <c r="L3287" s="5" t="str">
        <f t="shared" si="3"/>
        <v>0</v>
      </c>
    </row>
    <row r="3288">
      <c r="A3288" s="6" t="s">
        <v>4603</v>
      </c>
      <c r="B3288" s="7" t="str">
        <f>HYPERLINK("https://shopee.co.id/MSBB-Lacoco-Hydrating-Divine-Essence-WAREHOUSE-SALE-i.288588702.8011539879", "https://shopee.co.id/MSBB-Lacoco-Hydrating-Divine-Essence-WAREHOUSE-SALE-i.288588702.8011539879")</f>
        <v>https://shopee.co.id/MSBB-Lacoco-Hydrating-Divine-Essence-WAREHOUSE-SALE-i.288588702.8011539879</v>
      </c>
      <c r="C3288" s="6" t="s">
        <v>78</v>
      </c>
      <c r="D3288" s="6" t="s">
        <v>79</v>
      </c>
      <c r="E3288" s="6" t="s">
        <v>12</v>
      </c>
      <c r="F3288" s="6" t="s">
        <v>13</v>
      </c>
      <c r="G3288" s="6" t="s">
        <v>80</v>
      </c>
      <c r="H3288" s="8" t="s">
        <v>3981</v>
      </c>
      <c r="I3288" s="9">
        <v>0.0</v>
      </c>
      <c r="J3288" s="5" t="str">
        <f t="shared" ref="J3288:K3288" si="3288">SUBSTITUTE(H3288, ",", "")</f>
        <v>0</v>
      </c>
      <c r="K3288" s="5" t="str">
        <f t="shared" si="3288"/>
        <v>Rp0</v>
      </c>
      <c r="L3288" s="5" t="str">
        <f t="shared" si="3"/>
        <v>0</v>
      </c>
    </row>
    <row r="3289">
      <c r="A3289" s="6" t="s">
        <v>4604</v>
      </c>
      <c r="B3289" s="7" t="str">
        <f>HYPERLINK("https://shopee.co.id/MSBB-Le-D-olla-NUOVO-Caviar-Ginseng-Essence-i.288588702.5667625781", "https://shopee.co.id/MSBB-Le-D-olla-NUOVO-Caviar-Ginseng-Essence-i.288588702.5667625781")</f>
        <v>https://shopee.co.id/MSBB-Le-D-olla-NUOVO-Caviar-Ginseng-Essence-i.288588702.5667625781</v>
      </c>
      <c r="C3289" s="6" t="s">
        <v>78</v>
      </c>
      <c r="D3289" s="6" t="s">
        <v>79</v>
      </c>
      <c r="E3289" s="6" t="s">
        <v>12</v>
      </c>
      <c r="F3289" s="6" t="s">
        <v>13</v>
      </c>
      <c r="G3289" s="6" t="s">
        <v>80</v>
      </c>
      <c r="H3289" s="8" t="s">
        <v>3981</v>
      </c>
      <c r="I3289" s="9">
        <v>0.0</v>
      </c>
      <c r="J3289" s="5" t="str">
        <f t="shared" ref="J3289:K3289" si="3289">SUBSTITUTE(H3289, ",", "")</f>
        <v>0</v>
      </c>
      <c r="K3289" s="5" t="str">
        <f t="shared" si="3289"/>
        <v>Rp0</v>
      </c>
      <c r="L3289" s="5" t="str">
        <f t="shared" si="3"/>
        <v>0</v>
      </c>
    </row>
    <row r="3290">
      <c r="A3290" s="6" t="s">
        <v>4605</v>
      </c>
      <c r="B3290" s="7" t="str">
        <f>HYPERLINK("https://shopee.co.id/MSBB-Somethinc-HYALuronic-B5-Serum-20ml-i.288588702.7562474831", "https://shopee.co.id/MSBB-Somethinc-HYALuronic-B5-Serum-20ml-i.288588702.7562474831")</f>
        <v>https://shopee.co.id/MSBB-Somethinc-HYALuronic-B5-Serum-20ml-i.288588702.7562474831</v>
      </c>
      <c r="C3290" s="6" t="s">
        <v>45</v>
      </c>
      <c r="D3290" s="6" t="s">
        <v>79</v>
      </c>
      <c r="E3290" s="6" t="s">
        <v>12</v>
      </c>
      <c r="F3290" s="6" t="s">
        <v>13</v>
      </c>
      <c r="G3290" s="6" t="s">
        <v>80</v>
      </c>
      <c r="H3290" s="8" t="s">
        <v>3981</v>
      </c>
      <c r="I3290" s="9">
        <v>0.0</v>
      </c>
      <c r="J3290" s="5" t="str">
        <f t="shared" ref="J3290:K3290" si="3290">SUBSTITUTE(H3290, ",", "")</f>
        <v>0</v>
      </c>
      <c r="K3290" s="5" t="str">
        <f t="shared" si="3290"/>
        <v>Rp0</v>
      </c>
      <c r="L3290" s="5" t="str">
        <f t="shared" si="3"/>
        <v>0</v>
      </c>
    </row>
    <row r="3291">
      <c r="A3291" s="6" t="s">
        <v>4606</v>
      </c>
      <c r="B3291" s="7" t="str">
        <f>HYPERLINK("https://shopee.co.id/MSBB-Somethinc-Niacinamide-Moisture-Beet-Serum-40-Ml-i.288588702.9665803201", "https://shopee.co.id/MSBB-Somethinc-Niacinamide-Moisture-Beet-Serum-40-Ml-i.288588702.9665803201")</f>
        <v>https://shopee.co.id/MSBB-Somethinc-Niacinamide-Moisture-Beet-Serum-40-Ml-i.288588702.9665803201</v>
      </c>
      <c r="C3291" s="6" t="s">
        <v>45</v>
      </c>
      <c r="D3291" s="6" t="s">
        <v>79</v>
      </c>
      <c r="E3291" s="6" t="s">
        <v>12</v>
      </c>
      <c r="F3291" s="6" t="s">
        <v>13</v>
      </c>
      <c r="G3291" s="6" t="s">
        <v>80</v>
      </c>
      <c r="H3291" s="8" t="s">
        <v>3981</v>
      </c>
      <c r="I3291" s="9">
        <v>0.0</v>
      </c>
      <c r="J3291" s="5" t="str">
        <f t="shared" ref="J3291:K3291" si="3291">SUBSTITUTE(H3291, ",", "")</f>
        <v>0</v>
      </c>
      <c r="K3291" s="5" t="str">
        <f t="shared" si="3291"/>
        <v>Rp0</v>
      </c>
      <c r="L3291" s="5" t="str">
        <f t="shared" si="3"/>
        <v>0</v>
      </c>
    </row>
    <row r="3292">
      <c r="A3292" s="6" t="s">
        <v>4607</v>
      </c>
      <c r="B3292" s="7" t="str">
        <f>HYPERLINK("https://shopee.co.id/MSBB-Terra-Beaute-Acne-Soother-Serum-15ml-i.288588702.9417257856", "https://shopee.co.id/MSBB-Terra-Beaute-Acne-Soother-Serum-15ml-i.288588702.9417257856")</f>
        <v>https://shopee.co.id/MSBB-Terra-Beaute-Acne-Soother-Serum-15ml-i.288588702.9417257856</v>
      </c>
      <c r="C3292" s="6" t="s">
        <v>4608</v>
      </c>
      <c r="D3292" s="6" t="s">
        <v>79</v>
      </c>
      <c r="E3292" s="6" t="s">
        <v>12</v>
      </c>
      <c r="F3292" s="6" t="s">
        <v>13</v>
      </c>
      <c r="G3292" s="6" t="s">
        <v>80</v>
      </c>
      <c r="H3292" s="8" t="s">
        <v>3981</v>
      </c>
      <c r="I3292" s="9">
        <v>0.0</v>
      </c>
      <c r="J3292" s="5" t="str">
        <f t="shared" ref="J3292:K3292" si="3292">SUBSTITUTE(H3292, ",", "")</f>
        <v>0</v>
      </c>
      <c r="K3292" s="5" t="str">
        <f t="shared" si="3292"/>
        <v>Rp0</v>
      </c>
      <c r="L3292" s="5" t="str">
        <f t="shared" si="3"/>
        <v>0</v>
      </c>
    </row>
    <row r="3293">
      <c r="A3293" s="6" t="s">
        <v>4609</v>
      </c>
      <c r="B3293" s="7" t="str">
        <f>HYPERLINK("https://shopee.co.id/MSBB-The-Bath-Box-Brassica-Lightening-Serum-With-Niacinamide-Whitening-Serum-30Ml-i.288588702.11113107735", "https://shopee.co.id/MSBB-The-Bath-Box-Brassica-Lightening-Serum-With-Niacinamide-Whitening-Serum-30Ml-i.288588702.11113107735")</f>
        <v>https://shopee.co.id/MSBB-The-Bath-Box-Brassica-Lightening-Serum-With-Niacinamide-Whitening-Serum-30Ml-i.288588702.11113107735</v>
      </c>
      <c r="C3293" s="6" t="s">
        <v>613</v>
      </c>
      <c r="D3293" s="6" t="s">
        <v>79</v>
      </c>
      <c r="E3293" s="6" t="s">
        <v>12</v>
      </c>
      <c r="F3293" s="6" t="s">
        <v>13</v>
      </c>
      <c r="G3293" s="6" t="s">
        <v>80</v>
      </c>
      <c r="H3293" s="8" t="s">
        <v>3981</v>
      </c>
      <c r="I3293" s="9">
        <v>0.0</v>
      </c>
      <c r="J3293" s="5" t="str">
        <f t="shared" ref="J3293:K3293" si="3293">SUBSTITUTE(H3293, ",", "")</f>
        <v>0</v>
      </c>
      <c r="K3293" s="5" t="str">
        <f t="shared" si="3293"/>
        <v>Rp0</v>
      </c>
      <c r="L3293" s="5" t="str">
        <f t="shared" si="3"/>
        <v>0</v>
      </c>
    </row>
    <row r="3294">
      <c r="A3294" s="6" t="s">
        <v>4610</v>
      </c>
      <c r="B3294" s="7" t="str">
        <f>HYPERLINK("https://shopee.co.id/MSBB-Tropistories-Kiwi-Ampoule-i.288588702.12201811720", "https://shopee.co.id/MSBB-Tropistories-Kiwi-Ampoule-i.288588702.12201811720")</f>
        <v>https://shopee.co.id/MSBB-Tropistories-Kiwi-Ampoule-i.288588702.12201811720</v>
      </c>
      <c r="C3294" s="6" t="s">
        <v>78</v>
      </c>
      <c r="D3294" s="6" t="s">
        <v>79</v>
      </c>
      <c r="E3294" s="6" t="s">
        <v>12</v>
      </c>
      <c r="F3294" s="6" t="s">
        <v>13</v>
      </c>
      <c r="G3294" s="6" t="s">
        <v>80</v>
      </c>
      <c r="H3294" s="8" t="s">
        <v>3981</v>
      </c>
      <c r="I3294" s="9">
        <v>0.0</v>
      </c>
      <c r="J3294" s="5" t="str">
        <f t="shared" ref="J3294:K3294" si="3294">SUBSTITUTE(H3294, ",", "")</f>
        <v>0</v>
      </c>
      <c r="K3294" s="5" t="str">
        <f t="shared" si="3294"/>
        <v>Rp0</v>
      </c>
      <c r="L3294" s="5" t="str">
        <f t="shared" si="3"/>
        <v>0</v>
      </c>
    </row>
    <row r="3295">
      <c r="A3295" s="6" t="s">
        <v>4611</v>
      </c>
      <c r="B3295" s="7" t="str">
        <f>HYPERLINK("https://shopee.co.id/Mugens-The-M-Curling-Essence-i.293209404.3645570289", "https://shopee.co.id/Mugens-The-M-Curling-Essence-i.293209404.3645570289")</f>
        <v>https://shopee.co.id/Mugens-The-M-Curling-Essence-i.293209404.3645570289</v>
      </c>
      <c r="C3295" s="6" t="s">
        <v>4612</v>
      </c>
      <c r="D3295" s="6" t="s">
        <v>2689</v>
      </c>
      <c r="E3295" s="6" t="s">
        <v>12</v>
      </c>
      <c r="F3295" s="6" t="s">
        <v>13</v>
      </c>
      <c r="G3295" s="6" t="s">
        <v>2690</v>
      </c>
      <c r="H3295" s="8" t="s">
        <v>3981</v>
      </c>
      <c r="I3295" s="9">
        <v>0.0</v>
      </c>
      <c r="J3295" s="5" t="str">
        <f t="shared" ref="J3295:K3295" si="3295">SUBSTITUTE(H3295, ",", "")</f>
        <v>0</v>
      </c>
      <c r="K3295" s="5" t="str">
        <f t="shared" si="3295"/>
        <v>Rp0</v>
      </c>
      <c r="L3295" s="5" t="str">
        <f t="shared" si="3"/>
        <v>0</v>
      </c>
    </row>
    <row r="3296">
      <c r="A3296" s="6" t="s">
        <v>4613</v>
      </c>
      <c r="B3296" s="7" t="str">
        <f>HYPERLINK("https://shopee.co.id/Murah-Lebay-Twin-Pack-Bio-Essence-GOLD-WATER-100ml-EXP-Januari-2022--i.63822287.8060067190", "https://shopee.co.id/Murah-Lebay-Twin-Pack-Bio-Essence-GOLD-WATER-100ml-EXP-Januari-2022--i.63822287.8060067190")</f>
        <v>https://shopee.co.id/Murah-Lebay-Twin-Pack-Bio-Essence-GOLD-WATER-100ml-EXP-Januari-2022--i.63822287.8060067190</v>
      </c>
      <c r="C3296" s="6" t="s">
        <v>1254</v>
      </c>
      <c r="D3296" s="6" t="s">
        <v>835</v>
      </c>
      <c r="E3296" s="6" t="s">
        <v>12</v>
      </c>
      <c r="F3296" s="6" t="s">
        <v>13</v>
      </c>
      <c r="G3296" s="6" t="s">
        <v>61</v>
      </c>
      <c r="H3296" s="8" t="s">
        <v>3981</v>
      </c>
      <c r="I3296" s="9">
        <v>0.0</v>
      </c>
      <c r="J3296" s="5" t="str">
        <f t="shared" ref="J3296:K3296" si="3296">SUBSTITUTE(H3296, ",", "")</f>
        <v>0</v>
      </c>
      <c r="K3296" s="5" t="str">
        <f t="shared" si="3296"/>
        <v>Rp0</v>
      </c>
      <c r="L3296" s="5" t="str">
        <f t="shared" si="3"/>
        <v>0</v>
      </c>
    </row>
    <row r="3297">
      <c r="A3297" s="6" t="s">
        <v>4614</v>
      </c>
      <c r="B3297" s="7" t="str">
        <f>HYPERLINK("https://shopee.co.id/Murah-Lebay-Twin-Pack-Bio-Essence-GOLD-WATER-150ml-EXP-Maret-2022--i.63822287.7590122284", "https://shopee.co.id/Murah-Lebay-Twin-Pack-Bio-Essence-GOLD-WATER-150ml-EXP-Maret-2022--i.63822287.7590122284")</f>
        <v>https://shopee.co.id/Murah-Lebay-Twin-Pack-Bio-Essence-GOLD-WATER-150ml-EXP-Maret-2022--i.63822287.7590122284</v>
      </c>
      <c r="C3297" s="6" t="s">
        <v>1254</v>
      </c>
      <c r="D3297" s="6" t="s">
        <v>835</v>
      </c>
      <c r="E3297" s="6" t="s">
        <v>12</v>
      </c>
      <c r="F3297" s="6" t="s">
        <v>13</v>
      </c>
      <c r="G3297" s="6" t="s">
        <v>61</v>
      </c>
      <c r="H3297" s="8" t="s">
        <v>3981</v>
      </c>
      <c r="I3297" s="9">
        <v>0.0</v>
      </c>
      <c r="J3297" s="5" t="str">
        <f t="shared" ref="J3297:K3297" si="3297">SUBSTITUTE(H3297, ",", "")</f>
        <v>0</v>
      </c>
      <c r="K3297" s="5" t="str">
        <f t="shared" si="3297"/>
        <v>Rp0</v>
      </c>
      <c r="L3297" s="5" t="str">
        <f t="shared" si="3"/>
        <v>0</v>
      </c>
    </row>
    <row r="3298">
      <c r="A3298" s="6" t="s">
        <v>4615</v>
      </c>
      <c r="B3298" s="7" t="str">
        <f>HYPERLINK("https://shopee.co.id/Mustela-Stretch-Marks-Serum-BPOM-45-ML-Membantu-Menyamarkan-Stretch-Mark-Yang-Muncul-Pada-Kulit-i.50972887.4968223969", "https://shopee.co.id/Mustela-Stretch-Marks-Serum-BPOM-45-ML-Membantu-Menyamarkan-Stretch-Mark-Yang-Muncul-Pada-Kulit-i.50972887.4968223969")</f>
        <v>https://shopee.co.id/Mustela-Stretch-Marks-Serum-BPOM-45-ML-Membantu-Menyamarkan-Stretch-Mark-Yang-Muncul-Pada-Kulit-i.50972887.4968223969</v>
      </c>
      <c r="C3298" s="6" t="s">
        <v>4616</v>
      </c>
      <c r="D3298" s="6" t="s">
        <v>552</v>
      </c>
      <c r="E3298" s="6" t="s">
        <v>12</v>
      </c>
      <c r="F3298" s="6" t="s">
        <v>13</v>
      </c>
      <c r="G3298" s="6" t="s">
        <v>61</v>
      </c>
      <c r="H3298" s="8" t="s">
        <v>3981</v>
      </c>
      <c r="I3298" s="9">
        <v>0.0</v>
      </c>
      <c r="J3298" s="5" t="str">
        <f t="shared" ref="J3298:K3298" si="3298">SUBSTITUTE(H3298, ",", "")</f>
        <v>0</v>
      </c>
      <c r="K3298" s="5" t="str">
        <f t="shared" si="3298"/>
        <v>Rp0</v>
      </c>
      <c r="L3298" s="5" t="str">
        <f t="shared" si="3"/>
        <v>0</v>
      </c>
    </row>
    <row r="3299">
      <c r="A3299" s="6" t="s">
        <v>4617</v>
      </c>
      <c r="B3299" s="7" t="str">
        <f>HYPERLINK("https://shopee.co.id/Mutouch-Whitening-Body-Serum-Hydrating-Spray-Mist-i.65323877.6565377412", "https://shopee.co.id/Mutouch-Whitening-Body-Serum-Hydrating-Spray-Mist-i.65323877.6565377412")</f>
        <v>https://shopee.co.id/Mutouch-Whitening-Body-Serum-Hydrating-Spray-Mist-i.65323877.6565377412</v>
      </c>
      <c r="C3299" s="6" t="s">
        <v>4618</v>
      </c>
      <c r="D3299" s="6" t="s">
        <v>1600</v>
      </c>
      <c r="E3299" s="6" t="s">
        <v>12</v>
      </c>
      <c r="F3299" s="6" t="s">
        <v>13</v>
      </c>
      <c r="G3299" s="6" t="s">
        <v>296</v>
      </c>
      <c r="H3299" s="8" t="s">
        <v>3981</v>
      </c>
      <c r="I3299" s="9">
        <v>0.0</v>
      </c>
      <c r="J3299" s="5" t="str">
        <f t="shared" ref="J3299:K3299" si="3299">SUBSTITUTE(H3299, ",", "")</f>
        <v>0</v>
      </c>
      <c r="K3299" s="5" t="str">
        <f t="shared" si="3299"/>
        <v>Rp0</v>
      </c>
      <c r="L3299" s="5" t="str">
        <f t="shared" si="3"/>
        <v>0</v>
      </c>
    </row>
    <row r="3300">
      <c r="A3300" s="6" t="s">
        <v>4619</v>
      </c>
      <c r="B3300" s="7" t="str">
        <f>HYPERLINK("https://shopee.co.id/Mutouch-Whitening-Body-Serum-Revitalizing-Spray-Mist-i.65323877.7565379613", "https://shopee.co.id/Mutouch-Whitening-Body-Serum-Revitalizing-Spray-Mist-i.65323877.7565379613")</f>
        <v>https://shopee.co.id/Mutouch-Whitening-Body-Serum-Revitalizing-Spray-Mist-i.65323877.7565379613</v>
      </c>
      <c r="C3300" s="6" t="s">
        <v>4618</v>
      </c>
      <c r="D3300" s="6" t="s">
        <v>1600</v>
      </c>
      <c r="E3300" s="6" t="s">
        <v>12</v>
      </c>
      <c r="F3300" s="6" t="s">
        <v>13</v>
      </c>
      <c r="G3300" s="6" t="s">
        <v>296</v>
      </c>
      <c r="H3300" s="8" t="s">
        <v>3981</v>
      </c>
      <c r="I3300" s="9">
        <v>0.0</v>
      </c>
      <c r="J3300" s="5" t="str">
        <f t="shared" ref="J3300:K3300" si="3300">SUBSTITUTE(H3300, ",", "")</f>
        <v>0</v>
      </c>
      <c r="K3300" s="5" t="str">
        <f t="shared" si="3300"/>
        <v>Rp0</v>
      </c>
      <c r="L3300" s="5" t="str">
        <f t="shared" si="3"/>
        <v>0</v>
      </c>
    </row>
    <row r="3301">
      <c r="A3301" s="6" t="s">
        <v>4620</v>
      </c>
      <c r="B3301" s="7" t="str">
        <f>HYPERLINK("https://shopee.co.id/N-Pure-Centella-Asiatica-Face-Essence-20ml-i.825870.8712624260", "https://shopee.co.id/N-Pure-Centella-Asiatica-Face-Essence-20ml-i.825870.8712624260")</f>
        <v>https://shopee.co.id/N-Pure-Centella-Asiatica-Face-Essence-20ml-i.825870.8712624260</v>
      </c>
      <c r="C3301" s="6" t="s">
        <v>266</v>
      </c>
      <c r="D3301" s="6" t="s">
        <v>1184</v>
      </c>
      <c r="E3301" s="6" t="s">
        <v>12</v>
      </c>
      <c r="F3301" s="6" t="s">
        <v>13</v>
      </c>
      <c r="G3301" s="6" t="s">
        <v>21</v>
      </c>
      <c r="H3301" s="8" t="s">
        <v>3981</v>
      </c>
      <c r="I3301" s="9">
        <v>0.0</v>
      </c>
      <c r="J3301" s="5" t="str">
        <f t="shared" ref="J3301:K3301" si="3301">SUBSTITUTE(H3301, ",", "")</f>
        <v>0</v>
      </c>
      <c r="K3301" s="5" t="str">
        <f t="shared" si="3301"/>
        <v>Rp0</v>
      </c>
      <c r="L3301" s="5" t="str">
        <f t="shared" si="3"/>
        <v>0</v>
      </c>
    </row>
    <row r="3302">
      <c r="A3302" s="6" t="s">
        <v>4621</v>
      </c>
      <c r="B3302" s="7" t="str">
        <f>HYPERLINK("https://shopee.co.id/N-Pure-Centella-Asiatica-Face-Serum-15ml-i.825870.4754142409", "https://shopee.co.id/N-Pure-Centella-Asiatica-Face-Serum-15ml-i.825870.4754142409")</f>
        <v>https://shopee.co.id/N-Pure-Centella-Asiatica-Face-Serum-15ml-i.825870.4754142409</v>
      </c>
      <c r="C3302" s="6" t="s">
        <v>4622</v>
      </c>
      <c r="D3302" s="6" t="s">
        <v>1184</v>
      </c>
      <c r="E3302" s="6" t="s">
        <v>12</v>
      </c>
      <c r="F3302" s="6" t="s">
        <v>13</v>
      </c>
      <c r="G3302" s="6" t="s">
        <v>21</v>
      </c>
      <c r="H3302" s="8" t="s">
        <v>3981</v>
      </c>
      <c r="I3302" s="9">
        <v>0.0</v>
      </c>
      <c r="J3302" s="5" t="str">
        <f t="shared" ref="J3302:K3302" si="3302">SUBSTITUTE(H3302, ",", "")</f>
        <v>0</v>
      </c>
      <c r="K3302" s="5" t="str">
        <f t="shared" si="3302"/>
        <v>Rp0</v>
      </c>
      <c r="L3302" s="5" t="str">
        <f t="shared" si="3"/>
        <v>0</v>
      </c>
    </row>
    <row r="3303">
      <c r="A3303" s="6" t="s">
        <v>4623</v>
      </c>
      <c r="B3303" s="7" t="str">
        <f>HYPERLINK("https://shopee.co.id/Nacific-BEST-3-Serum-SET-Origin-Whitening-Cica--i.238379974.10513333325", "https://shopee.co.id/Nacific-BEST-3-Serum-SET-Origin-Whitening-Cica--i.238379974.10513333325")</f>
        <v>https://shopee.co.id/Nacific-BEST-3-Serum-SET-Origin-Whitening-Cica--i.238379974.10513333325</v>
      </c>
      <c r="C3303" s="6" t="s">
        <v>344</v>
      </c>
      <c r="D3303" s="6" t="s">
        <v>345</v>
      </c>
      <c r="E3303" s="6" t="s">
        <v>12</v>
      </c>
      <c r="F3303" s="6" t="s">
        <v>13</v>
      </c>
      <c r="G3303" s="6" t="s">
        <v>130</v>
      </c>
      <c r="H3303" s="8" t="s">
        <v>3981</v>
      </c>
      <c r="I3303" s="9">
        <v>0.0</v>
      </c>
      <c r="J3303" s="5" t="str">
        <f t="shared" ref="J3303:K3303" si="3303">SUBSTITUTE(H3303, ",", "")</f>
        <v>0</v>
      </c>
      <c r="K3303" s="5" t="str">
        <f t="shared" si="3303"/>
        <v>Rp0</v>
      </c>
      <c r="L3303" s="5" t="str">
        <f t="shared" si="3"/>
        <v>0</v>
      </c>
    </row>
    <row r="3304">
      <c r="A3304" s="6" t="s">
        <v>1654</v>
      </c>
      <c r="B3304" s="7" t="str">
        <f>HYPERLINK("https://shopee.co.id/NACIFIC-Day-and-Night-Set-i.125116082.3285995339", "https://shopee.co.id/NACIFIC-Day-and-Night-Set-i.125116082.3285995339")</f>
        <v>https://shopee.co.id/NACIFIC-Day-and-Night-Set-i.125116082.3285995339</v>
      </c>
      <c r="C3304" s="6" t="s">
        <v>344</v>
      </c>
      <c r="D3304" s="6" t="s">
        <v>713</v>
      </c>
      <c r="E3304" s="6" t="s">
        <v>12</v>
      </c>
      <c r="F3304" s="6" t="s">
        <v>13</v>
      </c>
      <c r="G3304" s="6" t="s">
        <v>61</v>
      </c>
      <c r="H3304" s="8" t="s">
        <v>3981</v>
      </c>
      <c r="I3304" s="9">
        <v>0.0</v>
      </c>
      <c r="J3304" s="5" t="str">
        <f t="shared" ref="J3304:K3304" si="3304">SUBSTITUTE(H3304, ",", "")</f>
        <v>0</v>
      </c>
      <c r="K3304" s="5" t="str">
        <f t="shared" si="3304"/>
        <v>Rp0</v>
      </c>
      <c r="L3304" s="5" t="str">
        <f t="shared" si="3"/>
        <v>0</v>
      </c>
    </row>
    <row r="3305">
      <c r="A3305" s="6" t="s">
        <v>4624</v>
      </c>
      <c r="B3305" s="7" t="str">
        <f>HYPERLINK("https://shopee.co.id/NACIFIC-Double-Set-Fresh-Herb-Origin-Serum-2-ea-i.238604292.3746805411", "https://shopee.co.id/NACIFIC-Double-Set-Fresh-Herb-Origin-Serum-2-ea-i.238604292.3746805411")</f>
        <v>https://shopee.co.id/NACIFIC-Double-Set-Fresh-Herb-Origin-Serum-2-ea-i.238604292.3746805411</v>
      </c>
      <c r="C3305" s="6" t="s">
        <v>344</v>
      </c>
      <c r="D3305" s="6" t="s">
        <v>918</v>
      </c>
      <c r="E3305" s="6" t="s">
        <v>12</v>
      </c>
      <c r="F3305" s="6" t="s">
        <v>13</v>
      </c>
      <c r="G3305" s="6" t="s">
        <v>80</v>
      </c>
      <c r="H3305" s="8" t="s">
        <v>3981</v>
      </c>
      <c r="I3305" s="9">
        <v>0.0</v>
      </c>
      <c r="J3305" s="5" t="str">
        <f t="shared" ref="J3305:K3305" si="3305">SUBSTITUTE(H3305, ",", "")</f>
        <v>0</v>
      </c>
      <c r="K3305" s="5" t="str">
        <f t="shared" si="3305"/>
        <v>Rp0</v>
      </c>
      <c r="L3305" s="5" t="str">
        <f t="shared" si="3"/>
        <v>0</v>
      </c>
    </row>
    <row r="3306">
      <c r="A3306" s="6" t="s">
        <v>4625</v>
      </c>
      <c r="B3306" s="7" t="str">
        <f>HYPERLINK("https://shopee.co.id/Nacific-Fresh-Cica-Plus-Clear-2-SET-Serum-Toner--i.238379974.9780841088", "https://shopee.co.id/Nacific-Fresh-Cica-Plus-Clear-2-SET-Serum-Toner--i.238379974.9780841088")</f>
        <v>https://shopee.co.id/Nacific-Fresh-Cica-Plus-Clear-2-SET-Serum-Toner--i.238379974.9780841088</v>
      </c>
      <c r="C3306" s="6" t="s">
        <v>344</v>
      </c>
      <c r="D3306" s="6" t="s">
        <v>345</v>
      </c>
      <c r="E3306" s="6" t="s">
        <v>12</v>
      </c>
      <c r="F3306" s="6" t="s">
        <v>13</v>
      </c>
      <c r="G3306" s="6" t="s">
        <v>130</v>
      </c>
      <c r="H3306" s="8" t="s">
        <v>3981</v>
      </c>
      <c r="I3306" s="9">
        <v>0.0</v>
      </c>
      <c r="J3306" s="5" t="str">
        <f t="shared" ref="J3306:K3306" si="3306">SUBSTITUTE(H3306, ",", "")</f>
        <v>0</v>
      </c>
      <c r="K3306" s="5" t="str">
        <f t="shared" si="3306"/>
        <v>Rp0</v>
      </c>
      <c r="L3306" s="5" t="str">
        <f t="shared" si="3"/>
        <v>0</v>
      </c>
    </row>
    <row r="3307">
      <c r="A3307" s="6" t="s">
        <v>4626</v>
      </c>
      <c r="B3307" s="7" t="str">
        <f>HYPERLINK("https://shopee.co.id/Nacific-Fresh-Cica-Plus-Clear-Serum-i.125116082.4216780471", "https://shopee.co.id/Nacific-Fresh-Cica-Plus-Clear-Serum-i.125116082.4216780471")</f>
        <v>https://shopee.co.id/Nacific-Fresh-Cica-Plus-Clear-Serum-i.125116082.4216780471</v>
      </c>
      <c r="C3307" s="6" t="s">
        <v>344</v>
      </c>
      <c r="D3307" s="6" t="s">
        <v>713</v>
      </c>
      <c r="E3307" s="6" t="s">
        <v>12</v>
      </c>
      <c r="F3307" s="6" t="s">
        <v>13</v>
      </c>
      <c r="G3307" s="6" t="s">
        <v>61</v>
      </c>
      <c r="H3307" s="8" t="s">
        <v>3981</v>
      </c>
      <c r="I3307" s="9">
        <v>0.0</v>
      </c>
      <c r="J3307" s="5" t="str">
        <f t="shared" ref="J3307:K3307" si="3307">SUBSTITUTE(H3307, ",", "")</f>
        <v>0</v>
      </c>
      <c r="K3307" s="5" t="str">
        <f t="shared" si="3307"/>
        <v>Rp0</v>
      </c>
      <c r="L3307" s="5" t="str">
        <f t="shared" si="3"/>
        <v>0</v>
      </c>
    </row>
    <row r="3308">
      <c r="A3308" s="6" t="s">
        <v>4627</v>
      </c>
      <c r="B3308" s="7" t="str">
        <f>HYPERLINK("https://shopee.co.id/Nacific-Fresh-Cica-Plus-Clear-Serum-50ml-i.825870.7729844845", "https://shopee.co.id/Nacific-Fresh-Cica-Plus-Clear-Serum-50ml-i.825870.7729844845")</f>
        <v>https://shopee.co.id/Nacific-Fresh-Cica-Plus-Clear-Serum-50ml-i.825870.7729844845</v>
      </c>
      <c r="C3308" s="6" t="s">
        <v>344</v>
      </c>
      <c r="D3308" s="6" t="s">
        <v>1184</v>
      </c>
      <c r="E3308" s="6" t="s">
        <v>12</v>
      </c>
      <c r="F3308" s="6" t="s">
        <v>13</v>
      </c>
      <c r="G3308" s="6" t="s">
        <v>21</v>
      </c>
      <c r="H3308" s="8" t="s">
        <v>3981</v>
      </c>
      <c r="I3308" s="9">
        <v>0.0</v>
      </c>
      <c r="J3308" s="5" t="str">
        <f t="shared" ref="J3308:K3308" si="3308">SUBSTITUTE(H3308, ",", "")</f>
        <v>0</v>
      </c>
      <c r="K3308" s="5" t="str">
        <f t="shared" si="3308"/>
        <v>Rp0</v>
      </c>
      <c r="L3308" s="5" t="str">
        <f t="shared" si="3"/>
        <v>0</v>
      </c>
    </row>
    <row r="3309">
      <c r="A3309" s="6" t="s">
        <v>4628</v>
      </c>
      <c r="B3309" s="7" t="str">
        <f>HYPERLINK("https://shopee.co.id/NACIFIC-Fresh-Cica-Set-i.125116082.2944325893", "https://shopee.co.id/NACIFIC-Fresh-Cica-Set-i.125116082.2944325893")</f>
        <v>https://shopee.co.id/NACIFIC-Fresh-Cica-Set-i.125116082.2944325893</v>
      </c>
      <c r="C3309" s="6" t="s">
        <v>344</v>
      </c>
      <c r="D3309" s="6" t="s">
        <v>713</v>
      </c>
      <c r="E3309" s="6" t="s">
        <v>12</v>
      </c>
      <c r="F3309" s="6" t="s">
        <v>13</v>
      </c>
      <c r="G3309" s="6" t="s">
        <v>61</v>
      </c>
      <c r="H3309" s="8" t="s">
        <v>3981</v>
      </c>
      <c r="I3309" s="9">
        <v>0.0</v>
      </c>
      <c r="J3309" s="5" t="str">
        <f t="shared" ref="J3309:K3309" si="3309">SUBSTITUTE(H3309, ",", "")</f>
        <v>0</v>
      </c>
      <c r="K3309" s="5" t="str">
        <f t="shared" si="3309"/>
        <v>Rp0</v>
      </c>
      <c r="L3309" s="5" t="str">
        <f t="shared" si="3"/>
        <v>0</v>
      </c>
    </row>
    <row r="3310">
      <c r="A3310" s="6" t="s">
        <v>4629</v>
      </c>
      <c r="B3310" s="7" t="str">
        <f>HYPERLINK("https://shopee.co.id/Nacific-Fresh-Herb-Origin-Serum-Double-SET-50ml-2EA--i.238379974.5092581424", "https://shopee.co.id/Nacific-Fresh-Herb-Origin-Serum-Double-SET-50ml-2EA--i.238379974.5092581424")</f>
        <v>https://shopee.co.id/Nacific-Fresh-Herb-Origin-Serum-Double-SET-50ml-2EA--i.238379974.5092581424</v>
      </c>
      <c r="C3310" s="6" t="s">
        <v>344</v>
      </c>
      <c r="D3310" s="6" t="s">
        <v>345</v>
      </c>
      <c r="E3310" s="6" t="s">
        <v>12</v>
      </c>
      <c r="F3310" s="6" t="s">
        <v>13</v>
      </c>
      <c r="G3310" s="6" t="s">
        <v>130</v>
      </c>
      <c r="H3310" s="8" t="s">
        <v>3981</v>
      </c>
      <c r="I3310" s="9">
        <v>0.0</v>
      </c>
      <c r="J3310" s="5" t="str">
        <f t="shared" ref="J3310:K3310" si="3310">SUBSTITUTE(H3310, ",", "")</f>
        <v>0</v>
      </c>
      <c r="K3310" s="5" t="str">
        <f t="shared" si="3310"/>
        <v>Rp0</v>
      </c>
      <c r="L3310" s="5" t="str">
        <f t="shared" si="3"/>
        <v>0</v>
      </c>
    </row>
    <row r="3311">
      <c r="A3311" s="6" t="s">
        <v>4630</v>
      </c>
      <c r="B3311" s="7" t="str">
        <f>HYPERLINK("https://shopee.co.id/NACIFIC-Fresh-Herb-Origin-Set-i.238604292.6580338081", "https://shopee.co.id/NACIFIC-Fresh-Herb-Origin-Set-i.238604292.6580338081")</f>
        <v>https://shopee.co.id/NACIFIC-Fresh-Herb-Origin-Set-i.238604292.6580338081</v>
      </c>
      <c r="C3311" s="6" t="s">
        <v>344</v>
      </c>
      <c r="D3311" s="6" t="s">
        <v>918</v>
      </c>
      <c r="E3311" s="6" t="s">
        <v>12</v>
      </c>
      <c r="F3311" s="6" t="s">
        <v>13</v>
      </c>
      <c r="G3311" s="6" t="s">
        <v>80</v>
      </c>
      <c r="H3311" s="8" t="s">
        <v>3981</v>
      </c>
      <c r="I3311" s="9">
        <v>0.0</v>
      </c>
      <c r="J3311" s="5" t="str">
        <f t="shared" ref="J3311:K3311" si="3311">SUBSTITUTE(H3311, ",", "")</f>
        <v>0</v>
      </c>
      <c r="K3311" s="5" t="str">
        <f t="shared" si="3311"/>
        <v>Rp0</v>
      </c>
      <c r="L3311" s="5" t="str">
        <f t="shared" si="3"/>
        <v>0</v>
      </c>
    </row>
    <row r="3312">
      <c r="A3312" s="6" t="s">
        <v>4631</v>
      </c>
      <c r="B3312" s="7" t="str">
        <f>HYPERLINK("https://shopee.co.id/Nacific-Jeju-Artemisia-Essence-150ml-i.10689.7762109683", "https://shopee.co.id/Nacific-Jeju-Artemisia-Essence-150ml-i.10689.7762109683")</f>
        <v>https://shopee.co.id/Nacific-Jeju-Artemisia-Essence-150ml-i.10689.7762109683</v>
      </c>
      <c r="C3312" s="6" t="s">
        <v>344</v>
      </c>
      <c r="D3312" s="6" t="s">
        <v>745</v>
      </c>
      <c r="E3312" s="6" t="s">
        <v>12</v>
      </c>
      <c r="F3312" s="6" t="s">
        <v>13</v>
      </c>
      <c r="G3312" s="6" t="s">
        <v>61</v>
      </c>
      <c r="H3312" s="8" t="s">
        <v>3981</v>
      </c>
      <c r="I3312" s="9">
        <v>0.0</v>
      </c>
      <c r="J3312" s="5" t="str">
        <f t="shared" ref="J3312:K3312" si="3312">SUBSTITUTE(H3312, ",", "")</f>
        <v>0</v>
      </c>
      <c r="K3312" s="5" t="str">
        <f t="shared" si="3312"/>
        <v>Rp0</v>
      </c>
      <c r="L3312" s="5" t="str">
        <f t="shared" si="3"/>
        <v>0</v>
      </c>
    </row>
    <row r="3313">
      <c r="A3313" s="6" t="s">
        <v>1655</v>
      </c>
      <c r="B3313" s="7" t="str">
        <f>HYPERLINK("https://shopee.co.id/Nacific-Phyto-Niacin-Whitening-Essence-50ml-i.10689.2058440631", "https://shopee.co.id/Nacific-Phyto-Niacin-Whitening-Essence-50ml-i.10689.2058440631")</f>
        <v>https://shopee.co.id/Nacific-Phyto-Niacin-Whitening-Essence-50ml-i.10689.2058440631</v>
      </c>
      <c r="C3313" s="6" t="s">
        <v>344</v>
      </c>
      <c r="D3313" s="6" t="s">
        <v>745</v>
      </c>
      <c r="E3313" s="6" t="s">
        <v>12</v>
      </c>
      <c r="F3313" s="6" t="s">
        <v>13</v>
      </c>
      <c r="G3313" s="6" t="s">
        <v>61</v>
      </c>
      <c r="H3313" s="8" t="s">
        <v>3981</v>
      </c>
      <c r="I3313" s="9">
        <v>0.0</v>
      </c>
      <c r="J3313" s="5" t="str">
        <f t="shared" ref="J3313:K3313" si="3313">SUBSTITUTE(H3313, ",", "")</f>
        <v>0</v>
      </c>
      <c r="K3313" s="5" t="str">
        <f t="shared" si="3313"/>
        <v>Rp0</v>
      </c>
      <c r="L3313" s="5" t="str">
        <f t="shared" si="3"/>
        <v>0</v>
      </c>
    </row>
    <row r="3314">
      <c r="A3314" s="6" t="s">
        <v>4632</v>
      </c>
      <c r="B3314" s="7" t="str">
        <f>HYPERLINK("https://shopee.co.id/NACIFIC-Real-Floral-Essence-Rose-i.125116082.10109802544", "https://shopee.co.id/NACIFIC-Real-Floral-Essence-Rose-i.125116082.10109802544")</f>
        <v>https://shopee.co.id/NACIFIC-Real-Floral-Essence-Rose-i.125116082.10109802544</v>
      </c>
      <c r="C3314" s="6" t="s">
        <v>344</v>
      </c>
      <c r="D3314" s="6" t="s">
        <v>713</v>
      </c>
      <c r="E3314" s="6" t="s">
        <v>12</v>
      </c>
      <c r="F3314" s="6" t="s">
        <v>13</v>
      </c>
      <c r="G3314" s="6" t="s">
        <v>61</v>
      </c>
      <c r="H3314" s="8" t="s">
        <v>3981</v>
      </c>
      <c r="I3314" s="9">
        <v>0.0</v>
      </c>
      <c r="J3314" s="5" t="str">
        <f t="shared" ref="J3314:K3314" si="3314">SUBSTITUTE(H3314, ",", "")</f>
        <v>0</v>
      </c>
      <c r="K3314" s="5" t="str">
        <f t="shared" si="3314"/>
        <v>Rp0</v>
      </c>
      <c r="L3314" s="5" t="str">
        <f t="shared" si="3"/>
        <v>0</v>
      </c>
    </row>
    <row r="3315">
      <c r="A3315" s="6" t="s">
        <v>4633</v>
      </c>
      <c r="B3315" s="7" t="str">
        <f>HYPERLINK("https://shopee.co.id/Nadfaskin-Tea-Tree-Serum-20ml-i.53887195.6085435389", "https://shopee.co.id/Nadfaskin-Tea-Tree-Serum-20ml-i.53887195.6085435389")</f>
        <v>https://shopee.co.id/Nadfaskin-Tea-Tree-Serum-20ml-i.53887195.6085435389</v>
      </c>
      <c r="C3315" s="6" t="s">
        <v>1157</v>
      </c>
      <c r="D3315" s="6" t="s">
        <v>1026</v>
      </c>
      <c r="E3315" s="6" t="s">
        <v>12</v>
      </c>
      <c r="F3315" s="6" t="s">
        <v>13</v>
      </c>
      <c r="G3315" s="6" t="s">
        <v>80</v>
      </c>
      <c r="H3315" s="8" t="s">
        <v>3981</v>
      </c>
      <c r="I3315" s="9">
        <v>0.0</v>
      </c>
      <c r="J3315" s="5" t="str">
        <f t="shared" ref="J3315:K3315" si="3315">SUBSTITUTE(H3315, ",", "")</f>
        <v>0</v>
      </c>
      <c r="K3315" s="5" t="str">
        <f t="shared" si="3315"/>
        <v>Rp0</v>
      </c>
      <c r="L3315" s="5" t="str">
        <f t="shared" si="3"/>
        <v>0</v>
      </c>
    </row>
    <row r="3316">
      <c r="A3316" s="6" t="s">
        <v>3722</v>
      </c>
      <c r="B3316" s="7" t="str">
        <f>HYPERLINK("https://shopee.co.id/Nadfaskin-Vitamin-C-Serum-20ml-i.53887195.7885425089", "https://shopee.co.id/Nadfaskin-Vitamin-C-Serum-20ml-i.53887195.7885425089")</f>
        <v>https://shopee.co.id/Nadfaskin-Vitamin-C-Serum-20ml-i.53887195.7885425089</v>
      </c>
      <c r="C3316" s="6" t="s">
        <v>1157</v>
      </c>
      <c r="D3316" s="6" t="s">
        <v>1026</v>
      </c>
      <c r="E3316" s="6" t="s">
        <v>12</v>
      </c>
      <c r="F3316" s="6" t="s">
        <v>13</v>
      </c>
      <c r="G3316" s="6" t="s">
        <v>80</v>
      </c>
      <c r="H3316" s="8" t="s">
        <v>3981</v>
      </c>
      <c r="I3316" s="9">
        <v>0.0</v>
      </c>
      <c r="J3316" s="5" t="str">
        <f t="shared" ref="J3316:K3316" si="3316">SUBSTITUTE(H3316, ",", "")</f>
        <v>0</v>
      </c>
      <c r="K3316" s="5" t="str">
        <f t="shared" si="3316"/>
        <v>Rp0</v>
      </c>
      <c r="L3316" s="5" t="str">
        <f t="shared" si="3"/>
        <v>0</v>
      </c>
    </row>
    <row r="3317">
      <c r="A3317" s="6" t="s">
        <v>4634</v>
      </c>
      <c r="B3317" s="7" t="str">
        <f>HYPERLINK("https://shopee.co.id/Nahla-I-C-You-In-The-Bright-Side-Serum-20ml-Brightening-Serum-i.29243176.3881675690", "https://shopee.co.id/Nahla-I-C-You-In-The-Bright-Side-Serum-20ml-Brightening-Serum-i.29243176.3881675690")</f>
        <v>https://shopee.co.id/Nahla-I-C-You-In-The-Bright-Side-Serum-20ml-Brightening-Serum-i.29243176.3881675690</v>
      </c>
      <c r="C3317" s="6" t="s">
        <v>4635</v>
      </c>
      <c r="D3317" s="6" t="s">
        <v>4636</v>
      </c>
      <c r="E3317" s="6" t="s">
        <v>12</v>
      </c>
      <c r="F3317" s="6" t="s">
        <v>13</v>
      </c>
      <c r="G3317" s="6" t="s">
        <v>2238</v>
      </c>
      <c r="H3317" s="8" t="s">
        <v>3981</v>
      </c>
      <c r="I3317" s="9">
        <v>0.0</v>
      </c>
      <c r="J3317" s="5" t="str">
        <f t="shared" ref="J3317:K3317" si="3317">SUBSTITUTE(H3317, ",", "")</f>
        <v>0</v>
      </c>
      <c r="K3317" s="5" t="str">
        <f t="shared" si="3317"/>
        <v>Rp0</v>
      </c>
      <c r="L3317" s="5" t="str">
        <f t="shared" si="3"/>
        <v>0</v>
      </c>
    </row>
    <row r="3318">
      <c r="A3318" s="6" t="s">
        <v>4637</v>
      </c>
      <c r="B3318" s="7" t="str">
        <f>HYPERLINK("https://shopee.co.id/Natasha-by-dr-Fredi-Setyawan-Anti-Dandruff-Serum-i.40121814.2380655949", "https://shopee.co.id/Natasha-by-dr-Fredi-Setyawan-Anti-Dandruff-Serum-i.40121814.2380655949")</f>
        <v>https://shopee.co.id/Natasha-by-dr-Fredi-Setyawan-Anti-Dandruff-Serum-i.40121814.2380655949</v>
      </c>
      <c r="C3318" s="6" t="s">
        <v>1752</v>
      </c>
      <c r="D3318" s="6" t="s">
        <v>794</v>
      </c>
      <c r="E3318" s="6" t="s">
        <v>12</v>
      </c>
      <c r="F3318" s="6" t="s">
        <v>13</v>
      </c>
      <c r="G3318" s="6" t="s">
        <v>380</v>
      </c>
      <c r="H3318" s="8" t="s">
        <v>3981</v>
      </c>
      <c r="I3318" s="9">
        <v>0.0</v>
      </c>
      <c r="J3318" s="5" t="str">
        <f t="shared" ref="J3318:K3318" si="3318">SUBSTITUTE(H3318, ",", "")</f>
        <v>0</v>
      </c>
      <c r="K3318" s="5" t="str">
        <f t="shared" si="3318"/>
        <v>Rp0</v>
      </c>
      <c r="L3318" s="5" t="str">
        <f t="shared" si="3"/>
        <v>0</v>
      </c>
    </row>
    <row r="3319">
      <c r="A3319" s="6" t="s">
        <v>4638</v>
      </c>
      <c r="B3319" s="7" t="str">
        <f>HYPERLINK("https://shopee.co.id/Natasha-by-dr-Fredi-Setyawan-Manuka-Honey-Stimuno-Repair-Complex-i.40121814.5943688211", "https://shopee.co.id/Natasha-by-dr-Fredi-Setyawan-Manuka-Honey-Stimuno-Repair-Complex-i.40121814.5943688211")</f>
        <v>https://shopee.co.id/Natasha-by-dr-Fredi-Setyawan-Manuka-Honey-Stimuno-Repair-Complex-i.40121814.5943688211</v>
      </c>
      <c r="C3319" s="6" t="s">
        <v>1752</v>
      </c>
      <c r="D3319" s="6" t="s">
        <v>794</v>
      </c>
      <c r="E3319" s="6" t="s">
        <v>12</v>
      </c>
      <c r="F3319" s="6" t="s">
        <v>13</v>
      </c>
      <c r="G3319" s="6" t="s">
        <v>380</v>
      </c>
      <c r="H3319" s="8" t="s">
        <v>3981</v>
      </c>
      <c r="I3319" s="9">
        <v>0.0</v>
      </c>
      <c r="J3319" s="5" t="str">
        <f t="shared" ref="J3319:K3319" si="3319">SUBSTITUTE(H3319, ",", "")</f>
        <v>0</v>
      </c>
      <c r="K3319" s="5" t="str">
        <f t="shared" si="3319"/>
        <v>Rp0</v>
      </c>
      <c r="L3319" s="5" t="str">
        <f t="shared" si="3"/>
        <v>0</v>
      </c>
    </row>
    <row r="3320">
      <c r="A3320" s="6" t="s">
        <v>3620</v>
      </c>
      <c r="B3320" s="7" t="str">
        <f>HYPERLINK("https://shopee.co.id/Natur-E-Advanced-Anti-Aging-Serum-15-ML-i.353462148.7669209358", "https://shopee.co.id/Natur-E-Advanced-Anti-Aging-Serum-15-ML-i.353462148.7669209358")</f>
        <v>https://shopee.co.id/Natur-E-Advanced-Anti-Aging-Serum-15-ML-i.353462148.7669209358</v>
      </c>
      <c r="C3320" s="6" t="s">
        <v>849</v>
      </c>
      <c r="D3320" s="6" t="s">
        <v>4639</v>
      </c>
      <c r="E3320" s="6" t="s">
        <v>12</v>
      </c>
      <c r="F3320" s="6" t="s">
        <v>13</v>
      </c>
      <c r="G3320" s="6" t="s">
        <v>945</v>
      </c>
      <c r="H3320" s="8" t="s">
        <v>3981</v>
      </c>
      <c r="I3320" s="9">
        <v>0.0</v>
      </c>
      <c r="J3320" s="5" t="str">
        <f t="shared" ref="J3320:K3320" si="3320">SUBSTITUTE(H3320, ",", "")</f>
        <v>0</v>
      </c>
      <c r="K3320" s="5" t="str">
        <f t="shared" si="3320"/>
        <v>Rp0</v>
      </c>
      <c r="L3320" s="5" t="str">
        <f t="shared" si="3"/>
        <v>0</v>
      </c>
    </row>
    <row r="3321">
      <c r="A3321" s="6" t="s">
        <v>3620</v>
      </c>
      <c r="B3321" s="7" t="str">
        <f>HYPERLINK("https://shopee.co.id/Natur-E-Advanced-Anti-Aging-Serum-15-ML-i.353460901.6569205979", "https://shopee.co.id/Natur-E-Advanced-Anti-Aging-Serum-15-ML-i.353460901.6569205979")</f>
        <v>https://shopee.co.id/Natur-E-Advanced-Anti-Aging-Serum-15-ML-i.353460901.6569205979</v>
      </c>
      <c r="C3321" s="6" t="s">
        <v>849</v>
      </c>
      <c r="D3321" s="6" t="s">
        <v>3944</v>
      </c>
      <c r="E3321" s="6" t="s">
        <v>12</v>
      </c>
      <c r="F3321" s="6" t="s">
        <v>13</v>
      </c>
      <c r="G3321" s="6" t="s">
        <v>1480</v>
      </c>
      <c r="H3321" s="8" t="s">
        <v>3981</v>
      </c>
      <c r="I3321" s="9">
        <v>0.0</v>
      </c>
      <c r="J3321" s="5" t="str">
        <f t="shared" ref="J3321:K3321" si="3321">SUBSTITUTE(H3321, ",", "")</f>
        <v>0</v>
      </c>
      <c r="K3321" s="5" t="str">
        <f t="shared" si="3321"/>
        <v>Rp0</v>
      </c>
      <c r="L3321" s="5" t="str">
        <f t="shared" si="3"/>
        <v>0</v>
      </c>
    </row>
    <row r="3322">
      <c r="A3322" s="6" t="s">
        <v>3620</v>
      </c>
      <c r="B3322" s="7" t="str">
        <f>HYPERLINK("https://shopee.co.id/Natur-E-Advanced-Anti-Aging-Serum-15-ML-i.353463233.8503530221", "https://shopee.co.id/Natur-E-Advanced-Anti-Aging-Serum-15-ML-i.353463233.8503530221")</f>
        <v>https://shopee.co.id/Natur-E-Advanced-Anti-Aging-Serum-15-ML-i.353463233.8503530221</v>
      </c>
      <c r="C3322" s="6" t="s">
        <v>849</v>
      </c>
      <c r="D3322" s="6" t="s">
        <v>3968</v>
      </c>
      <c r="E3322" s="6" t="s">
        <v>12</v>
      </c>
      <c r="F3322" s="6" t="s">
        <v>13</v>
      </c>
      <c r="G3322" s="6" t="s">
        <v>350</v>
      </c>
      <c r="H3322" s="8" t="s">
        <v>3981</v>
      </c>
      <c r="I3322" s="9">
        <v>0.0</v>
      </c>
      <c r="J3322" s="5" t="str">
        <f t="shared" ref="J3322:K3322" si="3322">SUBSTITUTE(H3322, ",", "")</f>
        <v>0</v>
      </c>
      <c r="K3322" s="5" t="str">
        <f t="shared" si="3322"/>
        <v>Rp0</v>
      </c>
      <c r="L3322" s="5" t="str">
        <f t="shared" si="3"/>
        <v>0</v>
      </c>
    </row>
    <row r="3323">
      <c r="A3323" s="6" t="s">
        <v>4640</v>
      </c>
      <c r="B3323" s="7" t="str">
        <f>HYPERLINK("https://shopee.co.id/Natur-Face-Serum-Miracle-Brightening-Serum-30-ml-i.65323877.6345448767", "https://shopee.co.id/Natur-Face-Serum-Miracle-Brightening-Serum-30-ml-i.65323877.6345448767")</f>
        <v>https://shopee.co.id/Natur-Face-Serum-Miracle-Brightening-Serum-30-ml-i.65323877.6345448767</v>
      </c>
      <c r="C3323" s="6" t="s">
        <v>1234</v>
      </c>
      <c r="D3323" s="6" t="s">
        <v>1600</v>
      </c>
      <c r="E3323" s="6" t="s">
        <v>12</v>
      </c>
      <c r="F3323" s="6" t="s">
        <v>13</v>
      </c>
      <c r="G3323" s="6" t="s">
        <v>296</v>
      </c>
      <c r="H3323" s="8" t="s">
        <v>3981</v>
      </c>
      <c r="I3323" s="9">
        <v>0.0</v>
      </c>
      <c r="J3323" s="5" t="str">
        <f t="shared" ref="J3323:K3323" si="3323">SUBSTITUTE(H3323, ",", "")</f>
        <v>0</v>
      </c>
      <c r="K3323" s="5" t="str">
        <f t="shared" si="3323"/>
        <v>Rp0</v>
      </c>
      <c r="L3323" s="5" t="str">
        <f t="shared" si="3"/>
        <v>0</v>
      </c>
    </row>
    <row r="3324">
      <c r="A3324" s="6" t="s">
        <v>4641</v>
      </c>
      <c r="B3324" s="7" t="str">
        <f>HYPERLINK("https://shopee.co.id/Natur-Face-Serum-Miracle-Renew-Skin-30-mL-i.65323877.6345448797", "https://shopee.co.id/Natur-Face-Serum-Miracle-Renew-Skin-30-mL-i.65323877.6345448797")</f>
        <v>https://shopee.co.id/Natur-Face-Serum-Miracle-Renew-Skin-30-mL-i.65323877.6345448797</v>
      </c>
      <c r="C3324" s="6" t="s">
        <v>1234</v>
      </c>
      <c r="D3324" s="6" t="s">
        <v>1600</v>
      </c>
      <c r="E3324" s="6" t="s">
        <v>12</v>
      </c>
      <c r="F3324" s="6" t="s">
        <v>13</v>
      </c>
      <c r="G3324" s="6" t="s">
        <v>296</v>
      </c>
      <c r="H3324" s="8" t="s">
        <v>3981</v>
      </c>
      <c r="I3324" s="9">
        <v>0.0</v>
      </c>
      <c r="J3324" s="5" t="str">
        <f t="shared" ref="J3324:K3324" si="3324">SUBSTITUTE(H3324, ",", "")</f>
        <v>0</v>
      </c>
      <c r="K3324" s="5" t="str">
        <f t="shared" si="3324"/>
        <v>Rp0</v>
      </c>
      <c r="L3324" s="5" t="str">
        <f t="shared" si="3"/>
        <v>0</v>
      </c>
    </row>
    <row r="3325">
      <c r="A3325" s="6" t="s">
        <v>4642</v>
      </c>
      <c r="B3325" s="7" t="str">
        <f>HYPERLINK("https://shopee.co.id/Natur-Miracle-Calming-Serum-30-mL-i.65323877.6345448724", "https://shopee.co.id/Natur-Miracle-Calming-Serum-30-mL-i.65323877.6345448724")</f>
        <v>https://shopee.co.id/Natur-Miracle-Calming-Serum-30-mL-i.65323877.6345448724</v>
      </c>
      <c r="C3325" s="6" t="s">
        <v>1234</v>
      </c>
      <c r="D3325" s="6" t="s">
        <v>1600</v>
      </c>
      <c r="E3325" s="6" t="s">
        <v>12</v>
      </c>
      <c r="F3325" s="6" t="s">
        <v>13</v>
      </c>
      <c r="G3325" s="6" t="s">
        <v>296</v>
      </c>
      <c r="H3325" s="8" t="s">
        <v>3981</v>
      </c>
      <c r="I3325" s="9">
        <v>0.0</v>
      </c>
      <c r="J3325" s="5" t="str">
        <f t="shared" ref="J3325:K3325" si="3325">SUBSTITUTE(H3325, ",", "")</f>
        <v>0</v>
      </c>
      <c r="K3325" s="5" t="str">
        <f t="shared" si="3325"/>
        <v>Rp0</v>
      </c>
      <c r="L3325" s="5" t="str">
        <f t="shared" si="3"/>
        <v>0</v>
      </c>
    </row>
    <row r="3326">
      <c r="A3326" s="6" t="s">
        <v>4643</v>
      </c>
      <c r="B3326" s="7" t="str">
        <f>HYPERLINK("https://shopee.co.id/Natur-Miracle-Renew-Skin-Face-Serum-Ginseng-Probiotic-Natur-Shampoo-i.38631574.3451515603", "https://shopee.co.id/Natur-Miracle-Renew-Skin-Face-Serum-Ginseng-Probiotic-Natur-Shampoo-i.38631574.3451515603")</f>
        <v>https://shopee.co.id/Natur-Miracle-Renew-Skin-Face-Serum-Ginseng-Probiotic-Natur-Shampoo-i.38631574.3451515603</v>
      </c>
      <c r="C3326" s="6" t="s">
        <v>1234</v>
      </c>
      <c r="D3326" s="6" t="s">
        <v>1235</v>
      </c>
      <c r="E3326" s="6" t="s">
        <v>12</v>
      </c>
      <c r="F3326" s="6" t="s">
        <v>13</v>
      </c>
      <c r="G3326" s="6" t="s">
        <v>469</v>
      </c>
      <c r="H3326" s="8" t="s">
        <v>3981</v>
      </c>
      <c r="I3326" s="9">
        <v>0.0</v>
      </c>
      <c r="J3326" s="5" t="str">
        <f t="shared" ref="J3326:K3326" si="3326">SUBSTITUTE(H3326, ",", "")</f>
        <v>0</v>
      </c>
      <c r="K3326" s="5" t="str">
        <f t="shared" si="3326"/>
        <v>Rp0</v>
      </c>
      <c r="L3326" s="5" t="str">
        <f t="shared" si="3"/>
        <v>0</v>
      </c>
    </row>
    <row r="3327">
      <c r="A3327" s="6" t="s">
        <v>4644</v>
      </c>
      <c r="B3327" s="7" t="str">
        <f>HYPERLINK("https://shopee.co.id/Natur-E-Advanced-Aa-Serum-15ml-i.40341578.5469184309", "https://shopee.co.id/Natur-E-Advanced-Aa-Serum-15ml-i.40341578.5469184309")</f>
        <v>https://shopee.co.id/Natur-E-Advanced-Aa-Serum-15ml-i.40341578.5469184309</v>
      </c>
      <c r="C3327" s="6" t="s">
        <v>849</v>
      </c>
      <c r="D3327" s="6" t="s">
        <v>4645</v>
      </c>
      <c r="E3327" s="6" t="s">
        <v>12</v>
      </c>
      <c r="F3327" s="6" t="s">
        <v>13</v>
      </c>
      <c r="G3327" s="6" t="s">
        <v>469</v>
      </c>
      <c r="H3327" s="8" t="s">
        <v>3981</v>
      </c>
      <c r="I3327" s="9">
        <v>0.0</v>
      </c>
      <c r="J3327" s="5" t="str">
        <f t="shared" ref="J3327:K3327" si="3327">SUBSTITUTE(H3327, ",", "")</f>
        <v>0</v>
      </c>
      <c r="K3327" s="5" t="str">
        <f t="shared" si="3327"/>
        <v>Rp0</v>
      </c>
      <c r="L3327" s="5" t="str">
        <f t="shared" si="3"/>
        <v>0</v>
      </c>
    </row>
    <row r="3328">
      <c r="A3328" s="6" t="s">
        <v>4646</v>
      </c>
      <c r="B3328" s="7" t="str">
        <f>HYPERLINK("https://shopee.co.id/NATURE-REPUBLIC-Ginseng-Royal-Silk-Ampoule-Effector-7-Days-Program-i.78838801.5043830565", "https://shopee.co.id/NATURE-REPUBLIC-Ginseng-Royal-Silk-Ampoule-Effector-7-Days-Program-i.78838801.5043830565")</f>
        <v>https://shopee.co.id/NATURE-REPUBLIC-Ginseng-Royal-Silk-Ampoule-Effector-7-Days-Program-i.78838801.5043830565</v>
      </c>
      <c r="C3328" s="6" t="s">
        <v>1079</v>
      </c>
      <c r="D3328" s="6" t="s">
        <v>1080</v>
      </c>
      <c r="E3328" s="6" t="s">
        <v>12</v>
      </c>
      <c r="F3328" s="6" t="s">
        <v>13</v>
      </c>
      <c r="G3328" s="6" t="s">
        <v>532</v>
      </c>
      <c r="H3328" s="8" t="s">
        <v>3981</v>
      </c>
      <c r="I3328" s="9">
        <v>0.0</v>
      </c>
      <c r="J3328" s="5" t="str">
        <f t="shared" ref="J3328:K3328" si="3328">SUBSTITUTE(H3328, ",", "")</f>
        <v>0</v>
      </c>
      <c r="K3328" s="5" t="str">
        <f t="shared" si="3328"/>
        <v>Rp0</v>
      </c>
      <c r="L3328" s="5" t="str">
        <f t="shared" si="3"/>
        <v>0</v>
      </c>
    </row>
    <row r="3329">
      <c r="A3329" s="6" t="s">
        <v>4647</v>
      </c>
      <c r="B3329" s="7" t="str">
        <f>HYPERLINK("https://shopee.co.id/NATURE-REPUBLIC-Ginseng-Royal-Silk-Essence-i.78838801.1397561109", "https://shopee.co.id/NATURE-REPUBLIC-Ginseng-Royal-Silk-Essence-i.78838801.1397561109")</f>
        <v>https://shopee.co.id/NATURE-REPUBLIC-Ginseng-Royal-Silk-Essence-i.78838801.1397561109</v>
      </c>
      <c r="C3329" s="6" t="s">
        <v>1079</v>
      </c>
      <c r="D3329" s="6" t="s">
        <v>1080</v>
      </c>
      <c r="E3329" s="6" t="s">
        <v>12</v>
      </c>
      <c r="F3329" s="6" t="s">
        <v>13</v>
      </c>
      <c r="G3329" s="6" t="s">
        <v>532</v>
      </c>
      <c r="H3329" s="8" t="s">
        <v>3981</v>
      </c>
      <c r="I3329" s="9">
        <v>0.0</v>
      </c>
      <c r="J3329" s="5" t="str">
        <f t="shared" ref="J3329:K3329" si="3329">SUBSTITUTE(H3329, ",", "")</f>
        <v>0</v>
      </c>
      <c r="K3329" s="5" t="str">
        <f t="shared" si="3329"/>
        <v>Rp0</v>
      </c>
      <c r="L3329" s="5" t="str">
        <f t="shared" si="3"/>
        <v>0</v>
      </c>
    </row>
    <row r="3330">
      <c r="A3330" s="6" t="s">
        <v>4648</v>
      </c>
      <c r="B3330" s="7" t="str">
        <f>HYPERLINK("https://shopee.co.id/NATURE-REPUBLIC-Good-Skin-Ampoule-COLLAGEN-i.78838801.9222471009", "https://shopee.co.id/NATURE-REPUBLIC-Good-Skin-Ampoule-COLLAGEN-i.78838801.9222471009")</f>
        <v>https://shopee.co.id/NATURE-REPUBLIC-Good-Skin-Ampoule-COLLAGEN-i.78838801.9222471009</v>
      </c>
      <c r="C3330" s="6" t="s">
        <v>1079</v>
      </c>
      <c r="D3330" s="6" t="s">
        <v>1080</v>
      </c>
      <c r="E3330" s="6" t="s">
        <v>12</v>
      </c>
      <c r="F3330" s="6" t="s">
        <v>13</v>
      </c>
      <c r="G3330" s="6" t="s">
        <v>532</v>
      </c>
      <c r="H3330" s="8" t="s">
        <v>3981</v>
      </c>
      <c r="I3330" s="9">
        <v>0.0</v>
      </c>
      <c r="J3330" s="5" t="str">
        <f t="shared" ref="J3330:K3330" si="3330">SUBSTITUTE(H3330, ",", "")</f>
        <v>0</v>
      </c>
      <c r="K3330" s="5" t="str">
        <f t="shared" si="3330"/>
        <v>Rp0</v>
      </c>
      <c r="L3330" s="5" t="str">
        <f t="shared" si="3"/>
        <v>0</v>
      </c>
    </row>
    <row r="3331">
      <c r="A3331" s="6" t="s">
        <v>4649</v>
      </c>
      <c r="B3331" s="7" t="str">
        <f>HYPERLINK("https://shopee.co.id/NATURE-REPUBLIC-Green-Derma-Tea-Tree-Cica-Spot-Serum-i.78838801.9351122275", "https://shopee.co.id/NATURE-REPUBLIC-Green-Derma-Tea-Tree-Cica-Spot-Serum-i.78838801.9351122275")</f>
        <v>https://shopee.co.id/NATURE-REPUBLIC-Green-Derma-Tea-Tree-Cica-Spot-Serum-i.78838801.9351122275</v>
      </c>
      <c r="C3331" s="6" t="s">
        <v>1079</v>
      </c>
      <c r="D3331" s="6" t="s">
        <v>1080</v>
      </c>
      <c r="E3331" s="6" t="s">
        <v>12</v>
      </c>
      <c r="F3331" s="6" t="s">
        <v>13</v>
      </c>
      <c r="G3331" s="6" t="s">
        <v>532</v>
      </c>
      <c r="H3331" s="8" t="s">
        <v>3981</v>
      </c>
      <c r="I3331" s="9">
        <v>0.0</v>
      </c>
      <c r="J3331" s="5" t="str">
        <f t="shared" ref="J3331:K3331" si="3331">SUBSTITUTE(H3331, ",", "")</f>
        <v>0</v>
      </c>
      <c r="K3331" s="5" t="str">
        <f t="shared" si="3331"/>
        <v>Rp0</v>
      </c>
      <c r="L3331" s="5" t="str">
        <f t="shared" si="3"/>
        <v>0</v>
      </c>
    </row>
    <row r="3332">
      <c r="A3332" s="6" t="s">
        <v>4650</v>
      </c>
      <c r="B3332" s="7" t="str">
        <f>HYPERLINK("https://shopee.co.id/NATURE-REPUBLIC-Polynesia-Lagoon-Water-Hydro-Essence-i.78838801.2511324623", "https://shopee.co.id/NATURE-REPUBLIC-Polynesia-Lagoon-Water-Hydro-Essence-i.78838801.2511324623")</f>
        <v>https://shopee.co.id/NATURE-REPUBLIC-Polynesia-Lagoon-Water-Hydro-Essence-i.78838801.2511324623</v>
      </c>
      <c r="C3332" s="6" t="s">
        <v>1079</v>
      </c>
      <c r="D3332" s="6" t="s">
        <v>1080</v>
      </c>
      <c r="E3332" s="6" t="s">
        <v>12</v>
      </c>
      <c r="F3332" s="6" t="s">
        <v>13</v>
      </c>
      <c r="G3332" s="6" t="s">
        <v>532</v>
      </c>
      <c r="H3332" s="8" t="s">
        <v>3981</v>
      </c>
      <c r="I3332" s="9">
        <v>0.0</v>
      </c>
      <c r="J3332" s="5" t="str">
        <f t="shared" ref="J3332:K3332" si="3332">SUBSTITUTE(H3332, ",", "")</f>
        <v>0</v>
      </c>
      <c r="K3332" s="5" t="str">
        <f t="shared" si="3332"/>
        <v>Rp0</v>
      </c>
      <c r="L3332" s="5" t="str">
        <f t="shared" si="3"/>
        <v>0</v>
      </c>
    </row>
    <row r="3333">
      <c r="A3333" s="6" t="s">
        <v>3600</v>
      </c>
      <c r="B3333" s="7" t="str">
        <f>HYPERLINK("https://shopee.co.id/NEOGEN-Dermalogy-Real-Vit-C-serum-i.68111.5594491043", "https://shopee.co.id/NEOGEN-Dermalogy-Real-Vit-C-serum-i.68111.5594491043")</f>
        <v>https://shopee.co.id/NEOGEN-Dermalogy-Real-Vit-C-serum-i.68111.5594491043</v>
      </c>
      <c r="C3333" s="6" t="s">
        <v>2093</v>
      </c>
      <c r="D3333" s="6" t="s">
        <v>441</v>
      </c>
      <c r="E3333" s="6" t="s">
        <v>12</v>
      </c>
      <c r="F3333" s="6" t="s">
        <v>13</v>
      </c>
      <c r="G3333" s="6" t="s">
        <v>130</v>
      </c>
      <c r="H3333" s="8" t="s">
        <v>3981</v>
      </c>
      <c r="I3333" s="9">
        <v>0.0</v>
      </c>
      <c r="J3333" s="5" t="str">
        <f t="shared" ref="J3333:K3333" si="3333">SUBSTITUTE(H3333, ",", "")</f>
        <v>0</v>
      </c>
      <c r="K3333" s="5" t="str">
        <f t="shared" si="3333"/>
        <v>Rp0</v>
      </c>
      <c r="L3333" s="5" t="str">
        <f t="shared" si="3"/>
        <v>0</v>
      </c>
    </row>
    <row r="3334">
      <c r="A3334" s="6" t="s">
        <v>4651</v>
      </c>
      <c r="B3334" s="7" t="str">
        <f>HYPERLINK("https://shopee.co.id/NEOGEN-H2-Dermadeca-Serum-Spray-120ml-i.68111.1608271336", "https://shopee.co.id/NEOGEN-H2-Dermadeca-Serum-Spray-120ml-i.68111.1608271336")</f>
        <v>https://shopee.co.id/NEOGEN-H2-Dermadeca-Serum-Spray-120ml-i.68111.1608271336</v>
      </c>
      <c r="C3334" s="6" t="s">
        <v>2093</v>
      </c>
      <c r="D3334" s="6" t="s">
        <v>441</v>
      </c>
      <c r="E3334" s="6" t="s">
        <v>12</v>
      </c>
      <c r="F3334" s="6" t="s">
        <v>13</v>
      </c>
      <c r="G3334" s="6" t="s">
        <v>130</v>
      </c>
      <c r="H3334" s="8" t="s">
        <v>3981</v>
      </c>
      <c r="I3334" s="9">
        <v>0.0</v>
      </c>
      <c r="J3334" s="5" t="str">
        <f t="shared" ref="J3334:K3334" si="3334">SUBSTITUTE(H3334, ",", "")</f>
        <v>0</v>
      </c>
      <c r="K3334" s="5" t="str">
        <f t="shared" si="3334"/>
        <v>Rp0</v>
      </c>
      <c r="L3334" s="5" t="str">
        <f t="shared" si="3"/>
        <v>0</v>
      </c>
    </row>
    <row r="3335">
      <c r="A3335" s="6" t="s">
        <v>4652</v>
      </c>
      <c r="B3335" s="7" t="str">
        <f>HYPERLINK("https://shopee.co.id/NEUTROGENA-Bright-Boost-Serum-Perawatan-Wajah-30ml-i.50708029.5263032438", "https://shopee.co.id/NEUTROGENA-Bright-Boost-Serum-Perawatan-Wajah-30ml-i.50708029.5263032438")</f>
        <v>https://shopee.co.id/NEUTROGENA-Bright-Boost-Serum-Perawatan-Wajah-30ml-i.50708029.5263032438</v>
      </c>
      <c r="C3335" s="6" t="s">
        <v>1499</v>
      </c>
      <c r="D3335" s="6" t="s">
        <v>1500</v>
      </c>
      <c r="E3335" s="6" t="s">
        <v>12</v>
      </c>
      <c r="F3335" s="6" t="s">
        <v>13</v>
      </c>
      <c r="G3335" s="6" t="s">
        <v>296</v>
      </c>
      <c r="H3335" s="8" t="s">
        <v>3981</v>
      </c>
      <c r="I3335" s="9">
        <v>0.0</v>
      </c>
      <c r="J3335" s="5" t="str">
        <f t="shared" ref="J3335:K3335" si="3335">SUBSTITUTE(H3335, ",", "")</f>
        <v>0</v>
      </c>
      <c r="K3335" s="5" t="str">
        <f t="shared" si="3335"/>
        <v>Rp0</v>
      </c>
      <c r="L3335" s="5" t="str">
        <f t="shared" si="3"/>
        <v>0</v>
      </c>
    </row>
    <row r="3336">
      <c r="A3336" s="6" t="s">
        <v>4653</v>
      </c>
      <c r="B3336" s="7" t="str">
        <f>HYPERLINK("https://shopee.co.id/Neutrogena-Bright-Boost-Serum-30-ml-Paket-Isi-2--i.50708029.3171650227", "https://shopee.co.id/Neutrogena-Bright-Boost-Serum-30-ml-Paket-Isi-2--i.50708029.3171650227")</f>
        <v>https://shopee.co.id/Neutrogena-Bright-Boost-Serum-30-ml-Paket-Isi-2--i.50708029.3171650227</v>
      </c>
      <c r="C3336" s="6" t="s">
        <v>1499</v>
      </c>
      <c r="D3336" s="6" t="s">
        <v>1500</v>
      </c>
      <c r="E3336" s="6" t="s">
        <v>12</v>
      </c>
      <c r="F3336" s="6" t="s">
        <v>13</v>
      </c>
      <c r="G3336" s="6" t="s">
        <v>296</v>
      </c>
      <c r="H3336" s="8" t="s">
        <v>3981</v>
      </c>
      <c r="I3336" s="9">
        <v>0.0</v>
      </c>
      <c r="J3336" s="5" t="str">
        <f t="shared" ref="J3336:K3336" si="3336">SUBSTITUTE(H3336, ",", "")</f>
        <v>0</v>
      </c>
      <c r="K3336" s="5" t="str">
        <f t="shared" si="3336"/>
        <v>Rp0</v>
      </c>
      <c r="L3336" s="5" t="str">
        <f t="shared" si="3"/>
        <v>0</v>
      </c>
    </row>
    <row r="3337">
      <c r="A3337" s="6" t="s">
        <v>4654</v>
      </c>
      <c r="B3337" s="7" t="str">
        <f>HYPERLINK("https://shopee.co.id/Neutrogena-Hydro-Boost-Capsule-in-Serum-30-ml-i.186214521.4145309104", "https://shopee.co.id/Neutrogena-Hydro-Boost-Capsule-in-Serum-30-ml-i.186214521.4145309104")</f>
        <v>https://shopee.co.id/Neutrogena-Hydro-Boost-Capsule-in-Serum-30-ml-i.186214521.4145309104</v>
      </c>
      <c r="C3337" s="6" t="s">
        <v>1499</v>
      </c>
      <c r="D3337" s="6" t="s">
        <v>2293</v>
      </c>
      <c r="E3337" s="6" t="s">
        <v>12</v>
      </c>
      <c r="F3337" s="6" t="s">
        <v>13</v>
      </c>
      <c r="G3337" s="6" t="s">
        <v>61</v>
      </c>
      <c r="H3337" s="8" t="s">
        <v>3981</v>
      </c>
      <c r="I3337" s="9">
        <v>0.0</v>
      </c>
      <c r="J3337" s="5" t="str">
        <f t="shared" ref="J3337:K3337" si="3337">SUBSTITUTE(H3337, ",", "")</f>
        <v>0</v>
      </c>
      <c r="K3337" s="5" t="str">
        <f t="shared" si="3337"/>
        <v>Rp0</v>
      </c>
      <c r="L3337" s="5" t="str">
        <f t="shared" si="3"/>
        <v>0</v>
      </c>
    </row>
    <row r="3338">
      <c r="A3338" s="6" t="s">
        <v>2922</v>
      </c>
      <c r="B3338" s="7" t="str">
        <f>HYPERLINK("https://shopee.co.id/Neutrogena-Hydroboost-Series-i.50708029.8156538755", "https://shopee.co.id/Neutrogena-Hydroboost-Series-i.50708029.8156538755")</f>
        <v>https://shopee.co.id/Neutrogena-Hydroboost-Series-i.50708029.8156538755</v>
      </c>
      <c r="C3338" s="6" t="s">
        <v>1499</v>
      </c>
      <c r="D3338" s="6" t="s">
        <v>1500</v>
      </c>
      <c r="E3338" s="6" t="s">
        <v>12</v>
      </c>
      <c r="F3338" s="6" t="s">
        <v>13</v>
      </c>
      <c r="G3338" s="6" t="s">
        <v>296</v>
      </c>
      <c r="H3338" s="8" t="s">
        <v>3981</v>
      </c>
      <c r="I3338" s="9">
        <v>0.0</v>
      </c>
      <c r="J3338" s="5" t="str">
        <f t="shared" ref="J3338:K3338" si="3338">SUBSTITUTE(H3338, ",", "")</f>
        <v>0</v>
      </c>
      <c r="K3338" s="5" t="str">
        <f t="shared" si="3338"/>
        <v>Rp0</v>
      </c>
      <c r="L3338" s="5" t="str">
        <f t="shared" si="3"/>
        <v>0</v>
      </c>
    </row>
    <row r="3339">
      <c r="A3339" s="6" t="s">
        <v>4655</v>
      </c>
      <c r="B3339" s="7" t="str">
        <f>HYPERLINK("https://shopee.co.id/NEW-Chronologiste-Perfume-Huile-100ml-Serum-Anti-Aging-i.252376370.5649667855", "https://shopee.co.id/NEW-Chronologiste-Perfume-Huile-100ml-Serum-Anti-Aging-i.252376370.5649667855")</f>
        <v>https://shopee.co.id/NEW-Chronologiste-Perfume-Huile-100ml-Serum-Anti-Aging-i.252376370.5649667855</v>
      </c>
      <c r="C3339" s="6" t="s">
        <v>2560</v>
      </c>
      <c r="D3339" s="6" t="s">
        <v>2561</v>
      </c>
      <c r="E3339" s="6" t="s">
        <v>12</v>
      </c>
      <c r="F3339" s="6" t="s">
        <v>13</v>
      </c>
      <c r="G3339" s="6" t="s">
        <v>1480</v>
      </c>
      <c r="H3339" s="8" t="s">
        <v>3981</v>
      </c>
      <c r="I3339" s="9">
        <v>0.0</v>
      </c>
      <c r="J3339" s="5" t="str">
        <f t="shared" ref="J3339:K3339" si="3339">SUBSTITUTE(H3339, ",", "")</f>
        <v>0</v>
      </c>
      <c r="K3339" s="5" t="str">
        <f t="shared" si="3339"/>
        <v>Rp0</v>
      </c>
      <c r="L3339" s="5" t="str">
        <f t="shared" si="3"/>
        <v>0</v>
      </c>
    </row>
    <row r="3340">
      <c r="A3340" s="6" t="s">
        <v>4656</v>
      </c>
      <c r="B3340" s="7" t="str">
        <f>HYPERLINK("https://shopee.co.id/Nivea-Face-Care-Make-Up-Starter-Serum-SPF33-30ml-i.68111.8615824391", "https://shopee.co.id/Nivea-Face-Care-Make-Up-Starter-Serum-SPF33-30ml-i.68111.8615824391")</f>
        <v>https://shopee.co.id/Nivea-Face-Care-Make-Up-Starter-Serum-SPF33-30ml-i.68111.8615824391</v>
      </c>
      <c r="C3340" s="6" t="s">
        <v>1571</v>
      </c>
      <c r="D3340" s="6" t="s">
        <v>441</v>
      </c>
      <c r="E3340" s="6" t="s">
        <v>12</v>
      </c>
      <c r="F3340" s="6" t="s">
        <v>13</v>
      </c>
      <c r="G3340" s="6" t="s">
        <v>130</v>
      </c>
      <c r="H3340" s="8" t="s">
        <v>3981</v>
      </c>
      <c r="I3340" s="9">
        <v>0.0</v>
      </c>
      <c r="J3340" s="5" t="str">
        <f t="shared" ref="J3340:K3340" si="3340">SUBSTITUTE(H3340, ",", "")</f>
        <v>0</v>
      </c>
      <c r="K3340" s="5" t="str">
        <f t="shared" si="3340"/>
        <v>Rp0</v>
      </c>
      <c r="L3340" s="5" t="str">
        <f t="shared" si="3"/>
        <v>0</v>
      </c>
    </row>
    <row r="3341">
      <c r="A3341" s="6" t="s">
        <v>3257</v>
      </c>
      <c r="B3341" s="7" t="str">
        <f>HYPERLINK("https://shopee.co.id/Nourish-Beauty-Care-Wrinkle-Remover-Serum-Anti-Aging-Series-Anti-Penuaan-i.185943783.4917901949", "https://shopee.co.id/Nourish-Beauty-Care-Wrinkle-Remover-Serum-Anti-Aging-Series-Anti-Penuaan-i.185943783.4917901949")</f>
        <v>https://shopee.co.id/Nourish-Beauty-Care-Wrinkle-Remover-Serum-Anti-Aging-Series-Anti-Penuaan-i.185943783.4917901949</v>
      </c>
      <c r="C3341" s="6" t="s">
        <v>1309</v>
      </c>
      <c r="D3341" s="6" t="s">
        <v>3429</v>
      </c>
      <c r="E3341" s="6" t="s">
        <v>12</v>
      </c>
      <c r="F3341" s="6" t="s">
        <v>13</v>
      </c>
      <c r="G3341" s="6" t="s">
        <v>36</v>
      </c>
      <c r="H3341" s="8" t="s">
        <v>3981</v>
      </c>
      <c r="I3341" s="9">
        <v>0.0</v>
      </c>
      <c r="J3341" s="5" t="str">
        <f t="shared" ref="J3341:K3341" si="3341">SUBSTITUTE(H3341, ",", "")</f>
        <v>0</v>
      </c>
      <c r="K3341" s="5" t="str">
        <f t="shared" si="3341"/>
        <v>Rp0</v>
      </c>
      <c r="L3341" s="5" t="str">
        <f t="shared" si="3"/>
        <v>0</v>
      </c>
    </row>
    <row r="3342">
      <c r="A3342" s="6" t="s">
        <v>3257</v>
      </c>
      <c r="B3342" s="7" t="str">
        <f>HYPERLINK("https://shopee.co.id/Nourish-Beauty-Care-Wrinkle-Remover-Serum-Anti-Aging-Series-Anti-Penuaan-i.114789399.2626589935", "https://shopee.co.id/Nourish-Beauty-Care-Wrinkle-Remover-Serum-Anti-Aging-Series-Anti-Penuaan-i.114789399.2626589935")</f>
        <v>https://shopee.co.id/Nourish-Beauty-Care-Wrinkle-Remover-Serum-Anti-Aging-Series-Anti-Penuaan-i.114789399.2626589935</v>
      </c>
      <c r="C3342" s="6" t="s">
        <v>1309</v>
      </c>
      <c r="D3342" s="6" t="s">
        <v>2531</v>
      </c>
      <c r="E3342" s="6" t="s">
        <v>12</v>
      </c>
      <c r="F3342" s="6" t="s">
        <v>13</v>
      </c>
      <c r="G3342" s="6" t="s">
        <v>36</v>
      </c>
      <c r="H3342" s="8" t="s">
        <v>3981</v>
      </c>
      <c r="I3342" s="9">
        <v>0.0</v>
      </c>
      <c r="J3342" s="5" t="str">
        <f t="shared" ref="J3342:K3342" si="3342">SUBSTITUTE(H3342, ",", "")</f>
        <v>0</v>
      </c>
      <c r="K3342" s="5" t="str">
        <f t="shared" si="3342"/>
        <v>Rp0</v>
      </c>
      <c r="L3342" s="5" t="str">
        <f t="shared" si="3"/>
        <v>0</v>
      </c>
    </row>
    <row r="3343">
      <c r="A3343" s="6" t="s">
        <v>4657</v>
      </c>
      <c r="B3343" s="7" t="str">
        <f>HYPERLINK("https://shopee.co.id/Nourish-Skin-Bio-White-Serum-Box-30-mL-Pencerah-Kulit-Wajah-i.18163317.885469824", "https://shopee.co.id/Nourish-Skin-Bio-White-Serum-Box-30-mL-Pencerah-Kulit-Wajah-i.18163317.885469824")</f>
        <v>https://shopee.co.id/Nourish-Skin-Bio-White-Serum-Box-30-mL-Pencerah-Kulit-Wajah-i.18163317.885469824</v>
      </c>
      <c r="C3343" s="6" t="s">
        <v>4658</v>
      </c>
      <c r="D3343" s="6" t="s">
        <v>3715</v>
      </c>
      <c r="E3343" s="6" t="s">
        <v>12</v>
      </c>
      <c r="F3343" s="6" t="s">
        <v>13</v>
      </c>
      <c r="G3343" s="6" t="s">
        <v>98</v>
      </c>
      <c r="H3343" s="8" t="s">
        <v>3981</v>
      </c>
      <c r="I3343" s="9">
        <v>0.0</v>
      </c>
      <c r="J3343" s="5" t="str">
        <f t="shared" ref="J3343:K3343" si="3343">SUBSTITUTE(H3343, ",", "")</f>
        <v>0</v>
      </c>
      <c r="K3343" s="5" t="str">
        <f t="shared" si="3343"/>
        <v>Rp0</v>
      </c>
      <c r="L3343" s="5" t="str">
        <f t="shared" si="3"/>
        <v>0</v>
      </c>
    </row>
    <row r="3344">
      <c r="A3344" s="6" t="s">
        <v>4659</v>
      </c>
      <c r="B3344" s="7" t="str">
        <f>HYPERLINK("https://shopee.co.id/NOVEXPERT-BOOSTER-SERUM-Hypoallergenic-i.37242565.5148092069", "https://shopee.co.id/NOVEXPERT-BOOSTER-SERUM-Hypoallergenic-i.37242565.5148092069")</f>
        <v>https://shopee.co.id/NOVEXPERT-BOOSTER-SERUM-Hypoallergenic-i.37242565.5148092069</v>
      </c>
      <c r="C3344" s="6" t="s">
        <v>2218</v>
      </c>
      <c r="D3344" s="6" t="s">
        <v>2157</v>
      </c>
      <c r="E3344" s="6" t="s">
        <v>12</v>
      </c>
      <c r="F3344" s="6" t="s">
        <v>13</v>
      </c>
      <c r="G3344" s="6" t="s">
        <v>98</v>
      </c>
      <c r="H3344" s="8" t="s">
        <v>3981</v>
      </c>
      <c r="I3344" s="9">
        <v>0.0</v>
      </c>
      <c r="J3344" s="5" t="str">
        <f t="shared" ref="J3344:K3344" si="3344">SUBSTITUTE(H3344, ",", "")</f>
        <v>0</v>
      </c>
      <c r="K3344" s="5" t="str">
        <f t="shared" si="3344"/>
        <v>Rp0</v>
      </c>
      <c r="L3344" s="5" t="str">
        <f t="shared" si="3"/>
        <v>0</v>
      </c>
    </row>
    <row r="3345">
      <c r="A3345" s="6" t="s">
        <v>4660</v>
      </c>
      <c r="B3345" s="7" t="str">
        <f>HYPERLINK("https://shopee.co.id/NOVEXPERT-BOOSTER-SERUM-With-5-Omega-30ml-i.37242565.2098833574", "https://shopee.co.id/NOVEXPERT-BOOSTER-SERUM-With-5-Omega-30ml-i.37242565.2098833574")</f>
        <v>https://shopee.co.id/NOVEXPERT-BOOSTER-SERUM-With-5-Omega-30ml-i.37242565.2098833574</v>
      </c>
      <c r="C3345" s="6" t="s">
        <v>2218</v>
      </c>
      <c r="D3345" s="6" t="s">
        <v>2157</v>
      </c>
      <c r="E3345" s="6" t="s">
        <v>12</v>
      </c>
      <c r="F3345" s="6" t="s">
        <v>13</v>
      </c>
      <c r="G3345" s="6" t="s">
        <v>98</v>
      </c>
      <c r="H3345" s="8" t="s">
        <v>3981</v>
      </c>
      <c r="I3345" s="9">
        <v>0.0</v>
      </c>
      <c r="J3345" s="5" t="str">
        <f t="shared" ref="J3345:K3345" si="3345">SUBSTITUTE(H3345, ",", "")</f>
        <v>0</v>
      </c>
      <c r="K3345" s="5" t="str">
        <f t="shared" si="3345"/>
        <v>Rp0</v>
      </c>
      <c r="L3345" s="5" t="str">
        <f t="shared" si="3"/>
        <v>0</v>
      </c>
    </row>
    <row r="3346">
      <c r="A3346" s="6" t="s">
        <v>4661</v>
      </c>
      <c r="B3346" s="7" t="str">
        <f>HYPERLINK("https://shopee.co.id/NOVEXPERT-Booster-With-Vitamin-C-30ml--i.68111.8442585899", "https://shopee.co.id/NOVEXPERT-Booster-With-Vitamin-C-30ml--i.68111.8442585899")</f>
        <v>https://shopee.co.id/NOVEXPERT-Booster-With-Vitamin-C-30ml--i.68111.8442585899</v>
      </c>
      <c r="C3346" s="6" t="s">
        <v>2218</v>
      </c>
      <c r="D3346" s="6" t="s">
        <v>441</v>
      </c>
      <c r="E3346" s="6" t="s">
        <v>12</v>
      </c>
      <c r="F3346" s="6" t="s">
        <v>13</v>
      </c>
      <c r="G3346" s="6" t="s">
        <v>130</v>
      </c>
      <c r="H3346" s="8" t="s">
        <v>3981</v>
      </c>
      <c r="I3346" s="9">
        <v>0.0</v>
      </c>
      <c r="J3346" s="5" t="str">
        <f t="shared" ref="J3346:K3346" si="3346">SUBSTITUTE(H3346, ",", "")</f>
        <v>0</v>
      </c>
      <c r="K3346" s="5" t="str">
        <f t="shared" si="3346"/>
        <v>Rp0</v>
      </c>
      <c r="L3346" s="5" t="str">
        <f t="shared" si="3"/>
        <v>0</v>
      </c>
    </row>
    <row r="3347">
      <c r="A3347" s="6" t="s">
        <v>4662</v>
      </c>
      <c r="B3347" s="7" t="str">
        <f>HYPERLINK("https://shopee.co.id/NOVEXPERT-BRIGHT-And-CLEAN-Set-i.37242565.4253783750", "https://shopee.co.id/NOVEXPERT-BRIGHT-And-CLEAN-Set-i.37242565.4253783750")</f>
        <v>https://shopee.co.id/NOVEXPERT-BRIGHT-And-CLEAN-Set-i.37242565.4253783750</v>
      </c>
      <c r="C3347" s="6" t="s">
        <v>2218</v>
      </c>
      <c r="D3347" s="6" t="s">
        <v>2157</v>
      </c>
      <c r="E3347" s="6" t="s">
        <v>12</v>
      </c>
      <c r="F3347" s="6" t="s">
        <v>13</v>
      </c>
      <c r="G3347" s="6" t="s">
        <v>98</v>
      </c>
      <c r="H3347" s="8" t="s">
        <v>3981</v>
      </c>
      <c r="I3347" s="9">
        <v>0.0</v>
      </c>
      <c r="J3347" s="5" t="str">
        <f t="shared" ref="J3347:K3347" si="3347">SUBSTITUTE(H3347, ",", "")</f>
        <v>0</v>
      </c>
      <c r="K3347" s="5" t="str">
        <f t="shared" si="3347"/>
        <v>Rp0</v>
      </c>
      <c r="L3347" s="5" t="str">
        <f t="shared" si="3"/>
        <v>0</v>
      </c>
    </row>
    <row r="3348">
      <c r="A3348" s="6" t="s">
        <v>4663</v>
      </c>
      <c r="B3348" s="7" t="str">
        <f>HYPERLINK("https://shopee.co.id/Npure-Centella-Asiatica-Serum-15ml-i.10689.2813888853", "https://shopee.co.id/Npure-Centella-Asiatica-Serum-15ml-i.10689.2813888853")</f>
        <v>https://shopee.co.id/Npure-Centella-Asiatica-Serum-15ml-i.10689.2813888853</v>
      </c>
      <c r="C3348" s="6" t="s">
        <v>266</v>
      </c>
      <c r="D3348" s="6" t="s">
        <v>745</v>
      </c>
      <c r="E3348" s="6" t="s">
        <v>12</v>
      </c>
      <c r="F3348" s="6" t="s">
        <v>13</v>
      </c>
      <c r="G3348" s="6" t="s">
        <v>61</v>
      </c>
      <c r="H3348" s="8" t="s">
        <v>3981</v>
      </c>
      <c r="I3348" s="9">
        <v>0.0</v>
      </c>
      <c r="J3348" s="5" t="str">
        <f t="shared" ref="J3348:K3348" si="3348">SUBSTITUTE(H3348, ",", "")</f>
        <v>0</v>
      </c>
      <c r="K3348" s="5" t="str">
        <f t="shared" si="3348"/>
        <v>Rp0</v>
      </c>
      <c r="L3348" s="5" t="str">
        <f t="shared" si="3"/>
        <v>0</v>
      </c>
    </row>
    <row r="3349">
      <c r="A3349" s="6" t="s">
        <v>4664</v>
      </c>
      <c r="B3349" s="7" t="str">
        <f>HYPERLINK("https://shopee.co.id/Npure-Essence-Centella-20-ml-i.65323877.9579239125", "https://shopee.co.id/Npure-Essence-Centella-20-ml-i.65323877.9579239125")</f>
        <v>https://shopee.co.id/Npure-Essence-Centella-20-ml-i.65323877.9579239125</v>
      </c>
      <c r="C3349" s="6" t="s">
        <v>266</v>
      </c>
      <c r="D3349" s="6" t="s">
        <v>1600</v>
      </c>
      <c r="E3349" s="6" t="s">
        <v>12</v>
      </c>
      <c r="F3349" s="6" t="s">
        <v>13</v>
      </c>
      <c r="G3349" s="6" t="s">
        <v>296</v>
      </c>
      <c r="H3349" s="8" t="s">
        <v>3981</v>
      </c>
      <c r="I3349" s="9">
        <v>0.0</v>
      </c>
      <c r="J3349" s="5" t="str">
        <f t="shared" ref="J3349:K3349" si="3349">SUBSTITUTE(H3349, ",", "")</f>
        <v>0</v>
      </c>
      <c r="K3349" s="5" t="str">
        <f t="shared" si="3349"/>
        <v>Rp0</v>
      </c>
      <c r="L3349" s="5" t="str">
        <f t="shared" si="3"/>
        <v>0</v>
      </c>
    </row>
    <row r="3350">
      <c r="A3350" s="6" t="s">
        <v>4665</v>
      </c>
      <c r="B3350" s="7" t="str">
        <f>HYPERLINK("https://shopee.co.id/Npure-Essence-Centella-20ml-i.53887195.3016521153", "https://shopee.co.id/Npure-Essence-Centella-20ml-i.53887195.3016521153")</f>
        <v>https://shopee.co.id/Npure-Essence-Centella-20ml-i.53887195.3016521153</v>
      </c>
      <c r="C3350" s="6" t="s">
        <v>266</v>
      </c>
      <c r="D3350" s="6" t="s">
        <v>1026</v>
      </c>
      <c r="E3350" s="6" t="s">
        <v>12</v>
      </c>
      <c r="F3350" s="6" t="s">
        <v>13</v>
      </c>
      <c r="G3350" s="6" t="s">
        <v>80</v>
      </c>
      <c r="H3350" s="8" t="s">
        <v>3981</v>
      </c>
      <c r="I3350" s="9">
        <v>0.0</v>
      </c>
      <c r="J3350" s="5" t="str">
        <f t="shared" ref="J3350:K3350" si="3350">SUBSTITUTE(H3350, ",", "")</f>
        <v>0</v>
      </c>
      <c r="K3350" s="5" t="str">
        <f t="shared" si="3350"/>
        <v>Rp0</v>
      </c>
      <c r="L3350" s="5" t="str">
        <f t="shared" si="3"/>
        <v>0</v>
      </c>
    </row>
    <row r="3351">
      <c r="A3351" s="6" t="s">
        <v>4666</v>
      </c>
      <c r="B3351" s="7" t="str">
        <f>HYPERLINK("https://shopee.co.id/Npure-Face-Serum-Marigold-Series-15ml-i.110573301.4160836874", "https://shopee.co.id/Npure-Face-Serum-Marigold-Series-15ml-i.110573301.4160836874")</f>
        <v>https://shopee.co.id/Npure-Face-Serum-Marigold-Series-15ml-i.110573301.4160836874</v>
      </c>
      <c r="C3351" s="6" t="s">
        <v>266</v>
      </c>
      <c r="D3351" s="6" t="s">
        <v>227</v>
      </c>
      <c r="E3351" s="6" t="s">
        <v>12</v>
      </c>
      <c r="F3351" s="6" t="s">
        <v>13</v>
      </c>
      <c r="G3351" s="6" t="s">
        <v>61</v>
      </c>
      <c r="H3351" s="8" t="s">
        <v>3981</v>
      </c>
      <c r="I3351" s="9">
        <v>0.0</v>
      </c>
      <c r="J3351" s="5" t="str">
        <f t="shared" ref="J3351:K3351" si="3351">SUBSTITUTE(H3351, ",", "")</f>
        <v>0</v>
      </c>
      <c r="K3351" s="5" t="str">
        <f t="shared" si="3351"/>
        <v>Rp0</v>
      </c>
      <c r="L3351" s="5" t="str">
        <f t="shared" si="3"/>
        <v>0</v>
      </c>
    </row>
    <row r="3352">
      <c r="A3352" s="6" t="s">
        <v>4667</v>
      </c>
      <c r="B3352" s="7" t="str">
        <f>HYPERLINK("https://shopee.co.id/Npure-Marigold-Face-Serum-15ml-i.10689.7917342585", "https://shopee.co.id/Npure-Marigold-Face-Serum-15ml-i.10689.7917342585")</f>
        <v>https://shopee.co.id/Npure-Marigold-Face-Serum-15ml-i.10689.7917342585</v>
      </c>
      <c r="C3352" s="6" t="s">
        <v>266</v>
      </c>
      <c r="D3352" s="6" t="s">
        <v>745</v>
      </c>
      <c r="E3352" s="6" t="s">
        <v>12</v>
      </c>
      <c r="F3352" s="6" t="s">
        <v>13</v>
      </c>
      <c r="G3352" s="6" t="s">
        <v>61</v>
      </c>
      <c r="H3352" s="8" t="s">
        <v>3981</v>
      </c>
      <c r="I3352" s="9">
        <v>0.0</v>
      </c>
      <c r="J3352" s="5" t="str">
        <f t="shared" ref="J3352:K3352" si="3352">SUBSTITUTE(H3352, ",", "")</f>
        <v>0</v>
      </c>
      <c r="K3352" s="5" t="str">
        <f t="shared" si="3352"/>
        <v>Rp0</v>
      </c>
      <c r="L3352" s="5" t="str">
        <f t="shared" si="3"/>
        <v>0</v>
      </c>
    </row>
    <row r="3353">
      <c r="A3353" s="6" t="s">
        <v>4668</v>
      </c>
      <c r="B3353" s="7" t="str">
        <f>HYPERLINK("https://shopee.co.id/Npure-Silky-Centella-Asiatica-Face-Serum-15ml-i.53887195.8026604523", "https://shopee.co.id/Npure-Silky-Centella-Asiatica-Face-Serum-15ml-i.53887195.8026604523")</f>
        <v>https://shopee.co.id/Npure-Silky-Centella-Asiatica-Face-Serum-15ml-i.53887195.8026604523</v>
      </c>
      <c r="C3353" s="6" t="s">
        <v>266</v>
      </c>
      <c r="D3353" s="6" t="s">
        <v>1026</v>
      </c>
      <c r="E3353" s="6" t="s">
        <v>12</v>
      </c>
      <c r="F3353" s="6" t="s">
        <v>13</v>
      </c>
      <c r="G3353" s="6" t="s">
        <v>80</v>
      </c>
      <c r="H3353" s="8" t="s">
        <v>3981</v>
      </c>
      <c r="I3353" s="9">
        <v>0.0</v>
      </c>
      <c r="J3353" s="5" t="str">
        <f t="shared" ref="J3353:K3353" si="3353">SUBSTITUTE(H3353, ",", "")</f>
        <v>0</v>
      </c>
      <c r="K3353" s="5" t="str">
        <f t="shared" si="3353"/>
        <v>Rp0</v>
      </c>
      <c r="L3353" s="5" t="str">
        <f t="shared" si="3"/>
        <v>0</v>
      </c>
    </row>
    <row r="3354">
      <c r="A3354" s="6" t="s">
        <v>4669</v>
      </c>
      <c r="B3354" s="7" t="str">
        <f>HYPERLINK("https://shopee.co.id/Npure-Silky-Face-Primer-Serum-Centella-Asiatica-15ml-N-Pure-i.136011044.11213976120", "https://shopee.co.id/Npure-Silky-Face-Primer-Serum-Centella-Asiatica-15ml-N-Pure-i.136011044.11213976120")</f>
        <v>https://shopee.co.id/Npure-Silky-Face-Primer-Serum-Centella-Asiatica-15ml-N-Pure-i.136011044.11213976120</v>
      </c>
      <c r="C3354" s="6" t="s">
        <v>266</v>
      </c>
      <c r="D3354" s="6" t="s">
        <v>632</v>
      </c>
      <c r="E3354" s="6" t="s">
        <v>12</v>
      </c>
      <c r="F3354" s="6" t="s">
        <v>13</v>
      </c>
      <c r="G3354" s="6" t="s">
        <v>21</v>
      </c>
      <c r="H3354" s="8" t="s">
        <v>3981</v>
      </c>
      <c r="I3354" s="9">
        <v>0.0</v>
      </c>
      <c r="J3354" s="5" t="str">
        <f t="shared" ref="J3354:K3354" si="3354">SUBSTITUTE(H3354, ",", "")</f>
        <v>0</v>
      </c>
      <c r="K3354" s="5" t="str">
        <f t="shared" si="3354"/>
        <v>Rp0</v>
      </c>
      <c r="L3354" s="5" t="str">
        <f t="shared" si="3"/>
        <v>0</v>
      </c>
    </row>
    <row r="3355">
      <c r="A3355" s="6" t="s">
        <v>4670</v>
      </c>
      <c r="B3355" s="7" t="str">
        <f>HYPERLINK("https://shopee.co.id/Nu-Aroma-Macadamia-Oil-Natural-Serum-Wajah-Serum-Rambut--i.262175945.4157196186", "https://shopee.co.id/Nu-Aroma-Macadamia-Oil-Natural-Serum-Wajah-Serum-Rambut--i.262175945.4157196186")</f>
        <v>https://shopee.co.id/Nu-Aroma-Macadamia-Oil-Natural-Serum-Wajah-Serum-Rambut--i.262175945.4157196186</v>
      </c>
      <c r="C3355" s="6" t="s">
        <v>2863</v>
      </c>
      <c r="D3355" s="6" t="s">
        <v>2864</v>
      </c>
      <c r="E3355" s="6" t="s">
        <v>12</v>
      </c>
      <c r="F3355" s="6" t="s">
        <v>13</v>
      </c>
      <c r="G3355" s="6" t="s">
        <v>945</v>
      </c>
      <c r="H3355" s="8" t="s">
        <v>3981</v>
      </c>
      <c r="I3355" s="9">
        <v>0.0</v>
      </c>
      <c r="J3355" s="5" t="str">
        <f t="shared" ref="J3355:K3355" si="3355">SUBSTITUTE(H3355, ",", "")</f>
        <v>0</v>
      </c>
      <c r="K3355" s="5" t="str">
        <f t="shared" si="3355"/>
        <v>Rp0</v>
      </c>
      <c r="L3355" s="5" t="str">
        <f t="shared" si="3"/>
        <v>0</v>
      </c>
    </row>
    <row r="3356">
      <c r="A3356" s="6" t="s">
        <v>4671</v>
      </c>
      <c r="B3356" s="7" t="str">
        <f>HYPERLINK("https://shopee.co.id/Nurish-Organiq-24K-Gold-Special-Bundling-Face-Essence-20ml-Night-Cream-40ml-i.238368383.6937542883", "https://shopee.co.id/Nurish-Organiq-24K-Gold-Special-Bundling-Face-Essence-20ml-Night-Cream-40ml-i.238368383.6937542883")</f>
        <v>https://shopee.co.id/Nurish-Organiq-24K-Gold-Special-Bundling-Face-Essence-20ml-Night-Cream-40ml-i.238368383.6937542883</v>
      </c>
      <c r="C3356" s="6" t="s">
        <v>2892</v>
      </c>
      <c r="D3356" s="6" t="s">
        <v>2893</v>
      </c>
      <c r="E3356" s="6" t="s">
        <v>12</v>
      </c>
      <c r="F3356" s="6" t="s">
        <v>13</v>
      </c>
      <c r="G3356" s="6" t="s">
        <v>21</v>
      </c>
      <c r="H3356" s="8" t="s">
        <v>3981</v>
      </c>
      <c r="I3356" s="9">
        <v>0.0</v>
      </c>
      <c r="J3356" s="5" t="str">
        <f t="shared" ref="J3356:K3356" si="3356">SUBSTITUTE(H3356, ",", "")</f>
        <v>0</v>
      </c>
      <c r="K3356" s="5" t="str">
        <f t="shared" si="3356"/>
        <v>Rp0</v>
      </c>
      <c r="L3356" s="5" t="str">
        <f t="shared" si="3"/>
        <v>0</v>
      </c>
    </row>
    <row r="3357">
      <c r="A3357" s="6" t="s">
        <v>4672</v>
      </c>
      <c r="B3357" s="7" t="str">
        <f>HYPERLINK("https://shopee.co.id/NURISH-ORGANIQ-24K-GOLD-DEEP-C-MILK100ML-i.186214521.4638368643", "https://shopee.co.id/NURISH-ORGANIQ-24K-GOLD-DEEP-C-MILK100ML-i.186214521.4638368643")</f>
        <v>https://shopee.co.id/NURISH-ORGANIQ-24K-GOLD-DEEP-C-MILK100ML-i.186214521.4638368643</v>
      </c>
      <c r="C3357" s="6" t="s">
        <v>2892</v>
      </c>
      <c r="D3357" s="6" t="s">
        <v>2293</v>
      </c>
      <c r="E3357" s="6" t="s">
        <v>12</v>
      </c>
      <c r="F3357" s="6" t="s">
        <v>13</v>
      </c>
      <c r="G3357" s="6" t="s">
        <v>61</v>
      </c>
      <c r="H3357" s="8" t="s">
        <v>3981</v>
      </c>
      <c r="I3357" s="9">
        <v>0.0</v>
      </c>
      <c r="J3357" s="5" t="str">
        <f t="shared" ref="J3357:K3357" si="3357">SUBSTITUTE(H3357, ",", "")</f>
        <v>0</v>
      </c>
      <c r="K3357" s="5" t="str">
        <f t="shared" si="3357"/>
        <v>Rp0</v>
      </c>
      <c r="L3357" s="5" t="str">
        <f t="shared" si="3"/>
        <v>0</v>
      </c>
    </row>
    <row r="3358">
      <c r="A3358" s="6" t="s">
        <v>4673</v>
      </c>
      <c r="B3358" s="7" t="str">
        <f>HYPERLINK("https://shopee.co.id/NURISH-ORGANIQ-24K-GOLD-FACE-ESSEN-20GR-i.186214521.5638366793", "https://shopee.co.id/NURISH-ORGANIQ-24K-GOLD-FACE-ESSEN-20GR-i.186214521.5638366793")</f>
        <v>https://shopee.co.id/NURISH-ORGANIQ-24K-GOLD-FACE-ESSEN-20GR-i.186214521.5638366793</v>
      </c>
      <c r="C3358" s="6" t="s">
        <v>2892</v>
      </c>
      <c r="D3358" s="6" t="s">
        <v>2293</v>
      </c>
      <c r="E3358" s="6" t="s">
        <v>12</v>
      </c>
      <c r="F3358" s="6" t="s">
        <v>13</v>
      </c>
      <c r="G3358" s="6" t="s">
        <v>61</v>
      </c>
      <c r="H3358" s="8" t="s">
        <v>3981</v>
      </c>
      <c r="I3358" s="9">
        <v>0.0</v>
      </c>
      <c r="J3358" s="5" t="str">
        <f t="shared" ref="J3358:K3358" si="3358">SUBSTITUTE(H3358, ",", "")</f>
        <v>0</v>
      </c>
      <c r="K3358" s="5" t="str">
        <f t="shared" si="3358"/>
        <v>Rp0</v>
      </c>
      <c r="L3358" s="5" t="str">
        <f t="shared" si="3"/>
        <v>0</v>
      </c>
    </row>
    <row r="3359">
      <c r="A3359" s="6" t="s">
        <v>4674</v>
      </c>
      <c r="B3359" s="7" t="str">
        <f>HYPERLINK("https://shopee.co.id/Nusantics-Biome-Oil-Serum-20g-i.10689.9060221169", "https://shopee.co.id/Nusantics-Biome-Oil-Serum-20g-i.10689.9060221169")</f>
        <v>https://shopee.co.id/Nusantics-Biome-Oil-Serum-20g-i.10689.9060221169</v>
      </c>
      <c r="C3359" s="6" t="s">
        <v>2427</v>
      </c>
      <c r="D3359" s="6" t="s">
        <v>745</v>
      </c>
      <c r="E3359" s="6" t="s">
        <v>12</v>
      </c>
      <c r="F3359" s="6" t="s">
        <v>13</v>
      </c>
      <c r="G3359" s="6" t="s">
        <v>61</v>
      </c>
      <c r="H3359" s="8" t="s">
        <v>3981</v>
      </c>
      <c r="I3359" s="9">
        <v>0.0</v>
      </c>
      <c r="J3359" s="5" t="str">
        <f t="shared" ref="J3359:K3359" si="3359">SUBSTITUTE(H3359, ",", "")</f>
        <v>0</v>
      </c>
      <c r="K3359" s="5" t="str">
        <f t="shared" si="3359"/>
        <v>Rp0</v>
      </c>
      <c r="L3359" s="5" t="str">
        <f t="shared" si="3"/>
        <v>0</v>
      </c>
    </row>
    <row r="3360">
      <c r="A3360" s="6" t="s">
        <v>4675</v>
      </c>
      <c r="B3360" s="7" t="str">
        <f>HYPERLINK("https://shopee.co.id/Nuxuriance-Ultra-Serum-30-ml-i.296630661.8770513804", "https://shopee.co.id/Nuxuriance-Ultra-Serum-30-ml-i.296630661.8770513804")</f>
        <v>https://shopee.co.id/Nuxuriance-Ultra-Serum-30-ml-i.296630661.8770513804</v>
      </c>
      <c r="C3360" s="6" t="s">
        <v>4676</v>
      </c>
      <c r="D3360" s="6" t="s">
        <v>4677</v>
      </c>
      <c r="E3360" s="6" t="s">
        <v>12</v>
      </c>
      <c r="F3360" s="6" t="s">
        <v>13</v>
      </c>
      <c r="G3360" s="6" t="s">
        <v>61</v>
      </c>
      <c r="H3360" s="8" t="s">
        <v>3981</v>
      </c>
      <c r="I3360" s="9">
        <v>0.0</v>
      </c>
      <c r="J3360" s="5" t="str">
        <f t="shared" ref="J3360:K3360" si="3360">SUBSTITUTE(H3360, ",", "")</f>
        <v>0</v>
      </c>
      <c r="K3360" s="5" t="str">
        <f t="shared" si="3360"/>
        <v>Rp0</v>
      </c>
      <c r="L3360" s="5" t="str">
        <f t="shared" si="3"/>
        <v>0</v>
      </c>
    </row>
    <row r="3361">
      <c r="A3361" s="6" t="s">
        <v>4678</v>
      </c>
      <c r="B3361" s="7" t="str">
        <f>HYPERLINK("https://shopee.co.id/Ocean-Fresh-Morska-Brightening-Serum-15g-i.10689.6302005443", "https://shopee.co.id/Ocean-Fresh-Morska-Brightening-Serum-15g-i.10689.6302005443")</f>
        <v>https://shopee.co.id/Ocean-Fresh-Morska-Brightening-Serum-15g-i.10689.6302005443</v>
      </c>
      <c r="C3361" s="6" t="s">
        <v>4679</v>
      </c>
      <c r="D3361" s="6" t="s">
        <v>745</v>
      </c>
      <c r="E3361" s="6" t="s">
        <v>12</v>
      </c>
      <c r="F3361" s="6" t="s">
        <v>13</v>
      </c>
      <c r="G3361" s="6" t="s">
        <v>61</v>
      </c>
      <c r="H3361" s="8" t="s">
        <v>3981</v>
      </c>
      <c r="I3361" s="9">
        <v>0.0</v>
      </c>
      <c r="J3361" s="5" t="str">
        <f t="shared" ref="J3361:K3361" si="3361">SUBSTITUTE(H3361, ",", "")</f>
        <v>0</v>
      </c>
      <c r="K3361" s="5" t="str">
        <f t="shared" si="3361"/>
        <v>Rp0</v>
      </c>
      <c r="L3361" s="5" t="str">
        <f t="shared" si="3"/>
        <v>0</v>
      </c>
    </row>
    <row r="3362">
      <c r="A3362" s="6" t="s">
        <v>4680</v>
      </c>
      <c r="B3362" s="7" t="str">
        <f>HYPERLINK("https://shopee.co.id/Oh-My-Skin-Essence-4in1-60ml-i.136011044.13803354428", "https://shopee.co.id/Oh-My-Skin-Essence-4in1-60ml-i.136011044.13803354428")</f>
        <v>https://shopee.co.id/Oh-My-Skin-Essence-4in1-60ml-i.136011044.13803354428</v>
      </c>
      <c r="C3362" s="6" t="s">
        <v>672</v>
      </c>
      <c r="D3362" s="6" t="s">
        <v>632</v>
      </c>
      <c r="E3362" s="6" t="s">
        <v>12</v>
      </c>
      <c r="F3362" s="6" t="s">
        <v>13</v>
      </c>
      <c r="G3362" s="6" t="s">
        <v>21</v>
      </c>
      <c r="H3362" s="8" t="s">
        <v>3981</v>
      </c>
      <c r="I3362" s="9">
        <v>0.0</v>
      </c>
      <c r="J3362" s="5" t="str">
        <f t="shared" ref="J3362:K3362" si="3362">SUBSTITUTE(H3362, ",", "")</f>
        <v>0</v>
      </c>
      <c r="K3362" s="5" t="str">
        <f t="shared" si="3362"/>
        <v>Rp0</v>
      </c>
      <c r="L3362" s="5" t="str">
        <f t="shared" si="3"/>
        <v>0</v>
      </c>
    </row>
    <row r="3363">
      <c r="A3363" s="6" t="s">
        <v>4681</v>
      </c>
      <c r="B3363" s="7" t="str">
        <f>HYPERLINK("https://shopee.co.id/Ohmyskin-Bright-Glow-Serum-20ml-i.270965687.9625282815", "https://shopee.co.id/Ohmyskin-Bright-Glow-Serum-20ml-i.270965687.9625282815")</f>
        <v>https://shopee.co.id/Ohmyskin-Bright-Glow-Serum-20ml-i.270965687.9625282815</v>
      </c>
      <c r="C3363" s="6" t="s">
        <v>672</v>
      </c>
      <c r="D3363" s="6" t="s">
        <v>379</v>
      </c>
      <c r="E3363" s="6" t="s">
        <v>12</v>
      </c>
      <c r="F3363" s="6" t="s">
        <v>13</v>
      </c>
      <c r="G3363" s="6" t="s">
        <v>380</v>
      </c>
      <c r="H3363" s="8" t="s">
        <v>3981</v>
      </c>
      <c r="I3363" s="9">
        <v>0.0</v>
      </c>
      <c r="J3363" s="5" t="str">
        <f t="shared" ref="J3363:K3363" si="3363">SUBSTITUTE(H3363, ",", "")</f>
        <v>0</v>
      </c>
      <c r="K3363" s="5" t="str">
        <f t="shared" si="3363"/>
        <v>Rp0</v>
      </c>
      <c r="L3363" s="5" t="str">
        <f t="shared" si="3"/>
        <v>0</v>
      </c>
    </row>
    <row r="3364">
      <c r="A3364" s="6" t="s">
        <v>4682</v>
      </c>
      <c r="B3364" s="7" t="str">
        <f>HYPERLINK("https://shopee.co.id/Olay-Power-Duo-Krim-Pelembab-Pagi-Serum-Rejuvenating-Sheet-Mask-Anti-Aging-Skincare-i.11487927.6037727615", "https://shopee.co.id/Olay-Power-Duo-Krim-Pelembab-Pagi-Serum-Rejuvenating-Sheet-Mask-Anti-Aging-Skincare-i.11487927.6037727615")</f>
        <v>https://shopee.co.id/Olay-Power-Duo-Krim-Pelembab-Pagi-Serum-Rejuvenating-Sheet-Mask-Anti-Aging-Skincare-i.11487927.6037727615</v>
      </c>
      <c r="C3364" s="6" t="s">
        <v>317</v>
      </c>
      <c r="D3364" s="6" t="s">
        <v>318</v>
      </c>
      <c r="E3364" s="6" t="s">
        <v>12</v>
      </c>
      <c r="F3364" s="6" t="s">
        <v>13</v>
      </c>
      <c r="G3364" s="6" t="s">
        <v>296</v>
      </c>
      <c r="H3364" s="8" t="s">
        <v>3981</v>
      </c>
      <c r="I3364" s="9">
        <v>0.0</v>
      </c>
      <c r="J3364" s="5" t="str">
        <f t="shared" ref="J3364:K3364" si="3364">SUBSTITUTE(H3364, ",", "")</f>
        <v>0</v>
      </c>
      <c r="K3364" s="5" t="str">
        <f t="shared" si="3364"/>
        <v>Rp0</v>
      </c>
      <c r="L3364" s="5" t="str">
        <f t="shared" si="3"/>
        <v>0</v>
      </c>
    </row>
    <row r="3365">
      <c r="A3365" s="6" t="s">
        <v>4682</v>
      </c>
      <c r="B3365" s="7" t="str">
        <f>HYPERLINK("https://shopee.co.id/Olay-Power-Duo-Krim-Pelembab-Pagi-Serum-Rejuvenating-Sheet-Mask-Anti-Aging-Skincare-i.11487927.3333734354", "https://shopee.co.id/Olay-Power-Duo-Krim-Pelembab-Pagi-Serum-Rejuvenating-Sheet-Mask-Anti-Aging-Skincare-i.11487927.3333734354")</f>
        <v>https://shopee.co.id/Olay-Power-Duo-Krim-Pelembab-Pagi-Serum-Rejuvenating-Sheet-Mask-Anti-Aging-Skincare-i.11487927.3333734354</v>
      </c>
      <c r="C3365" s="6" t="s">
        <v>317</v>
      </c>
      <c r="D3365" s="6" t="s">
        <v>318</v>
      </c>
      <c r="E3365" s="6" t="s">
        <v>12</v>
      </c>
      <c r="F3365" s="6" t="s">
        <v>13</v>
      </c>
      <c r="G3365" s="6" t="s">
        <v>296</v>
      </c>
      <c r="H3365" s="8" t="s">
        <v>3981</v>
      </c>
      <c r="I3365" s="9">
        <v>0.0</v>
      </c>
      <c r="J3365" s="5" t="str">
        <f t="shared" ref="J3365:K3365" si="3365">SUBSTITUTE(H3365, ",", "")</f>
        <v>0</v>
      </c>
      <c r="K3365" s="5" t="str">
        <f t="shared" si="3365"/>
        <v>Rp0</v>
      </c>
      <c r="L3365" s="5" t="str">
        <f t="shared" si="3"/>
        <v>0</v>
      </c>
    </row>
    <row r="3366">
      <c r="A3366" s="6" t="s">
        <v>4683</v>
      </c>
      <c r="B3366" s="7" t="str">
        <f>HYPERLINK("https://shopee.co.id/OLAY-RETINOL-FACE-SERUM-30ML-i.186214521.6261396506", "https://shopee.co.id/OLAY-RETINOL-FACE-SERUM-30ML-i.186214521.6261396506")</f>
        <v>https://shopee.co.id/OLAY-RETINOL-FACE-SERUM-30ML-i.186214521.6261396506</v>
      </c>
      <c r="C3366" s="6" t="s">
        <v>317</v>
      </c>
      <c r="D3366" s="6" t="s">
        <v>2293</v>
      </c>
      <c r="E3366" s="6" t="s">
        <v>12</v>
      </c>
      <c r="F3366" s="6" t="s">
        <v>13</v>
      </c>
      <c r="G3366" s="6" t="s">
        <v>3901</v>
      </c>
      <c r="H3366" s="8" t="s">
        <v>3981</v>
      </c>
      <c r="I3366" s="9">
        <v>0.0</v>
      </c>
      <c r="J3366" s="5" t="str">
        <f t="shared" ref="J3366:K3366" si="3366">SUBSTITUTE(H3366, ",", "")</f>
        <v>0</v>
      </c>
      <c r="K3366" s="5" t="str">
        <f t="shared" si="3366"/>
        <v>Rp0</v>
      </c>
      <c r="L3366" s="5" t="str">
        <f t="shared" si="3"/>
        <v>0</v>
      </c>
    </row>
    <row r="3367">
      <c r="A3367" s="6" t="s">
        <v>4684</v>
      </c>
      <c r="B3367" s="7" t="str">
        <f>HYPERLINK("https://shopee.co.id/Olay-Serum-Wajah-Regenerist-Anti-Aging-Skincare-50-mL-i.65323877.11318286953", "https://shopee.co.id/Olay-Serum-Wajah-Regenerist-Anti-Aging-Skincare-50-mL-i.65323877.11318286953")</f>
        <v>https://shopee.co.id/Olay-Serum-Wajah-Regenerist-Anti-Aging-Skincare-50-mL-i.65323877.11318286953</v>
      </c>
      <c r="C3367" s="6" t="s">
        <v>317</v>
      </c>
      <c r="D3367" s="6" t="s">
        <v>1600</v>
      </c>
      <c r="E3367" s="6" t="s">
        <v>12</v>
      </c>
      <c r="F3367" s="6" t="s">
        <v>13</v>
      </c>
      <c r="G3367" s="6" t="s">
        <v>296</v>
      </c>
      <c r="H3367" s="8" t="s">
        <v>3981</v>
      </c>
      <c r="I3367" s="9">
        <v>0.0</v>
      </c>
      <c r="J3367" s="5" t="str">
        <f t="shared" ref="J3367:K3367" si="3367">SUBSTITUTE(H3367, ",", "")</f>
        <v>0</v>
      </c>
      <c r="K3367" s="5" t="str">
        <f t="shared" si="3367"/>
        <v>Rp0</v>
      </c>
      <c r="L3367" s="5" t="str">
        <f t="shared" si="3"/>
        <v>0</v>
      </c>
    </row>
    <row r="3368">
      <c r="A3368" s="6" t="s">
        <v>4685</v>
      </c>
      <c r="B3368" s="7" t="str">
        <f>HYPERLINK("https://shopee.co.id/Olay-Total-Effect-Anti-Aging-Serum-50g-144339--i.16735262.6683871526", "https://shopee.co.id/Olay-Total-Effect-Anti-Aging-Serum-50g-144339--i.16735262.6683871526")</f>
        <v>https://shopee.co.id/Olay-Total-Effect-Anti-Aging-Serum-50g-144339--i.16735262.6683871526</v>
      </c>
      <c r="C3368" s="6" t="s">
        <v>317</v>
      </c>
      <c r="D3368" s="6" t="s">
        <v>3598</v>
      </c>
      <c r="E3368" s="6" t="s">
        <v>12</v>
      </c>
      <c r="F3368" s="6" t="s">
        <v>13</v>
      </c>
      <c r="G3368" s="6" t="s">
        <v>36</v>
      </c>
      <c r="H3368" s="8" t="s">
        <v>3981</v>
      </c>
      <c r="I3368" s="9">
        <v>0.0</v>
      </c>
      <c r="J3368" s="5" t="str">
        <f t="shared" ref="J3368:K3368" si="3368">SUBSTITUTE(H3368, ",", "")</f>
        <v>0</v>
      </c>
      <c r="K3368" s="5" t="str">
        <f t="shared" si="3368"/>
        <v>Rp0</v>
      </c>
      <c r="L3368" s="5" t="str">
        <f t="shared" si="3"/>
        <v>0</v>
      </c>
    </row>
    <row r="3369">
      <c r="A3369" s="6" t="s">
        <v>4686</v>
      </c>
      <c r="B3369" s="7" t="str">
        <f>HYPERLINK("https://shopee.co.id/Olay-Total-Effect-Serum-50ml-i.30736001.431557936", "https://shopee.co.id/Olay-Total-Effect-Serum-50ml-i.30736001.431557936")</f>
        <v>https://shopee.co.id/Olay-Total-Effect-Serum-50ml-i.30736001.431557936</v>
      </c>
      <c r="C3369" s="6" t="s">
        <v>317</v>
      </c>
      <c r="D3369" s="6" t="s">
        <v>335</v>
      </c>
      <c r="E3369" s="6" t="s">
        <v>12</v>
      </c>
      <c r="F3369" s="6" t="s">
        <v>13</v>
      </c>
      <c r="G3369" s="6" t="s">
        <v>36</v>
      </c>
      <c r="H3369" s="8" t="s">
        <v>3981</v>
      </c>
      <c r="I3369" s="9">
        <v>0.0</v>
      </c>
      <c r="J3369" s="5" t="str">
        <f t="shared" ref="J3369:K3369" si="3369">SUBSTITUTE(H3369, ",", "")</f>
        <v>0</v>
      </c>
      <c r="K3369" s="5" t="str">
        <f t="shared" si="3369"/>
        <v>Rp0</v>
      </c>
      <c r="L3369" s="5" t="str">
        <f t="shared" si="3"/>
        <v>0</v>
      </c>
    </row>
    <row r="3370">
      <c r="A3370" s="6" t="s">
        <v>4687</v>
      </c>
      <c r="B3370" s="7" t="str">
        <f>HYPERLINK("https://shopee.co.id/Olay-White-Radiance-Essence-7Ml-i.186214521.3890115803", "https://shopee.co.id/Olay-White-Radiance-Essence-7Ml-i.186214521.3890115803")</f>
        <v>https://shopee.co.id/Olay-White-Radiance-Essence-7Ml-i.186214521.3890115803</v>
      </c>
      <c r="C3370" s="6" t="s">
        <v>317</v>
      </c>
      <c r="D3370" s="6" t="s">
        <v>2293</v>
      </c>
      <c r="E3370" s="6" t="s">
        <v>12</v>
      </c>
      <c r="F3370" s="6" t="s">
        <v>13</v>
      </c>
      <c r="G3370" s="6" t="s">
        <v>3901</v>
      </c>
      <c r="H3370" s="8" t="s">
        <v>3981</v>
      </c>
      <c r="I3370" s="9">
        <v>0.0</v>
      </c>
      <c r="J3370" s="5" t="str">
        <f t="shared" ref="J3370:K3370" si="3370">SUBSTITUTE(H3370, ",", "")</f>
        <v>0</v>
      </c>
      <c r="K3370" s="5" t="str">
        <f t="shared" si="3370"/>
        <v>Rp0</v>
      </c>
      <c r="L3370" s="5" t="str">
        <f t="shared" si="3"/>
        <v>0</v>
      </c>
    </row>
    <row r="3371">
      <c r="A3371" s="6" t="s">
        <v>4688</v>
      </c>
      <c r="B3371" s="7" t="str">
        <f>HYPERLINK("https://shopee.co.id/Olay-White-Radiance-Light-Perfecting-Essence-7-Ml-i.36998337.6879915150", "https://shopee.co.id/Olay-White-Radiance-Light-Perfecting-Essence-7-Ml-i.36998337.6879915150")</f>
        <v>https://shopee.co.id/Olay-White-Radiance-Light-Perfecting-Essence-7-Ml-i.36998337.6879915150</v>
      </c>
      <c r="C3371" s="6" t="s">
        <v>317</v>
      </c>
      <c r="D3371" s="6" t="s">
        <v>2449</v>
      </c>
      <c r="E3371" s="6" t="s">
        <v>12</v>
      </c>
      <c r="F3371" s="6" t="s">
        <v>13</v>
      </c>
      <c r="G3371" s="6" t="s">
        <v>98</v>
      </c>
      <c r="H3371" s="8" t="s">
        <v>3981</v>
      </c>
      <c r="I3371" s="9">
        <v>0.0</v>
      </c>
      <c r="J3371" s="5" t="str">
        <f t="shared" ref="J3371:K3371" si="3371">SUBSTITUTE(H3371, ",", "")</f>
        <v>0</v>
      </c>
      <c r="K3371" s="5" t="str">
        <f t="shared" si="3371"/>
        <v>Rp0</v>
      </c>
      <c r="L3371" s="5" t="str">
        <f t="shared" si="3"/>
        <v>0</v>
      </c>
    </row>
    <row r="3372">
      <c r="A3372" s="6" t="s">
        <v>4689</v>
      </c>
      <c r="B3372" s="7" t="str">
        <f>HYPERLINK("https://shopee.co.id/OMNISKIN-Cica-Bakuchiol-6in1-Blemish-Serum-i.68111.10200411102", "https://shopee.co.id/OMNISKIN-Cica-Bakuchiol-6in1-Blemish-Serum-i.68111.10200411102")</f>
        <v>https://shopee.co.id/OMNISKIN-Cica-Bakuchiol-6in1-Blemish-Serum-i.68111.10200411102</v>
      </c>
      <c r="C3372" s="6" t="s">
        <v>2268</v>
      </c>
      <c r="D3372" s="6" t="s">
        <v>441</v>
      </c>
      <c r="E3372" s="6" t="s">
        <v>12</v>
      </c>
      <c r="F3372" s="6" t="s">
        <v>13</v>
      </c>
      <c r="G3372" s="6" t="s">
        <v>130</v>
      </c>
      <c r="H3372" s="8" t="s">
        <v>3981</v>
      </c>
      <c r="I3372" s="9">
        <v>0.0</v>
      </c>
      <c r="J3372" s="5" t="str">
        <f t="shared" ref="J3372:K3372" si="3372">SUBSTITUTE(H3372, ",", "")</f>
        <v>0</v>
      </c>
      <c r="K3372" s="5" t="str">
        <f t="shared" si="3372"/>
        <v>Rp0</v>
      </c>
      <c r="L3372" s="5" t="str">
        <f t="shared" si="3"/>
        <v>0</v>
      </c>
    </row>
    <row r="3373">
      <c r="A3373" s="6" t="s">
        <v>4690</v>
      </c>
      <c r="B3373" s="7" t="str">
        <f>HYPERLINK("https://shopee.co.id/Omniskin-Cica-Bakuchiol-Blemish-Serum-6in1-16ml-i.136011044.7587352858", "https://shopee.co.id/Omniskin-Cica-Bakuchiol-Blemish-Serum-6in1-16ml-i.136011044.7587352858")</f>
        <v>https://shopee.co.id/Omniskin-Cica-Bakuchiol-Blemish-Serum-6in1-16ml-i.136011044.7587352858</v>
      </c>
      <c r="C3373" s="6" t="s">
        <v>2268</v>
      </c>
      <c r="D3373" s="6" t="s">
        <v>632</v>
      </c>
      <c r="E3373" s="6" t="s">
        <v>12</v>
      </c>
      <c r="F3373" s="6" t="s">
        <v>13</v>
      </c>
      <c r="G3373" s="6" t="s">
        <v>21</v>
      </c>
      <c r="H3373" s="8" t="s">
        <v>3981</v>
      </c>
      <c r="I3373" s="9">
        <v>0.0</v>
      </c>
      <c r="J3373" s="5" t="str">
        <f t="shared" ref="J3373:K3373" si="3373">SUBSTITUTE(H3373, ",", "")</f>
        <v>0</v>
      </c>
      <c r="K3373" s="5" t="str">
        <f t="shared" si="3373"/>
        <v>Rp0</v>
      </c>
      <c r="L3373" s="5" t="str">
        <f t="shared" si="3"/>
        <v>0</v>
      </c>
    </row>
    <row r="3374">
      <c r="A3374" s="6" t="s">
        <v>4691</v>
      </c>
      <c r="B3374" s="7" t="str">
        <f>HYPERLINK("https://shopee.co.id/Organic-Supply-Co-Acne-Fighter-Bundle-i.12027043.4960362674", "https://shopee.co.id/Organic-Supply-Co-Acne-Fighter-Bundle-i.12027043.4960362674")</f>
        <v>https://shopee.co.id/Organic-Supply-Co-Acne-Fighter-Bundle-i.12027043.4960362674</v>
      </c>
      <c r="C3374" s="6" t="s">
        <v>4692</v>
      </c>
      <c r="D3374" s="6" t="s">
        <v>4693</v>
      </c>
      <c r="E3374" s="6" t="s">
        <v>12</v>
      </c>
      <c r="F3374" s="6" t="s">
        <v>13</v>
      </c>
      <c r="G3374" s="6" t="s">
        <v>98</v>
      </c>
      <c r="H3374" s="8" t="s">
        <v>3981</v>
      </c>
      <c r="I3374" s="9">
        <v>0.0</v>
      </c>
      <c r="J3374" s="5" t="str">
        <f t="shared" ref="J3374:K3374" si="3374">SUBSTITUTE(H3374, ",", "")</f>
        <v>0</v>
      </c>
      <c r="K3374" s="5" t="str">
        <f t="shared" si="3374"/>
        <v>Rp0</v>
      </c>
      <c r="L3374" s="5" t="str">
        <f t="shared" si="3"/>
        <v>0</v>
      </c>
    </row>
    <row r="3375">
      <c r="A3375" s="6" t="s">
        <v>4694</v>
      </c>
      <c r="B3375" s="7" t="str">
        <f>HYPERLINK("https://shopee.co.id/Organic-Supply-Co-Hydrating-Mask-Bundle-i.12027043.3860460566", "https://shopee.co.id/Organic-Supply-Co-Hydrating-Mask-Bundle-i.12027043.3860460566")</f>
        <v>https://shopee.co.id/Organic-Supply-Co-Hydrating-Mask-Bundle-i.12027043.3860460566</v>
      </c>
      <c r="C3375" s="6" t="s">
        <v>4692</v>
      </c>
      <c r="D3375" s="6" t="s">
        <v>4693</v>
      </c>
      <c r="E3375" s="6" t="s">
        <v>12</v>
      </c>
      <c r="F3375" s="6" t="s">
        <v>13</v>
      </c>
      <c r="G3375" s="6" t="s">
        <v>98</v>
      </c>
      <c r="H3375" s="8" t="s">
        <v>3981</v>
      </c>
      <c r="I3375" s="9">
        <v>0.0</v>
      </c>
      <c r="J3375" s="5" t="str">
        <f t="shared" ref="J3375:K3375" si="3375">SUBSTITUTE(H3375, ",", "")</f>
        <v>0</v>
      </c>
      <c r="K3375" s="5" t="str">
        <f t="shared" si="3375"/>
        <v>Rp0</v>
      </c>
      <c r="L3375" s="5" t="str">
        <f t="shared" si="3"/>
        <v>0</v>
      </c>
    </row>
    <row r="3376">
      <c r="A3376" s="6" t="s">
        <v>4695</v>
      </c>
      <c r="B3376" s="7" t="str">
        <f>HYPERLINK("https://shopee.co.id/ORIIGNAL-Serum-Nature-Reaction-Pemutih-Wajah-Glowing-i.375565670.11228131282", "https://shopee.co.id/ORIIGNAL-Serum-Nature-Reaction-Pemutih-Wajah-Glowing-i.375565670.11228131282")</f>
        <v>https://shopee.co.id/ORIIGNAL-Serum-Nature-Reaction-Pemutih-Wajah-Glowing-i.375565670.11228131282</v>
      </c>
      <c r="C3376" s="6" t="s">
        <v>530</v>
      </c>
      <c r="D3376" s="6" t="s">
        <v>531</v>
      </c>
      <c r="E3376" s="6" t="s">
        <v>12</v>
      </c>
      <c r="F3376" s="6" t="s">
        <v>13</v>
      </c>
      <c r="G3376" s="6" t="s">
        <v>532</v>
      </c>
      <c r="H3376" s="8" t="s">
        <v>3981</v>
      </c>
      <c r="I3376" s="9">
        <v>0.0</v>
      </c>
      <c r="J3376" s="5" t="str">
        <f t="shared" ref="J3376:K3376" si="3376">SUBSTITUTE(H3376, ",", "")</f>
        <v>0</v>
      </c>
      <c r="K3376" s="5" t="str">
        <f t="shared" si="3376"/>
        <v>Rp0</v>
      </c>
      <c r="L3376" s="5" t="str">
        <f t="shared" si="3"/>
        <v>0</v>
      </c>
    </row>
    <row r="3377">
      <c r="A3377" s="6" t="s">
        <v>4696</v>
      </c>
      <c r="B3377" s="7" t="str">
        <f>HYPERLINK("https://shopee.co.id/Ottie-Green-Tea-Emulsion-i.76781053.5001971519", "https://shopee.co.id/Ottie-Green-Tea-Emulsion-i.76781053.5001971519")</f>
        <v>https://shopee.co.id/Ottie-Green-Tea-Emulsion-i.76781053.5001971519</v>
      </c>
      <c r="C3377" s="6" t="s">
        <v>4697</v>
      </c>
      <c r="D3377" s="6" t="s">
        <v>4698</v>
      </c>
      <c r="E3377" s="6" t="s">
        <v>12</v>
      </c>
      <c r="F3377" s="6" t="s">
        <v>13</v>
      </c>
      <c r="G3377" s="6" t="s">
        <v>98</v>
      </c>
      <c r="H3377" s="8" t="s">
        <v>3981</v>
      </c>
      <c r="I3377" s="9">
        <v>0.0</v>
      </c>
      <c r="J3377" s="5" t="str">
        <f t="shared" ref="J3377:K3377" si="3377">SUBSTITUTE(H3377, ",", "")</f>
        <v>0</v>
      </c>
      <c r="K3377" s="5" t="str">
        <f t="shared" si="3377"/>
        <v>Rp0</v>
      </c>
      <c r="L3377" s="5" t="str">
        <f t="shared" si="3"/>
        <v>0</v>
      </c>
    </row>
    <row r="3378">
      <c r="A3378" s="6" t="s">
        <v>4699</v>
      </c>
      <c r="B3378" s="7" t="str">
        <f>HYPERLINK("https://shopee.co.id/Ovale-Essential-Vitamin-Lightening-Jar-30-Kapsul-i.65323877.8079239126", "https://shopee.co.id/Ovale-Essential-Vitamin-Lightening-Jar-30-Kapsul-i.65323877.8079239126")</f>
        <v>https://shopee.co.id/Ovale-Essential-Vitamin-Lightening-Jar-30-Kapsul-i.65323877.8079239126</v>
      </c>
      <c r="C3378" s="6" t="s">
        <v>2791</v>
      </c>
      <c r="D3378" s="6" t="s">
        <v>1600</v>
      </c>
      <c r="E3378" s="6" t="s">
        <v>12</v>
      </c>
      <c r="F3378" s="6" t="s">
        <v>13</v>
      </c>
      <c r="G3378" s="6" t="s">
        <v>296</v>
      </c>
      <c r="H3378" s="8" t="s">
        <v>3981</v>
      </c>
      <c r="I3378" s="9">
        <v>0.0</v>
      </c>
      <c r="J3378" s="5" t="str">
        <f t="shared" ref="J3378:K3378" si="3378">SUBSTITUTE(H3378, ",", "")</f>
        <v>0</v>
      </c>
      <c r="K3378" s="5" t="str">
        <f t="shared" si="3378"/>
        <v>Rp0</v>
      </c>
      <c r="L3378" s="5" t="str">
        <f t="shared" si="3"/>
        <v>0</v>
      </c>
    </row>
    <row r="3379">
      <c r="A3379" s="6" t="s">
        <v>4700</v>
      </c>
      <c r="B3379" s="7" t="str">
        <f>HYPERLINK("https://shopee.co.id/Ozora-Brightening-Treatment-Essence-i.33050847.6570593695", "https://shopee.co.id/Ozora-Brightening-Treatment-Essence-i.33050847.6570593695")</f>
        <v>https://shopee.co.id/Ozora-Brightening-Treatment-Essence-i.33050847.6570593695</v>
      </c>
      <c r="C3379" s="6" t="s">
        <v>4701</v>
      </c>
      <c r="D3379" s="6" t="s">
        <v>2083</v>
      </c>
      <c r="E3379" s="6" t="s">
        <v>12</v>
      </c>
      <c r="F3379" s="6" t="s">
        <v>13</v>
      </c>
      <c r="G3379" s="6" t="s">
        <v>85</v>
      </c>
      <c r="H3379" s="8" t="s">
        <v>3981</v>
      </c>
      <c r="I3379" s="9">
        <v>0.0</v>
      </c>
      <c r="J3379" s="5" t="str">
        <f t="shared" ref="J3379:K3379" si="3379">SUBSTITUTE(H3379, ",", "")</f>
        <v>0</v>
      </c>
      <c r="K3379" s="5" t="str">
        <f t="shared" si="3379"/>
        <v>Rp0</v>
      </c>
      <c r="L3379" s="5" t="str">
        <f t="shared" si="3"/>
        <v>0</v>
      </c>
    </row>
    <row r="3380">
      <c r="A3380" s="6" t="s">
        <v>4702</v>
      </c>
      <c r="B3380" s="7" t="str">
        <f>HYPERLINK("https://shopee.co.id/Pemutih-Wajah-Serum-Nature-Reaction-Pencerah-Wajah-Penghilang-Flek-Sudah-BPOM-i.375565670.11928140052", "https://shopee.co.id/Pemutih-Wajah-Serum-Nature-Reaction-Pencerah-Wajah-Penghilang-Flek-Sudah-BPOM-i.375565670.11928140052")</f>
        <v>https://shopee.co.id/Pemutih-Wajah-Serum-Nature-Reaction-Pencerah-Wajah-Penghilang-Flek-Sudah-BPOM-i.375565670.11928140052</v>
      </c>
      <c r="C3380" s="6" t="s">
        <v>530</v>
      </c>
      <c r="D3380" s="6" t="s">
        <v>531</v>
      </c>
      <c r="E3380" s="6" t="s">
        <v>12</v>
      </c>
      <c r="F3380" s="6" t="s">
        <v>13</v>
      </c>
      <c r="G3380" s="6" t="s">
        <v>532</v>
      </c>
      <c r="H3380" s="8" t="s">
        <v>3981</v>
      </c>
      <c r="I3380" s="9">
        <v>0.0</v>
      </c>
      <c r="J3380" s="5" t="str">
        <f t="shared" ref="J3380:K3380" si="3380">SUBSTITUTE(H3380, ",", "")</f>
        <v>0</v>
      </c>
      <c r="K3380" s="5" t="str">
        <f t="shared" si="3380"/>
        <v>Rp0</v>
      </c>
      <c r="L3380" s="5" t="str">
        <f t="shared" si="3"/>
        <v>0</v>
      </c>
    </row>
    <row r="3381">
      <c r="A3381" s="6" t="s">
        <v>4703</v>
      </c>
      <c r="B3381" s="7" t="str">
        <f>HYPERLINK("https://shopee.co.id/Pencerah-Kulit-Wajah-Dr-Boyke-Wish-Lightening-Emulsion-100-mL-i.18163317.340020279", "https://shopee.co.id/Pencerah-Kulit-Wajah-Dr-Boyke-Wish-Lightening-Emulsion-100-mL-i.18163317.340020279")</f>
        <v>https://shopee.co.id/Pencerah-Kulit-Wajah-Dr-Boyke-Wish-Lightening-Emulsion-100-mL-i.18163317.340020279</v>
      </c>
      <c r="C3381" s="6" t="s">
        <v>4704</v>
      </c>
      <c r="D3381" s="6" t="s">
        <v>3715</v>
      </c>
      <c r="E3381" s="6" t="s">
        <v>12</v>
      </c>
      <c r="F3381" s="6" t="s">
        <v>13</v>
      </c>
      <c r="G3381" s="6" t="s">
        <v>98</v>
      </c>
      <c r="H3381" s="8" t="s">
        <v>3981</v>
      </c>
      <c r="I3381" s="9">
        <v>0.0</v>
      </c>
      <c r="J3381" s="5" t="str">
        <f t="shared" ref="J3381:K3381" si="3381">SUBSTITUTE(H3381, ",", "")</f>
        <v>0</v>
      </c>
      <c r="K3381" s="5" t="str">
        <f t="shared" si="3381"/>
        <v>Rp0</v>
      </c>
      <c r="L3381" s="5" t="str">
        <f t="shared" si="3"/>
        <v>0</v>
      </c>
    </row>
    <row r="3382">
      <c r="A3382" s="6" t="s">
        <v>4705</v>
      </c>
      <c r="B3382" s="7" t="str">
        <f>HYPERLINK("https://shopee.co.id/Phyto-Niacin-Whitening-Simple-Set-i.238604292.8119371849", "https://shopee.co.id/Phyto-Niacin-Whitening-Simple-Set-i.238604292.8119371849")</f>
        <v>https://shopee.co.id/Phyto-Niacin-Whitening-Simple-Set-i.238604292.8119371849</v>
      </c>
      <c r="C3382" s="6" t="s">
        <v>344</v>
      </c>
      <c r="D3382" s="6" t="s">
        <v>918</v>
      </c>
      <c r="E3382" s="6" t="s">
        <v>12</v>
      </c>
      <c r="F3382" s="6" t="s">
        <v>13</v>
      </c>
      <c r="G3382" s="6" t="s">
        <v>80</v>
      </c>
      <c r="H3382" s="8" t="s">
        <v>3981</v>
      </c>
      <c r="I3382" s="9">
        <v>0.0</v>
      </c>
      <c r="J3382" s="5" t="str">
        <f t="shared" ref="J3382:K3382" si="3382">SUBSTITUTE(H3382, ",", "")</f>
        <v>0</v>
      </c>
      <c r="K3382" s="5" t="str">
        <f t="shared" si="3382"/>
        <v>Rp0</v>
      </c>
      <c r="L3382" s="5" t="str">
        <f t="shared" si="3"/>
        <v>0</v>
      </c>
    </row>
    <row r="3383">
      <c r="A3383" s="6" t="s">
        <v>4706</v>
      </c>
      <c r="B3383" s="7" t="str">
        <f>HYPERLINK("https://shopee.co.id/PIKA-Serum-Wajah-Face-Serum-Dry-Skin-100-Murni-Alami-20ML-i.279873617.4258373102", "https://shopee.co.id/PIKA-Serum-Wajah-Face-Serum-Dry-Skin-100-Murni-Alami-20ML-i.279873617.4258373102")</f>
        <v>https://shopee.co.id/PIKA-Serum-Wajah-Face-Serum-Dry-Skin-100-Murni-Alami-20ML-i.279873617.4258373102</v>
      </c>
      <c r="C3383" s="6" t="s">
        <v>4707</v>
      </c>
      <c r="D3383" s="6" t="s">
        <v>4708</v>
      </c>
      <c r="E3383" s="6" t="s">
        <v>12</v>
      </c>
      <c r="F3383" s="6" t="s">
        <v>13</v>
      </c>
      <c r="G3383" s="6" t="s">
        <v>21</v>
      </c>
      <c r="H3383" s="8" t="s">
        <v>3981</v>
      </c>
      <c r="I3383" s="9">
        <v>0.0</v>
      </c>
      <c r="J3383" s="5" t="str">
        <f t="shared" ref="J3383:K3383" si="3383">SUBSTITUTE(H3383, ",", "")</f>
        <v>0</v>
      </c>
      <c r="K3383" s="5" t="str">
        <f t="shared" si="3383"/>
        <v>Rp0</v>
      </c>
      <c r="L3383" s="5" t="str">
        <f t="shared" si="3"/>
        <v>0</v>
      </c>
    </row>
    <row r="3384">
      <c r="A3384" s="6" t="s">
        <v>4709</v>
      </c>
      <c r="B3384" s="7" t="str">
        <f>HYPERLINK("https://shopee.co.id/PIKA-Serum-Wajah-Face-Serum-SD-Scarring-Discoloration-100-Murni-i.279873617.6260267599", "https://shopee.co.id/PIKA-Serum-Wajah-Face-Serum-SD-Scarring-Discoloration-100-Murni-i.279873617.6260267599")</f>
        <v>https://shopee.co.id/PIKA-Serum-Wajah-Face-Serum-SD-Scarring-Discoloration-100-Murni-i.279873617.6260267599</v>
      </c>
      <c r="C3384" s="6" t="s">
        <v>4710</v>
      </c>
      <c r="D3384" s="6" t="s">
        <v>4708</v>
      </c>
      <c r="E3384" s="6" t="s">
        <v>12</v>
      </c>
      <c r="F3384" s="6" t="s">
        <v>13</v>
      </c>
      <c r="G3384" s="6" t="s">
        <v>21</v>
      </c>
      <c r="H3384" s="8" t="s">
        <v>3981</v>
      </c>
      <c r="I3384" s="9">
        <v>0.0</v>
      </c>
      <c r="J3384" s="5" t="str">
        <f t="shared" ref="J3384:K3384" si="3384">SUBSTITUTE(H3384, ",", "")</f>
        <v>0</v>
      </c>
      <c r="K3384" s="5" t="str">
        <f t="shared" si="3384"/>
        <v>Rp0</v>
      </c>
      <c r="L3384" s="5" t="str">
        <f t="shared" si="3"/>
        <v>0</v>
      </c>
    </row>
    <row r="3385">
      <c r="A3385" s="6" t="s">
        <v>4711</v>
      </c>
      <c r="B3385" s="7" t="str">
        <f>HYPERLINK("https://shopee.co.id/PIKA-Serum-Wajah-Face-Serum-Sensitive-Skin-100-Murni-Alami-20ML-i.279873617.4558368905", "https://shopee.co.id/PIKA-Serum-Wajah-Face-Serum-Sensitive-Skin-100-Murni-Alami-20ML-i.279873617.4558368905")</f>
        <v>https://shopee.co.id/PIKA-Serum-Wajah-Face-Serum-Sensitive-Skin-100-Murni-Alami-20ML-i.279873617.4558368905</v>
      </c>
      <c r="C3385" s="6" t="s">
        <v>4710</v>
      </c>
      <c r="D3385" s="6" t="s">
        <v>4708</v>
      </c>
      <c r="E3385" s="6" t="s">
        <v>12</v>
      </c>
      <c r="F3385" s="6" t="s">
        <v>13</v>
      </c>
      <c r="G3385" s="6" t="s">
        <v>21</v>
      </c>
      <c r="H3385" s="8" t="s">
        <v>3981</v>
      </c>
      <c r="I3385" s="9">
        <v>0.0</v>
      </c>
      <c r="J3385" s="5" t="str">
        <f t="shared" ref="J3385:K3385" si="3385">SUBSTITUTE(H3385, ",", "")</f>
        <v>0</v>
      </c>
      <c r="K3385" s="5" t="str">
        <f t="shared" si="3385"/>
        <v>Rp0</v>
      </c>
      <c r="L3385" s="5" t="str">
        <f t="shared" si="3"/>
        <v>0</v>
      </c>
    </row>
    <row r="3386">
      <c r="A3386" s="6" t="s">
        <v>4712</v>
      </c>
      <c r="B3386" s="7" t="str">
        <f>HYPERLINK("https://shopee.co.id/Pixy-Aqua-Brightening-Serum-18ml-423577--i.16735262.3362106767", "https://shopee.co.id/Pixy-Aqua-Brightening-Serum-18ml-423577--i.16735262.3362106767")</f>
        <v>https://shopee.co.id/Pixy-Aqua-Brightening-Serum-18ml-423577--i.16735262.3362106767</v>
      </c>
      <c r="C3386" s="6" t="s">
        <v>1398</v>
      </c>
      <c r="D3386" s="6" t="s">
        <v>3598</v>
      </c>
      <c r="E3386" s="6" t="s">
        <v>12</v>
      </c>
      <c r="F3386" s="6" t="s">
        <v>13</v>
      </c>
      <c r="G3386" s="6" t="s">
        <v>36</v>
      </c>
      <c r="H3386" s="8" t="s">
        <v>3981</v>
      </c>
      <c r="I3386" s="9">
        <v>0.0</v>
      </c>
      <c r="J3386" s="5" t="str">
        <f t="shared" ref="J3386:K3386" si="3386">SUBSTITUTE(H3386, ",", "")</f>
        <v>0</v>
      </c>
      <c r="K3386" s="5" t="str">
        <f t="shared" si="3386"/>
        <v>Rp0</v>
      </c>
      <c r="L3386" s="5" t="str">
        <f t="shared" si="3"/>
        <v>0</v>
      </c>
    </row>
    <row r="3387">
      <c r="A3387" s="6" t="s">
        <v>4713</v>
      </c>
      <c r="B3387" s="7" t="str">
        <f>HYPERLINK("https://shopee.co.id/Pixy-Aqua-Hydra-Moist-Essence-125ml-423576--i.16735262.5762005777", "https://shopee.co.id/Pixy-Aqua-Hydra-Moist-Essence-125ml-423576--i.16735262.5762005777")</f>
        <v>https://shopee.co.id/Pixy-Aqua-Hydra-Moist-Essence-125ml-423576--i.16735262.5762005777</v>
      </c>
      <c r="C3387" s="6" t="s">
        <v>1398</v>
      </c>
      <c r="D3387" s="6" t="s">
        <v>3598</v>
      </c>
      <c r="E3387" s="6" t="s">
        <v>12</v>
      </c>
      <c r="F3387" s="6" t="s">
        <v>13</v>
      </c>
      <c r="G3387" s="6" t="s">
        <v>36</v>
      </c>
      <c r="H3387" s="8" t="s">
        <v>3981</v>
      </c>
      <c r="I3387" s="9">
        <v>0.0</v>
      </c>
      <c r="J3387" s="5" t="str">
        <f t="shared" ref="J3387:K3387" si="3387">SUBSTITUTE(H3387, ",", "")</f>
        <v>0</v>
      </c>
      <c r="K3387" s="5" t="str">
        <f t="shared" si="3387"/>
        <v>Rp0</v>
      </c>
      <c r="L3387" s="5" t="str">
        <f t="shared" si="3"/>
        <v>0</v>
      </c>
    </row>
    <row r="3388">
      <c r="A3388" s="6" t="s">
        <v>4714</v>
      </c>
      <c r="B3388" s="7" t="str">
        <f>HYPERLINK("https://shopee.co.id/PIXY-White-Aqua-Concentrated-Brightening-Serum-i.68111.7478963058", "https://shopee.co.id/PIXY-White-Aqua-Concentrated-Brightening-Serum-i.68111.7478963058")</f>
        <v>https://shopee.co.id/PIXY-White-Aqua-Concentrated-Brightening-Serum-i.68111.7478963058</v>
      </c>
      <c r="C3388" s="6" t="s">
        <v>1398</v>
      </c>
      <c r="D3388" s="6" t="s">
        <v>441</v>
      </c>
      <c r="E3388" s="6" t="s">
        <v>12</v>
      </c>
      <c r="F3388" s="6" t="s">
        <v>13</v>
      </c>
      <c r="G3388" s="6" t="s">
        <v>130</v>
      </c>
      <c r="H3388" s="8" t="s">
        <v>3981</v>
      </c>
      <c r="I3388" s="9">
        <v>0.0</v>
      </c>
      <c r="J3388" s="5" t="str">
        <f t="shared" ref="J3388:K3388" si="3388">SUBSTITUTE(H3388, ",", "")</f>
        <v>0</v>
      </c>
      <c r="K3388" s="5" t="str">
        <f t="shared" si="3388"/>
        <v>Rp0</v>
      </c>
      <c r="L3388" s="5" t="str">
        <f t="shared" si="3"/>
        <v>0</v>
      </c>
    </row>
    <row r="3389">
      <c r="A3389" s="6" t="s">
        <v>4715</v>
      </c>
      <c r="B3389" s="7" t="str">
        <f>HYPERLINK("https://shopee.co.id/Pixy-White-Aqua-Hydra-Moist-Essence-i.30736001.3692208122", "https://shopee.co.id/Pixy-White-Aqua-Hydra-Moist-Essence-i.30736001.3692208122")</f>
        <v>https://shopee.co.id/Pixy-White-Aqua-Hydra-Moist-Essence-i.30736001.3692208122</v>
      </c>
      <c r="C3389" s="6" t="s">
        <v>1398</v>
      </c>
      <c r="D3389" s="6" t="s">
        <v>335</v>
      </c>
      <c r="E3389" s="6" t="s">
        <v>12</v>
      </c>
      <c r="F3389" s="6" t="s">
        <v>13</v>
      </c>
      <c r="G3389" s="6" t="s">
        <v>36</v>
      </c>
      <c r="H3389" s="8" t="s">
        <v>3981</v>
      </c>
      <c r="I3389" s="9">
        <v>0.0</v>
      </c>
      <c r="J3389" s="5" t="str">
        <f t="shared" ref="J3389:K3389" si="3389">SUBSTITUTE(H3389, ",", "")</f>
        <v>0</v>
      </c>
      <c r="K3389" s="5" t="str">
        <f t="shared" si="3389"/>
        <v>Rp0</v>
      </c>
      <c r="L3389" s="5" t="str">
        <f t="shared" si="3"/>
        <v>0</v>
      </c>
    </row>
    <row r="3390">
      <c r="A3390" s="6" t="s">
        <v>4715</v>
      </c>
      <c r="B3390" s="7" t="str">
        <f>HYPERLINK("https://shopee.co.id/Pixy-White-Aqua-Hydra-Moist-Essence-i.65323877.6894819908", "https://shopee.co.id/Pixy-White-Aqua-Hydra-Moist-Essence-i.65323877.6894819908")</f>
        <v>https://shopee.co.id/Pixy-White-Aqua-Hydra-Moist-Essence-i.65323877.6894819908</v>
      </c>
      <c r="C3390" s="6" t="s">
        <v>1398</v>
      </c>
      <c r="D3390" s="6" t="s">
        <v>1600</v>
      </c>
      <c r="E3390" s="6" t="s">
        <v>12</v>
      </c>
      <c r="F3390" s="6" t="s">
        <v>13</v>
      </c>
      <c r="G3390" s="6" t="s">
        <v>296</v>
      </c>
      <c r="H3390" s="8" t="s">
        <v>3981</v>
      </c>
      <c r="I3390" s="9">
        <v>0.0</v>
      </c>
      <c r="J3390" s="5" t="str">
        <f t="shared" ref="J3390:K3390" si="3390">SUBSTITUTE(H3390, ",", "")</f>
        <v>0</v>
      </c>
      <c r="K3390" s="5" t="str">
        <f t="shared" si="3390"/>
        <v>Rp0</v>
      </c>
      <c r="L3390" s="5" t="str">
        <f t="shared" si="3"/>
        <v>0</v>
      </c>
    </row>
    <row r="3391">
      <c r="A3391" s="6" t="s">
        <v>4716</v>
      </c>
      <c r="B3391" s="7" t="str">
        <f>HYPERLINK("https://shopee.co.id/PIXY-White-Aqua-Hydra-Moist-Essence-125ml-i.68111.4478964974", "https://shopee.co.id/PIXY-White-Aqua-Hydra-Moist-Essence-125ml-i.68111.4478964974")</f>
        <v>https://shopee.co.id/PIXY-White-Aqua-Hydra-Moist-Essence-125ml-i.68111.4478964974</v>
      </c>
      <c r="C3391" s="6" t="s">
        <v>1398</v>
      </c>
      <c r="D3391" s="6" t="s">
        <v>441</v>
      </c>
      <c r="E3391" s="6" t="s">
        <v>12</v>
      </c>
      <c r="F3391" s="6" t="s">
        <v>13</v>
      </c>
      <c r="G3391" s="6" t="s">
        <v>130</v>
      </c>
      <c r="H3391" s="8" t="s">
        <v>3981</v>
      </c>
      <c r="I3391" s="9">
        <v>0.0</v>
      </c>
      <c r="J3391" s="5" t="str">
        <f t="shared" ref="J3391:K3391" si="3391">SUBSTITUTE(H3391, ",", "")</f>
        <v>0</v>
      </c>
      <c r="K3391" s="5" t="str">
        <f t="shared" si="3391"/>
        <v>Rp0</v>
      </c>
      <c r="L3391" s="5" t="str">
        <f t="shared" si="3"/>
        <v>0</v>
      </c>
    </row>
    <row r="3392">
      <c r="A3392" s="6" t="s">
        <v>4717</v>
      </c>
      <c r="B3392" s="7" t="str">
        <f>HYPERLINK("https://shopee.co.id/Placentor-Serum-30-ml-i.36998337.6278289782", "https://shopee.co.id/Placentor-Serum-30-ml-i.36998337.6278289782")</f>
        <v>https://shopee.co.id/Placentor-Serum-30-ml-i.36998337.6278289782</v>
      </c>
      <c r="C3392" s="6" t="s">
        <v>2346</v>
      </c>
      <c r="D3392" s="6" t="s">
        <v>2449</v>
      </c>
      <c r="E3392" s="6" t="s">
        <v>12</v>
      </c>
      <c r="F3392" s="6" t="s">
        <v>13</v>
      </c>
      <c r="G3392" s="6" t="s">
        <v>98</v>
      </c>
      <c r="H3392" s="8" t="s">
        <v>3981</v>
      </c>
      <c r="I3392" s="9">
        <v>0.0</v>
      </c>
      <c r="J3392" s="5" t="str">
        <f t="shared" ref="J3392:K3392" si="3392">SUBSTITUTE(H3392, ",", "")</f>
        <v>0</v>
      </c>
      <c r="K3392" s="5" t="str">
        <f t="shared" si="3392"/>
        <v>Rp0</v>
      </c>
      <c r="L3392" s="5" t="str">
        <f t="shared" si="3"/>
        <v>0</v>
      </c>
    </row>
    <row r="3393">
      <c r="A3393" s="6" t="s">
        <v>4718</v>
      </c>
      <c r="B3393" s="7" t="str">
        <f>HYPERLINK("https://shopee.co.id/POND-S-White-Beauty-Perfect-Potion-Essence-50Ml-i.187117294.5548079373", "https://shopee.co.id/POND-S-White-Beauty-Perfect-Potion-Essence-50Ml-i.187117294.5548079373")</f>
        <v>https://shopee.co.id/POND-S-White-Beauty-Perfect-Potion-Essence-50Ml-i.187117294.5548079373</v>
      </c>
      <c r="C3393" s="6" t="s">
        <v>325</v>
      </c>
      <c r="D3393" s="6" t="s">
        <v>2366</v>
      </c>
      <c r="E3393" s="6" t="s">
        <v>12</v>
      </c>
      <c r="F3393" s="6" t="s">
        <v>13</v>
      </c>
      <c r="G3393" s="6" t="s">
        <v>469</v>
      </c>
      <c r="H3393" s="8" t="s">
        <v>3981</v>
      </c>
      <c r="I3393" s="9">
        <v>0.0</v>
      </c>
      <c r="J3393" s="5" t="str">
        <f t="shared" ref="J3393:K3393" si="3393">SUBSTITUTE(H3393, ",", "")</f>
        <v>0</v>
      </c>
      <c r="K3393" s="5" t="str">
        <f t="shared" si="3393"/>
        <v>Rp0</v>
      </c>
      <c r="L3393" s="5" t="str">
        <f t="shared" si="3"/>
        <v>0</v>
      </c>
    </row>
    <row r="3394">
      <c r="A3394" s="6" t="s">
        <v>4719</v>
      </c>
      <c r="B3394" s="7" t="str">
        <f>HYPERLINK("https://shopee.co.id/Pond-S-Age-Miracle-Youthful-Essence-30-Ml-Free-Sheet-Mask-i.14318452.8432525235", "https://shopee.co.id/Pond-S-Age-Miracle-Youthful-Essence-30-Ml-Free-Sheet-Mask-i.14318452.8432525235")</f>
        <v>https://shopee.co.id/Pond-S-Age-Miracle-Youthful-Essence-30-Ml-Free-Sheet-Mask-i.14318452.8432525235</v>
      </c>
      <c r="C3394" s="6" t="s">
        <v>325</v>
      </c>
      <c r="D3394" s="6" t="s">
        <v>326</v>
      </c>
      <c r="E3394" s="6" t="s">
        <v>12</v>
      </c>
      <c r="F3394" s="6" t="s">
        <v>13</v>
      </c>
      <c r="G3394" s="6" t="s">
        <v>296</v>
      </c>
      <c r="H3394" s="8" t="s">
        <v>3981</v>
      </c>
      <c r="I3394" s="9">
        <v>0.0</v>
      </c>
      <c r="J3394" s="5" t="str">
        <f t="shared" ref="J3394:K3394" si="3394">SUBSTITUTE(H3394, ",", "")</f>
        <v>0</v>
      </c>
      <c r="K3394" s="5" t="str">
        <f t="shared" si="3394"/>
        <v>Rp0</v>
      </c>
      <c r="L3394" s="5" t="str">
        <f t="shared" si="3"/>
        <v>0</v>
      </c>
    </row>
    <row r="3395">
      <c r="A3395" s="6" t="s">
        <v>4720</v>
      </c>
      <c r="B3395" s="7" t="str">
        <f>HYPERLINK("https://shopee.co.id/Pond-s-White-Beauty-Perfect-Potion-Essence-110ml-i.186214521.5231720114", "https://shopee.co.id/Pond-s-White-Beauty-Perfect-Potion-Essence-110ml-i.186214521.5231720114")</f>
        <v>https://shopee.co.id/Pond-s-White-Beauty-Perfect-Potion-Essence-110ml-i.186214521.5231720114</v>
      </c>
      <c r="C3395" s="6" t="s">
        <v>325</v>
      </c>
      <c r="D3395" s="6" t="s">
        <v>2293</v>
      </c>
      <c r="E3395" s="6" t="s">
        <v>12</v>
      </c>
      <c r="F3395" s="6" t="s">
        <v>13</v>
      </c>
      <c r="G3395" s="6" t="s">
        <v>61</v>
      </c>
      <c r="H3395" s="8" t="s">
        <v>3981</v>
      </c>
      <c r="I3395" s="9">
        <v>0.0</v>
      </c>
      <c r="J3395" s="5" t="str">
        <f t="shared" ref="J3395:K3395" si="3395">SUBSTITUTE(H3395, ",", "")</f>
        <v>0</v>
      </c>
      <c r="K3395" s="5" t="str">
        <f t="shared" si="3395"/>
        <v>Rp0</v>
      </c>
      <c r="L3395" s="5" t="str">
        <f t="shared" si="3"/>
        <v>0</v>
      </c>
    </row>
    <row r="3396">
      <c r="A3396" s="6" t="s">
        <v>4721</v>
      </c>
      <c r="B3396" s="7" t="str">
        <f>HYPERLINK("https://shopee.co.id/Ponds-Age-Miracle-Serum-Wajah-Retinol-Youthful-Glow-30-mL-i.65323877.6394451600", "https://shopee.co.id/Ponds-Age-Miracle-Serum-Wajah-Retinol-Youthful-Glow-30-mL-i.65323877.6394451600")</f>
        <v>https://shopee.co.id/Ponds-Age-Miracle-Serum-Wajah-Retinol-Youthful-Glow-30-mL-i.65323877.6394451600</v>
      </c>
      <c r="C3396" s="6" t="s">
        <v>325</v>
      </c>
      <c r="D3396" s="6" t="s">
        <v>1600</v>
      </c>
      <c r="E3396" s="6" t="s">
        <v>12</v>
      </c>
      <c r="F3396" s="6" t="s">
        <v>13</v>
      </c>
      <c r="G3396" s="6" t="s">
        <v>296</v>
      </c>
      <c r="H3396" s="8" t="s">
        <v>3981</v>
      </c>
      <c r="I3396" s="9">
        <v>0.0</v>
      </c>
      <c r="J3396" s="5" t="str">
        <f t="shared" ref="J3396:K3396" si="3396">SUBSTITUTE(H3396, ",", "")</f>
        <v>0</v>
      </c>
      <c r="K3396" s="5" t="str">
        <f t="shared" si="3396"/>
        <v>Rp0</v>
      </c>
      <c r="L3396" s="5" t="str">
        <f t="shared" si="3"/>
        <v>0</v>
      </c>
    </row>
    <row r="3397">
      <c r="A3397" s="6" t="s">
        <v>4722</v>
      </c>
      <c r="B3397" s="7" t="str">
        <f>HYPERLINK("https://shopee.co.id/Ponds-Age-Miracle-Ultimate-Youth-Retinol-Essence-30-G-i.65323877.10218158931", "https://shopee.co.id/Ponds-Age-Miracle-Ultimate-Youth-Retinol-Essence-30-G-i.65323877.10218158931")</f>
        <v>https://shopee.co.id/Ponds-Age-Miracle-Ultimate-Youth-Retinol-Essence-30-G-i.65323877.10218158931</v>
      </c>
      <c r="C3397" s="6" t="s">
        <v>325</v>
      </c>
      <c r="D3397" s="6" t="s">
        <v>1600</v>
      </c>
      <c r="E3397" s="6" t="s">
        <v>12</v>
      </c>
      <c r="F3397" s="6" t="s">
        <v>13</v>
      </c>
      <c r="G3397" s="6" t="s">
        <v>296</v>
      </c>
      <c r="H3397" s="8" t="s">
        <v>3981</v>
      </c>
      <c r="I3397" s="9">
        <v>0.0</v>
      </c>
      <c r="J3397" s="5" t="str">
        <f t="shared" ref="J3397:K3397" si="3397">SUBSTITUTE(H3397, ",", "")</f>
        <v>0</v>
      </c>
      <c r="K3397" s="5" t="str">
        <f t="shared" si="3397"/>
        <v>Rp0</v>
      </c>
      <c r="L3397" s="5" t="str">
        <f t="shared" si="3"/>
        <v>0</v>
      </c>
    </row>
    <row r="3398">
      <c r="A3398" s="6" t="s">
        <v>4722</v>
      </c>
      <c r="B3398" s="7" t="str">
        <f>HYPERLINK("https://shopee.co.id/Ponds-Age-Miracle-Ultimate-Youth-Retinol-Essence-30-G-i.14318452.4169373163", "https://shopee.co.id/Ponds-Age-Miracle-Ultimate-Youth-Retinol-Essence-30-G-i.14318452.4169373163")</f>
        <v>https://shopee.co.id/Ponds-Age-Miracle-Ultimate-Youth-Retinol-Essence-30-G-i.14318452.4169373163</v>
      </c>
      <c r="C3398" s="6" t="s">
        <v>325</v>
      </c>
      <c r="D3398" s="6" t="s">
        <v>326</v>
      </c>
      <c r="E3398" s="6" t="s">
        <v>12</v>
      </c>
      <c r="F3398" s="6" t="s">
        <v>13</v>
      </c>
      <c r="G3398" s="6" t="s">
        <v>296</v>
      </c>
      <c r="H3398" s="8" t="s">
        <v>3981</v>
      </c>
      <c r="I3398" s="9">
        <v>0.0</v>
      </c>
      <c r="J3398" s="5" t="str">
        <f t="shared" ref="J3398:K3398" si="3398">SUBSTITUTE(H3398, ",", "")</f>
        <v>0</v>
      </c>
      <c r="K3398" s="5" t="str">
        <f t="shared" si="3398"/>
        <v>Rp0</v>
      </c>
      <c r="L3398" s="5" t="str">
        <f t="shared" si="3"/>
        <v>0</v>
      </c>
    </row>
    <row r="3399">
      <c r="A3399" s="6" t="s">
        <v>4723</v>
      </c>
      <c r="B3399" s="7" t="str">
        <f>HYPERLINK("https://shopee.co.id/Ponds-White-Beauty-Serum-Burst-Cream-20gr-i.186214521.6431339278", "https://shopee.co.id/Ponds-White-Beauty-Serum-Burst-Cream-20gr-i.186214521.6431339278")</f>
        <v>https://shopee.co.id/Ponds-White-Beauty-Serum-Burst-Cream-20gr-i.186214521.6431339278</v>
      </c>
      <c r="C3399" s="6" t="s">
        <v>325</v>
      </c>
      <c r="D3399" s="6" t="s">
        <v>2293</v>
      </c>
      <c r="E3399" s="6" t="s">
        <v>12</v>
      </c>
      <c r="F3399" s="6" t="s">
        <v>13</v>
      </c>
      <c r="G3399" s="6" t="s">
        <v>61</v>
      </c>
      <c r="H3399" s="8" t="s">
        <v>3981</v>
      </c>
      <c r="I3399" s="9">
        <v>0.0</v>
      </c>
      <c r="J3399" s="5" t="str">
        <f t="shared" ref="J3399:K3399" si="3399">SUBSTITUTE(H3399, ",", "")</f>
        <v>0</v>
      </c>
      <c r="K3399" s="5" t="str">
        <f t="shared" si="3399"/>
        <v>Rp0</v>
      </c>
      <c r="L3399" s="5" t="str">
        <f t="shared" si="3"/>
        <v>0</v>
      </c>
    </row>
    <row r="3400">
      <c r="A3400" s="6" t="s">
        <v>4724</v>
      </c>
      <c r="B3400" s="7" t="str">
        <f>HYPERLINK("https://shopee.co.id/Pratista-Retinol-Renewal-Serum-30ml-i.825870.8675921486", "https://shopee.co.id/Pratista-Retinol-Renewal-Serum-30ml-i.825870.8675921486")</f>
        <v>https://shopee.co.id/Pratista-Retinol-Renewal-Serum-30ml-i.825870.8675921486</v>
      </c>
      <c r="C3400" s="6" t="s">
        <v>4725</v>
      </c>
      <c r="D3400" s="6" t="s">
        <v>1184</v>
      </c>
      <c r="E3400" s="6" t="s">
        <v>12</v>
      </c>
      <c r="F3400" s="6" t="s">
        <v>13</v>
      </c>
      <c r="G3400" s="6" t="s">
        <v>98</v>
      </c>
      <c r="H3400" s="8" t="s">
        <v>3981</v>
      </c>
      <c r="I3400" s="9">
        <v>0.0</v>
      </c>
      <c r="J3400" s="5" t="str">
        <f t="shared" ref="J3400:K3400" si="3400">SUBSTITUTE(H3400, ",", "")</f>
        <v>0</v>
      </c>
      <c r="K3400" s="5" t="str">
        <f t="shared" si="3400"/>
        <v>Rp0</v>
      </c>
      <c r="L3400" s="5" t="str">
        <f t="shared" si="3"/>
        <v>0</v>
      </c>
    </row>
    <row r="3401">
      <c r="A3401" s="6" t="s">
        <v>4726</v>
      </c>
      <c r="B3401" s="7" t="str">
        <f>HYPERLINK("https://shopee.co.id/Pratista-Vit-C-Serum-30ml-i.825870.3994061066", "https://shopee.co.id/Pratista-Vit-C-Serum-30ml-i.825870.3994061066")</f>
        <v>https://shopee.co.id/Pratista-Vit-C-Serum-30ml-i.825870.3994061066</v>
      </c>
      <c r="C3401" s="6" t="s">
        <v>4725</v>
      </c>
      <c r="D3401" s="6" t="s">
        <v>1184</v>
      </c>
      <c r="E3401" s="6" t="s">
        <v>12</v>
      </c>
      <c r="F3401" s="6" t="s">
        <v>13</v>
      </c>
      <c r="G3401" s="6" t="s">
        <v>21</v>
      </c>
      <c r="H3401" s="8" t="s">
        <v>3981</v>
      </c>
      <c r="I3401" s="9">
        <v>0.0</v>
      </c>
      <c r="J3401" s="5" t="str">
        <f t="shared" ref="J3401:K3401" si="3401">SUBSTITUTE(H3401, ",", "")</f>
        <v>0</v>
      </c>
      <c r="K3401" s="5" t="str">
        <f t="shared" si="3401"/>
        <v>Rp0</v>
      </c>
      <c r="L3401" s="5" t="str">
        <f t="shared" si="3"/>
        <v>0</v>
      </c>
    </row>
    <row r="3402">
      <c r="A3402" s="6" t="s">
        <v>4727</v>
      </c>
      <c r="B3402" s="7" t="str">
        <f>HYPERLINK("https://shopee.co.id/Probio-C-Spray-50-ML-i.353462148.7269693276", "https://shopee.co.id/Probio-C-Spray-50-ML-i.353462148.7269693276")</f>
        <v>https://shopee.co.id/Probio-C-Spray-50-ML-i.353462148.7269693276</v>
      </c>
      <c r="C3402" s="6" t="s">
        <v>2671</v>
      </c>
      <c r="D3402" s="6" t="s">
        <v>4639</v>
      </c>
      <c r="E3402" s="6" t="s">
        <v>12</v>
      </c>
      <c r="F3402" s="6" t="s">
        <v>13</v>
      </c>
      <c r="G3402" s="6" t="s">
        <v>945</v>
      </c>
      <c r="H3402" s="8" t="s">
        <v>3981</v>
      </c>
      <c r="I3402" s="9">
        <v>0.0</v>
      </c>
      <c r="J3402" s="5" t="str">
        <f t="shared" ref="J3402:K3402" si="3402">SUBSTITUTE(H3402, ",", "")</f>
        <v>0</v>
      </c>
      <c r="K3402" s="5" t="str">
        <f t="shared" si="3402"/>
        <v>Rp0</v>
      </c>
      <c r="L3402" s="5" t="str">
        <f t="shared" si="3"/>
        <v>0</v>
      </c>
    </row>
    <row r="3403">
      <c r="A3403" s="6" t="s">
        <v>4728</v>
      </c>
      <c r="B3403" s="7" t="str">
        <f>HYPERLINK("https://shopee.co.id/Promo-Dr-Ekles-Skincare-Serum-Vit-C-Kolagen-i.294944553.12004814910", "https://shopee.co.id/Promo-Dr-Ekles-Skincare-Serum-Vit-C-Kolagen-i.294944553.12004814910")</f>
        <v>https://shopee.co.id/Promo-Dr-Ekles-Skincare-Serum-Vit-C-Kolagen-i.294944553.12004814910</v>
      </c>
      <c r="C3403" s="6" t="s">
        <v>1487</v>
      </c>
      <c r="D3403" s="6" t="s">
        <v>1488</v>
      </c>
      <c r="E3403" s="6" t="s">
        <v>12</v>
      </c>
      <c r="F3403" s="6" t="s">
        <v>13</v>
      </c>
      <c r="G3403" s="6" t="s">
        <v>61</v>
      </c>
      <c r="H3403" s="8" t="s">
        <v>3981</v>
      </c>
      <c r="I3403" s="9">
        <v>0.0</v>
      </c>
      <c r="J3403" s="5" t="str">
        <f t="shared" ref="J3403:K3403" si="3403">SUBSTITUTE(H3403, ",", "")</f>
        <v>0</v>
      </c>
      <c r="K3403" s="5" t="str">
        <f t="shared" si="3403"/>
        <v>Rp0</v>
      </c>
      <c r="L3403" s="5" t="str">
        <f t="shared" si="3"/>
        <v>0</v>
      </c>
    </row>
    <row r="3404">
      <c r="A3404" s="6" t="s">
        <v>4729</v>
      </c>
      <c r="B3404" s="7" t="str">
        <f>HYPERLINK("https://shopee.co.id/PROMO-Vienka-Skin-Care-Skincare-Saffron-Shafron-Safron-Brightening-Serum-2-Pcs-BPOM-Halal-COD-i.332307361.9632168283", "https://shopee.co.id/PROMO-Vienka-Skin-Care-Skincare-Saffron-Shafron-Safron-Brightening-Serum-2-Pcs-BPOM-Halal-COD-i.332307361.9632168283")</f>
        <v>https://shopee.co.id/PROMO-Vienka-Skin-Care-Skincare-Saffron-Shafron-Safron-Brightening-Serum-2-Pcs-BPOM-Halal-COD-i.332307361.9632168283</v>
      </c>
      <c r="C3404" s="6" t="s">
        <v>2620</v>
      </c>
      <c r="D3404" s="6" t="s">
        <v>2621</v>
      </c>
      <c r="E3404" s="6" t="s">
        <v>12</v>
      </c>
      <c r="F3404" s="6" t="s">
        <v>13</v>
      </c>
      <c r="G3404" s="6" t="s">
        <v>296</v>
      </c>
      <c r="H3404" s="8" t="s">
        <v>3981</v>
      </c>
      <c r="I3404" s="9">
        <v>0.0</v>
      </c>
      <c r="J3404" s="5" t="str">
        <f t="shared" ref="J3404:K3404" si="3404">SUBSTITUTE(H3404, ",", "")</f>
        <v>0</v>
      </c>
      <c r="K3404" s="5" t="str">
        <f t="shared" si="3404"/>
        <v>Rp0</v>
      </c>
      <c r="L3404" s="5" t="str">
        <f t="shared" si="3"/>
        <v>0</v>
      </c>
    </row>
    <row r="3405">
      <c r="A3405" s="6" t="s">
        <v>4730</v>
      </c>
      <c r="B3405" s="7" t="str">
        <f>HYPERLINK("https://shopee.co.id/PURECA-Botanical-Evening-Primrose-Oil-Serum-Oil-Treatment-Pure-Oil-Acne-Serum-Wajah-i.16729119.8881522014", "https://shopee.co.id/PURECA-Botanical-Evening-Primrose-Oil-Serum-Oil-Treatment-Pure-Oil-Acne-Serum-Wajah-i.16729119.8881522014")</f>
        <v>https://shopee.co.id/PURECA-Botanical-Evening-Primrose-Oil-Serum-Oil-Treatment-Pure-Oil-Acne-Serum-Wajah-i.16729119.8881522014</v>
      </c>
      <c r="C3405" s="6" t="s">
        <v>3534</v>
      </c>
      <c r="D3405" s="6" t="s">
        <v>3535</v>
      </c>
      <c r="E3405" s="6" t="s">
        <v>12</v>
      </c>
      <c r="F3405" s="6" t="s">
        <v>13</v>
      </c>
      <c r="G3405" s="6" t="s">
        <v>36</v>
      </c>
      <c r="H3405" s="8" t="s">
        <v>3981</v>
      </c>
      <c r="I3405" s="9">
        <v>0.0</v>
      </c>
      <c r="J3405" s="5" t="str">
        <f t="shared" ref="J3405:K3405" si="3405">SUBSTITUTE(H3405, ",", "")</f>
        <v>0</v>
      </c>
      <c r="K3405" s="5" t="str">
        <f t="shared" si="3405"/>
        <v>Rp0</v>
      </c>
      <c r="L3405" s="5" t="str">
        <f t="shared" si="3"/>
        <v>0</v>
      </c>
    </row>
    <row r="3406">
      <c r="A3406" s="6" t="s">
        <v>4731</v>
      </c>
      <c r="B3406" s="7" t="str">
        <f>HYPERLINK("https://shopee.co.id/PURITO-Centella-Unscented-Serum-60ml-i.68111.9852395103", "https://shopee.co.id/PURITO-Centella-Unscented-Serum-60ml-i.68111.9852395103")</f>
        <v>https://shopee.co.id/PURITO-Centella-Unscented-Serum-60ml-i.68111.9852395103</v>
      </c>
      <c r="C3406" s="6" t="s">
        <v>1993</v>
      </c>
      <c r="D3406" s="6" t="s">
        <v>441</v>
      </c>
      <c r="E3406" s="6" t="s">
        <v>12</v>
      </c>
      <c r="F3406" s="6" t="s">
        <v>13</v>
      </c>
      <c r="G3406" s="6" t="s">
        <v>130</v>
      </c>
      <c r="H3406" s="8" t="s">
        <v>3981</v>
      </c>
      <c r="I3406" s="9">
        <v>0.0</v>
      </c>
      <c r="J3406" s="5" t="str">
        <f t="shared" ref="J3406:K3406" si="3406">SUBSTITUTE(H3406, ",", "")</f>
        <v>0</v>
      </c>
      <c r="K3406" s="5" t="str">
        <f t="shared" si="3406"/>
        <v>Rp0</v>
      </c>
      <c r="L3406" s="5" t="str">
        <f t="shared" si="3"/>
        <v>0</v>
      </c>
    </row>
    <row r="3407">
      <c r="A3407" s="6" t="s">
        <v>4732</v>
      </c>
      <c r="B3407" s="7" t="str">
        <f>HYPERLINK("https://shopee.co.id/Purito-Pure-Vitamin-C-Serum-60ml-i.825870.3646111635", "https://shopee.co.id/Purito-Pure-Vitamin-C-Serum-60ml-i.825870.3646111635")</f>
        <v>https://shopee.co.id/Purito-Pure-Vitamin-C-Serum-60ml-i.825870.3646111635</v>
      </c>
      <c r="C3407" s="6" t="s">
        <v>1993</v>
      </c>
      <c r="D3407" s="6" t="s">
        <v>1184</v>
      </c>
      <c r="E3407" s="6" t="s">
        <v>12</v>
      </c>
      <c r="F3407" s="6" t="s">
        <v>13</v>
      </c>
      <c r="G3407" s="6" t="s">
        <v>21</v>
      </c>
      <c r="H3407" s="8" t="s">
        <v>3981</v>
      </c>
      <c r="I3407" s="9">
        <v>0.0</v>
      </c>
      <c r="J3407" s="5" t="str">
        <f t="shared" ref="J3407:K3407" si="3407">SUBSTITUTE(H3407, ",", "")</f>
        <v>0</v>
      </c>
      <c r="K3407" s="5" t="str">
        <f t="shared" si="3407"/>
        <v>Rp0</v>
      </c>
      <c r="L3407" s="5" t="str">
        <f t="shared" si="3"/>
        <v>0</v>
      </c>
    </row>
    <row r="3408">
      <c r="A3408" s="6" t="s">
        <v>4733</v>
      </c>
      <c r="B3408" s="7" t="str">
        <f>HYPERLINK("https://shopee.co.id/Purivera-Botanicals-Blue-Grapeseed-Serum-Oil-20ml-i.10689.8379153604", "https://shopee.co.id/Purivera-Botanicals-Blue-Grapeseed-Serum-Oil-20ml-i.10689.8379153604")</f>
        <v>https://shopee.co.id/Purivera-Botanicals-Blue-Grapeseed-Serum-Oil-20ml-i.10689.8379153604</v>
      </c>
      <c r="C3408" s="6" t="s">
        <v>428</v>
      </c>
      <c r="D3408" s="6" t="s">
        <v>745</v>
      </c>
      <c r="E3408" s="6" t="s">
        <v>12</v>
      </c>
      <c r="F3408" s="6" t="s">
        <v>13</v>
      </c>
      <c r="G3408" s="6" t="s">
        <v>61</v>
      </c>
      <c r="H3408" s="8" t="s">
        <v>3981</v>
      </c>
      <c r="I3408" s="9">
        <v>0.0</v>
      </c>
      <c r="J3408" s="5" t="str">
        <f t="shared" ref="J3408:K3408" si="3408">SUBSTITUTE(H3408, ",", "")</f>
        <v>0</v>
      </c>
      <c r="K3408" s="5" t="str">
        <f t="shared" si="3408"/>
        <v>Rp0</v>
      </c>
      <c r="L3408" s="5" t="str">
        <f t="shared" si="3"/>
        <v>0</v>
      </c>
    </row>
    <row r="3409">
      <c r="A3409" s="6" t="s">
        <v>4734</v>
      </c>
      <c r="B3409" s="7" t="str">
        <f>HYPERLINK("https://shopee.co.id/Purivera-Botanicals-Everlasting-Tamanu-Serum-Oil-20ml-i.10689.6494803225", "https://shopee.co.id/Purivera-Botanicals-Everlasting-Tamanu-Serum-Oil-20ml-i.10689.6494803225")</f>
        <v>https://shopee.co.id/Purivera-Botanicals-Everlasting-Tamanu-Serum-Oil-20ml-i.10689.6494803225</v>
      </c>
      <c r="C3409" s="6" t="s">
        <v>940</v>
      </c>
      <c r="D3409" s="6" t="s">
        <v>745</v>
      </c>
      <c r="E3409" s="6" t="s">
        <v>12</v>
      </c>
      <c r="F3409" s="6" t="s">
        <v>13</v>
      </c>
      <c r="G3409" s="6" t="s">
        <v>61</v>
      </c>
      <c r="H3409" s="8" t="s">
        <v>3981</v>
      </c>
      <c r="I3409" s="9">
        <v>0.0</v>
      </c>
      <c r="J3409" s="5" t="str">
        <f t="shared" ref="J3409:K3409" si="3409">SUBSTITUTE(H3409, ",", "")</f>
        <v>0</v>
      </c>
      <c r="K3409" s="5" t="str">
        <f t="shared" si="3409"/>
        <v>Rp0</v>
      </c>
      <c r="L3409" s="5" t="str">
        <f t="shared" si="3"/>
        <v>0</v>
      </c>
    </row>
    <row r="3410">
      <c r="A3410" s="6" t="s">
        <v>4735</v>
      </c>
      <c r="B3410" s="7" t="str">
        <f>HYPERLINK("https://shopee.co.id/Purivera-Combo-to-Brighten-your-Skindependence-Willow-bark-2-Chromabright-i.43724442.11329781001", "https://shopee.co.id/Purivera-Combo-to-Brighten-your-Skindependence-Willow-bark-2-Chromabright-i.43724442.11329781001")</f>
        <v>https://shopee.co.id/Purivera-Combo-to-Brighten-your-Skindependence-Willow-bark-2-Chromabright-i.43724442.11329781001</v>
      </c>
      <c r="C3410" s="6" t="s">
        <v>428</v>
      </c>
      <c r="D3410" s="6" t="s">
        <v>429</v>
      </c>
      <c r="E3410" s="6" t="s">
        <v>12</v>
      </c>
      <c r="F3410" s="6" t="s">
        <v>13</v>
      </c>
      <c r="G3410" s="6" t="s">
        <v>61</v>
      </c>
      <c r="H3410" s="8" t="s">
        <v>3981</v>
      </c>
      <c r="I3410" s="9">
        <v>0.0</v>
      </c>
      <c r="J3410" s="5" t="str">
        <f t="shared" ref="J3410:K3410" si="3410">SUBSTITUTE(H3410, ",", "")</f>
        <v>0</v>
      </c>
      <c r="K3410" s="5" t="str">
        <f t="shared" si="3410"/>
        <v>Rp0</v>
      </c>
      <c r="L3410" s="5" t="str">
        <f t="shared" si="3"/>
        <v>0</v>
      </c>
    </row>
    <row r="3411">
      <c r="A3411" s="6" t="s">
        <v>4736</v>
      </c>
      <c r="B3411" s="7" t="str">
        <f>HYPERLINK("https://shopee.co.id/Purivera-Double-Combo-for-Ageless-Sea-Buckthorn-Bakuchiol-Ceramide-3--i.43724442.9085851064", "https://shopee.co.id/Purivera-Double-Combo-for-Ageless-Sea-Buckthorn-Bakuchiol-Ceramide-3--i.43724442.9085851064")</f>
        <v>https://shopee.co.id/Purivera-Double-Combo-for-Ageless-Sea-Buckthorn-Bakuchiol-Ceramide-3--i.43724442.9085851064</v>
      </c>
      <c r="C3411" s="6" t="s">
        <v>428</v>
      </c>
      <c r="D3411" s="6" t="s">
        <v>429</v>
      </c>
      <c r="E3411" s="6" t="s">
        <v>12</v>
      </c>
      <c r="F3411" s="6" t="s">
        <v>13</v>
      </c>
      <c r="G3411" s="6" t="s">
        <v>61</v>
      </c>
      <c r="H3411" s="8" t="s">
        <v>3981</v>
      </c>
      <c r="I3411" s="9">
        <v>0.0</v>
      </c>
      <c r="J3411" s="5" t="str">
        <f t="shared" ref="J3411:K3411" si="3411">SUBSTITUTE(H3411, ",", "")</f>
        <v>0</v>
      </c>
      <c r="K3411" s="5" t="str">
        <f t="shared" si="3411"/>
        <v>Rp0</v>
      </c>
      <c r="L3411" s="5" t="str">
        <f t="shared" si="3"/>
        <v>0</v>
      </c>
    </row>
    <row r="3412">
      <c r="A3412" s="6" t="s">
        <v>4737</v>
      </c>
      <c r="B3412" s="7" t="str">
        <f>HYPERLINK("https://shopee.co.id/Purivera-Sea-Ceramide-Serum-Anti-Aging-Skin-Barrier-20-ml-i.1774800.9078397833", "https://shopee.co.id/Purivera-Sea-Ceramide-Serum-Anti-Aging-Skin-Barrier-20-ml-i.1774800.9078397833")</f>
        <v>https://shopee.co.id/Purivera-Sea-Ceramide-Serum-Anti-Aging-Skin-Barrier-20-ml-i.1774800.9078397833</v>
      </c>
      <c r="C3412" s="6" t="s">
        <v>428</v>
      </c>
      <c r="D3412" s="6" t="s">
        <v>4738</v>
      </c>
      <c r="E3412" s="6" t="s">
        <v>12</v>
      </c>
      <c r="F3412" s="6" t="s">
        <v>13</v>
      </c>
      <c r="G3412" s="6" t="s">
        <v>61</v>
      </c>
      <c r="H3412" s="8" t="s">
        <v>3981</v>
      </c>
      <c r="I3412" s="9">
        <v>0.0</v>
      </c>
      <c r="J3412" s="5" t="str">
        <f t="shared" ref="J3412:K3412" si="3412">SUBSTITUTE(H3412, ",", "")</f>
        <v>0</v>
      </c>
      <c r="K3412" s="5" t="str">
        <f t="shared" si="3412"/>
        <v>Rp0</v>
      </c>
      <c r="L3412" s="5" t="str">
        <f t="shared" si="3"/>
        <v>0</v>
      </c>
    </row>
    <row r="3413">
      <c r="A3413" s="6" t="s">
        <v>4739</v>
      </c>
      <c r="B3413" s="7" t="str">
        <f>HYPERLINK("https://shopee.co.id/Pyunkang-Yul-Moisture-Serum-100ml-i.825870.2262685664", "https://shopee.co.id/Pyunkang-Yul-Moisture-Serum-100ml-i.825870.2262685664")</f>
        <v>https://shopee.co.id/Pyunkang-Yul-Moisture-Serum-100ml-i.825870.2262685664</v>
      </c>
      <c r="C3413" s="6" t="s">
        <v>475</v>
      </c>
      <c r="D3413" s="6" t="s">
        <v>1184</v>
      </c>
      <c r="E3413" s="6" t="s">
        <v>12</v>
      </c>
      <c r="F3413" s="6" t="s">
        <v>13</v>
      </c>
      <c r="G3413" s="6" t="s">
        <v>21</v>
      </c>
      <c r="H3413" s="8" t="s">
        <v>3981</v>
      </c>
      <c r="I3413" s="9">
        <v>0.0</v>
      </c>
      <c r="J3413" s="5" t="str">
        <f t="shared" ref="J3413:K3413" si="3413">SUBSTITUTE(H3413, ",", "")</f>
        <v>0</v>
      </c>
      <c r="K3413" s="5" t="str">
        <f t="shared" si="3413"/>
        <v>Rp0</v>
      </c>
      <c r="L3413" s="5" t="str">
        <f t="shared" si="3"/>
        <v>0</v>
      </c>
    </row>
    <row r="3414">
      <c r="A3414" s="6" t="s">
        <v>4740</v>
      </c>
      <c r="B3414" s="7" t="str">
        <f>HYPERLINK("https://shopee.co.id/PYUNKANG-YUL-Moisture-Serum-100ml--i.68111.1199376084", "https://shopee.co.id/PYUNKANG-YUL-Moisture-Serum-100ml--i.68111.1199376084")</f>
        <v>https://shopee.co.id/PYUNKANG-YUL-Moisture-Serum-100ml--i.68111.1199376084</v>
      </c>
      <c r="C3414" s="6" t="s">
        <v>475</v>
      </c>
      <c r="D3414" s="6" t="s">
        <v>441</v>
      </c>
      <c r="E3414" s="6" t="s">
        <v>12</v>
      </c>
      <c r="F3414" s="6" t="s">
        <v>13</v>
      </c>
      <c r="G3414" s="6" t="s">
        <v>130</v>
      </c>
      <c r="H3414" s="8" t="s">
        <v>3981</v>
      </c>
      <c r="I3414" s="9">
        <v>0.0</v>
      </c>
      <c r="J3414" s="5" t="str">
        <f t="shared" ref="J3414:K3414" si="3414">SUBSTITUTE(H3414, ",", "")</f>
        <v>0</v>
      </c>
      <c r="K3414" s="5" t="str">
        <f t="shared" si="3414"/>
        <v>Rp0</v>
      </c>
      <c r="L3414" s="5" t="str">
        <f t="shared" si="3"/>
        <v>0</v>
      </c>
    </row>
    <row r="3415">
      <c r="A3415" s="6" t="s">
        <v>3319</v>
      </c>
      <c r="B3415" s="7" t="str">
        <f>HYPERLINK("https://shopee.co.id/Pyunkang-Yul-Moisture-Serum-100ml-i.125116082.2756941002", "https://shopee.co.id/Pyunkang-Yul-Moisture-Serum-100ml-i.125116082.2756941002")</f>
        <v>https://shopee.co.id/Pyunkang-Yul-Moisture-Serum-100ml-i.125116082.2756941002</v>
      </c>
      <c r="C3415" s="6" t="s">
        <v>475</v>
      </c>
      <c r="D3415" s="6" t="s">
        <v>713</v>
      </c>
      <c r="E3415" s="6" t="s">
        <v>12</v>
      </c>
      <c r="F3415" s="6" t="s">
        <v>13</v>
      </c>
      <c r="G3415" s="6" t="s">
        <v>61</v>
      </c>
      <c r="H3415" s="8" t="s">
        <v>3981</v>
      </c>
      <c r="I3415" s="9">
        <v>0.0</v>
      </c>
      <c r="J3415" s="5" t="str">
        <f t="shared" ref="J3415:K3415" si="3415">SUBSTITUTE(H3415, ",", "")</f>
        <v>0</v>
      </c>
      <c r="K3415" s="5" t="str">
        <f t="shared" si="3415"/>
        <v>Rp0</v>
      </c>
      <c r="L3415" s="5" t="str">
        <f t="shared" si="3"/>
        <v>0</v>
      </c>
    </row>
    <row r="3416">
      <c r="A3416" s="6" t="s">
        <v>4741</v>
      </c>
      <c r="B3416" s="7" t="str">
        <f>HYPERLINK("https://shopee.co.id/QUESELLA-Galactomyces-Treatment-Essence-30ml-i.68111.5411852911", "https://shopee.co.id/QUESELLA-Galactomyces-Treatment-Essence-30ml-i.68111.5411852911")</f>
        <v>https://shopee.co.id/QUESELLA-Galactomyces-Treatment-Essence-30ml-i.68111.5411852911</v>
      </c>
      <c r="C3416" s="6" t="s">
        <v>3305</v>
      </c>
      <c r="D3416" s="6" t="s">
        <v>441</v>
      </c>
      <c r="E3416" s="6" t="s">
        <v>12</v>
      </c>
      <c r="F3416" s="6" t="s">
        <v>13</v>
      </c>
      <c r="G3416" s="6" t="s">
        <v>130</v>
      </c>
      <c r="H3416" s="8" t="s">
        <v>3981</v>
      </c>
      <c r="I3416" s="9">
        <v>0.0</v>
      </c>
      <c r="J3416" s="5" t="str">
        <f t="shared" ref="J3416:K3416" si="3416">SUBSTITUTE(H3416, ",", "")</f>
        <v>0</v>
      </c>
      <c r="K3416" s="5" t="str">
        <f t="shared" si="3416"/>
        <v>Rp0</v>
      </c>
      <c r="L3416" s="5" t="str">
        <f t="shared" si="3"/>
        <v>0</v>
      </c>
    </row>
    <row r="3417">
      <c r="A3417" s="6" t="s">
        <v>4742</v>
      </c>
      <c r="B3417" s="7" t="str">
        <f>HYPERLINK("https://shopee.co.id/Radi-Skin-Duo-Serum-i.147850476.3539821522", "https://shopee.co.id/Radi-Skin-Duo-Serum-i.147850476.3539821522")</f>
        <v>https://shopee.co.id/Radi-Skin-Duo-Serum-i.147850476.3539821522</v>
      </c>
      <c r="C3417" s="6" t="s">
        <v>1879</v>
      </c>
      <c r="D3417" s="6" t="s">
        <v>1880</v>
      </c>
      <c r="E3417" s="6" t="s">
        <v>12</v>
      </c>
      <c r="F3417" s="6" t="s">
        <v>13</v>
      </c>
      <c r="G3417" s="6" t="s">
        <v>61</v>
      </c>
      <c r="H3417" s="8" t="s">
        <v>3981</v>
      </c>
      <c r="I3417" s="9">
        <v>0.0</v>
      </c>
      <c r="J3417" s="5" t="str">
        <f t="shared" ref="J3417:K3417" si="3417">SUBSTITUTE(H3417, ",", "")</f>
        <v>0</v>
      </c>
      <c r="K3417" s="5" t="str">
        <f t="shared" si="3417"/>
        <v>Rp0</v>
      </c>
      <c r="L3417" s="5" t="str">
        <f t="shared" si="3"/>
        <v>0</v>
      </c>
    </row>
    <row r="3418">
      <c r="A3418" s="6" t="s">
        <v>4743</v>
      </c>
      <c r="B3418" s="7" t="str">
        <f>HYPERLINK("https://shopee.co.id/Radi-Skin-Niacinamide-Clear-Serum-20ml-i.825870.2712966741", "https://shopee.co.id/Radi-Skin-Niacinamide-Clear-Serum-20ml-i.825870.2712966741")</f>
        <v>https://shopee.co.id/Radi-Skin-Niacinamide-Clear-Serum-20ml-i.825870.2712966741</v>
      </c>
      <c r="C3418" s="6" t="s">
        <v>1879</v>
      </c>
      <c r="D3418" s="6" t="s">
        <v>1184</v>
      </c>
      <c r="E3418" s="6" t="s">
        <v>12</v>
      </c>
      <c r="F3418" s="6" t="s">
        <v>13</v>
      </c>
      <c r="G3418" s="6" t="s">
        <v>21</v>
      </c>
      <c r="H3418" s="8" t="s">
        <v>3981</v>
      </c>
      <c r="I3418" s="9">
        <v>0.0</v>
      </c>
      <c r="J3418" s="5" t="str">
        <f t="shared" ref="J3418:K3418" si="3418">SUBSTITUTE(H3418, ",", "")</f>
        <v>0</v>
      </c>
      <c r="K3418" s="5" t="str">
        <f t="shared" si="3418"/>
        <v>Rp0</v>
      </c>
      <c r="L3418" s="5" t="str">
        <f t="shared" si="3"/>
        <v>0</v>
      </c>
    </row>
    <row r="3419">
      <c r="A3419" s="6" t="s">
        <v>4744</v>
      </c>
      <c r="B3419" s="7" t="str">
        <f>HYPERLINK("https://shopee.co.id/Radi-Skin-Niacinamide-Clear-Serum-X-Vitamin-C-Glow-Serum-i.147850476.8077031054", "https://shopee.co.id/Radi-Skin-Niacinamide-Clear-Serum-X-Vitamin-C-Glow-Serum-i.147850476.8077031054")</f>
        <v>https://shopee.co.id/Radi-Skin-Niacinamide-Clear-Serum-X-Vitamin-C-Glow-Serum-i.147850476.8077031054</v>
      </c>
      <c r="C3419" s="6" t="s">
        <v>1879</v>
      </c>
      <c r="D3419" s="6" t="s">
        <v>1880</v>
      </c>
      <c r="E3419" s="6" t="s">
        <v>12</v>
      </c>
      <c r="F3419" s="6" t="s">
        <v>13</v>
      </c>
      <c r="G3419" s="6" t="s">
        <v>61</v>
      </c>
      <c r="H3419" s="8" t="s">
        <v>3981</v>
      </c>
      <c r="I3419" s="9">
        <v>0.0</v>
      </c>
      <c r="J3419" s="5" t="str">
        <f t="shared" ref="J3419:K3419" si="3419">SUBSTITUTE(H3419, ",", "")</f>
        <v>0</v>
      </c>
      <c r="K3419" s="5" t="str">
        <f t="shared" si="3419"/>
        <v>Rp0</v>
      </c>
      <c r="L3419" s="5" t="str">
        <f t="shared" si="3"/>
        <v>0</v>
      </c>
    </row>
    <row r="3420">
      <c r="A3420" s="6" t="s">
        <v>4745</v>
      </c>
      <c r="B3420" s="7" t="str">
        <f>HYPERLINK("https://shopee.co.id/Radi-Skin-Vitamin-C-Glow-Serum-20ml-i.825870.2712979270", "https://shopee.co.id/Radi-Skin-Vitamin-C-Glow-Serum-20ml-i.825870.2712979270")</f>
        <v>https://shopee.co.id/Radi-Skin-Vitamin-C-Glow-Serum-20ml-i.825870.2712979270</v>
      </c>
      <c r="C3420" s="6" t="s">
        <v>1879</v>
      </c>
      <c r="D3420" s="6" t="s">
        <v>1184</v>
      </c>
      <c r="E3420" s="6" t="s">
        <v>12</v>
      </c>
      <c r="F3420" s="6" t="s">
        <v>13</v>
      </c>
      <c r="G3420" s="6" t="s">
        <v>21</v>
      </c>
      <c r="H3420" s="8" t="s">
        <v>3981</v>
      </c>
      <c r="I3420" s="9">
        <v>0.0</v>
      </c>
      <c r="J3420" s="5" t="str">
        <f t="shared" ref="J3420:K3420" si="3420">SUBSTITUTE(H3420, ",", "")</f>
        <v>0</v>
      </c>
      <c r="K3420" s="5" t="str">
        <f t="shared" si="3420"/>
        <v>Rp0</v>
      </c>
      <c r="L3420" s="5" t="str">
        <f t="shared" si="3"/>
        <v>0</v>
      </c>
    </row>
    <row r="3421">
      <c r="A3421" s="6" t="s">
        <v>4746</v>
      </c>
      <c r="B3421" s="7" t="str">
        <f>HYPERLINK("https://shopee.co.id/Raecca-Glow-It-Up-Serum-20ml-i.136011044.8160749529", "https://shopee.co.id/Raecca-Glow-It-Up-Serum-20ml-i.136011044.8160749529")</f>
        <v>https://shopee.co.id/Raecca-Glow-It-Up-Serum-20ml-i.136011044.8160749529</v>
      </c>
      <c r="C3421" s="6" t="s">
        <v>1630</v>
      </c>
      <c r="D3421" s="6" t="s">
        <v>632</v>
      </c>
      <c r="E3421" s="6" t="s">
        <v>12</v>
      </c>
      <c r="F3421" s="6" t="s">
        <v>13</v>
      </c>
      <c r="G3421" s="6" t="s">
        <v>21</v>
      </c>
      <c r="H3421" s="8" t="s">
        <v>3981</v>
      </c>
      <c r="I3421" s="9">
        <v>0.0</v>
      </c>
      <c r="J3421" s="5" t="str">
        <f t="shared" ref="J3421:K3421" si="3421">SUBSTITUTE(H3421, ",", "")</f>
        <v>0</v>
      </c>
      <c r="K3421" s="5" t="str">
        <f t="shared" si="3421"/>
        <v>Rp0</v>
      </c>
      <c r="L3421" s="5" t="str">
        <f t="shared" si="3"/>
        <v>0</v>
      </c>
    </row>
    <row r="3422">
      <c r="A3422" s="6" t="s">
        <v>4747</v>
      </c>
      <c r="B3422" s="7" t="str">
        <f>HYPERLINK("https://shopee.co.id/Raecca-Moisturizer-Jelly-Centella-Lippie-Serum-i.41005244.9610572323", "https://shopee.co.id/Raecca-Moisturizer-Jelly-Centella-Lippie-Serum-i.41005244.9610572323")</f>
        <v>https://shopee.co.id/Raecca-Moisturizer-Jelly-Centella-Lippie-Serum-i.41005244.9610572323</v>
      </c>
      <c r="C3422" s="6" t="s">
        <v>1630</v>
      </c>
      <c r="D3422" s="6" t="s">
        <v>1631</v>
      </c>
      <c r="E3422" s="6" t="s">
        <v>12</v>
      </c>
      <c r="F3422" s="6" t="s">
        <v>13</v>
      </c>
      <c r="G3422" s="6" t="s">
        <v>241</v>
      </c>
      <c r="H3422" s="8" t="s">
        <v>3981</v>
      </c>
      <c r="I3422" s="9">
        <v>0.0</v>
      </c>
      <c r="J3422" s="5" t="str">
        <f t="shared" ref="J3422:K3422" si="3422">SUBSTITUTE(H3422, ",", "")</f>
        <v>0</v>
      </c>
      <c r="K3422" s="5" t="str">
        <f t="shared" si="3422"/>
        <v>Rp0</v>
      </c>
      <c r="L3422" s="5" t="str">
        <f t="shared" si="3"/>
        <v>0</v>
      </c>
    </row>
    <row r="3423">
      <c r="A3423" s="6" t="s">
        <v>4748</v>
      </c>
      <c r="B3423" s="7" t="str">
        <f>HYPERLINK("https://shopee.co.id/Raiku-Water-Essence-30ml-i.79492424.4719077248", "https://shopee.co.id/Raiku-Water-Essence-30ml-i.79492424.4719077248")</f>
        <v>https://shopee.co.id/Raiku-Water-Essence-30ml-i.79492424.4719077248</v>
      </c>
      <c r="C3423" s="6" t="s">
        <v>2281</v>
      </c>
      <c r="D3423" s="6" t="s">
        <v>3456</v>
      </c>
      <c r="E3423" s="6" t="s">
        <v>12</v>
      </c>
      <c r="F3423" s="6" t="s">
        <v>13</v>
      </c>
      <c r="G3423" s="6" t="s">
        <v>469</v>
      </c>
      <c r="H3423" s="8" t="s">
        <v>3981</v>
      </c>
      <c r="I3423" s="9">
        <v>0.0</v>
      </c>
      <c r="J3423" s="5" t="str">
        <f t="shared" ref="J3423:K3423" si="3423">SUBSTITUTE(H3423, ",", "")</f>
        <v>0</v>
      </c>
      <c r="K3423" s="5" t="str">
        <f t="shared" si="3423"/>
        <v>Rp0</v>
      </c>
      <c r="L3423" s="5" t="str">
        <f t="shared" si="3"/>
        <v>0</v>
      </c>
    </row>
    <row r="3424">
      <c r="A3424" s="6" t="s">
        <v>4749</v>
      </c>
      <c r="B3424" s="7" t="str">
        <f>HYPERLINK("https://shopee.co.id/Raiku-Anti-Aging-Serum-30ml-i.79492424.3807822171", "https://shopee.co.id/Raiku-Anti-Aging-Serum-30ml-i.79492424.3807822171")</f>
        <v>https://shopee.co.id/Raiku-Anti-Aging-Serum-30ml-i.79492424.3807822171</v>
      </c>
      <c r="C3424" s="6" t="s">
        <v>2281</v>
      </c>
      <c r="D3424" s="6" t="s">
        <v>3456</v>
      </c>
      <c r="E3424" s="6" t="s">
        <v>12</v>
      </c>
      <c r="F3424" s="6" t="s">
        <v>13</v>
      </c>
      <c r="G3424" s="6" t="s">
        <v>469</v>
      </c>
      <c r="H3424" s="8" t="s">
        <v>3981</v>
      </c>
      <c r="I3424" s="9">
        <v>0.0</v>
      </c>
      <c r="J3424" s="5" t="str">
        <f t="shared" ref="J3424:K3424" si="3424">SUBSTITUTE(H3424, ",", "")</f>
        <v>0</v>
      </c>
      <c r="K3424" s="5" t="str">
        <f t="shared" si="3424"/>
        <v>Rp0</v>
      </c>
      <c r="L3424" s="5" t="str">
        <f t="shared" si="3"/>
        <v>0</v>
      </c>
    </row>
    <row r="3425">
      <c r="A3425" s="6" t="s">
        <v>4750</v>
      </c>
      <c r="B3425" s="7" t="str">
        <f>HYPERLINK("https://shopee.co.id/Raiku-Brightening-Serum-30ml-i.79492424.3707823501", "https://shopee.co.id/Raiku-Brightening-Serum-30ml-i.79492424.3707823501")</f>
        <v>https://shopee.co.id/Raiku-Brightening-Serum-30ml-i.79492424.3707823501</v>
      </c>
      <c r="C3425" s="6" t="s">
        <v>2281</v>
      </c>
      <c r="D3425" s="6" t="s">
        <v>3456</v>
      </c>
      <c r="E3425" s="6" t="s">
        <v>12</v>
      </c>
      <c r="F3425" s="6" t="s">
        <v>13</v>
      </c>
      <c r="G3425" s="6" t="s">
        <v>469</v>
      </c>
      <c r="H3425" s="8" t="s">
        <v>3981</v>
      </c>
      <c r="I3425" s="9">
        <v>0.0</v>
      </c>
      <c r="J3425" s="5" t="str">
        <f t="shared" ref="J3425:K3425" si="3425">SUBSTITUTE(H3425, ",", "")</f>
        <v>0</v>
      </c>
      <c r="K3425" s="5" t="str">
        <f t="shared" si="3425"/>
        <v>Rp0</v>
      </c>
      <c r="L3425" s="5" t="str">
        <f t="shared" si="3"/>
        <v>0</v>
      </c>
    </row>
    <row r="3426">
      <c r="A3426" s="6" t="s">
        <v>4751</v>
      </c>
      <c r="B3426" s="7" t="str">
        <f>HYPERLINK("https://shopee.co.id/Raiku-Anti-Aging-Serum-i.17081863.6763783597", "https://shopee.co.id/Raiku-Anti-Aging-Serum-i.17081863.6763783597")</f>
        <v>https://shopee.co.id/Raiku-Anti-Aging-Serum-i.17081863.6763783597</v>
      </c>
      <c r="C3426" s="6" t="s">
        <v>2281</v>
      </c>
      <c r="D3426" s="6" t="s">
        <v>2497</v>
      </c>
      <c r="E3426" s="6" t="s">
        <v>12</v>
      </c>
      <c r="F3426" s="6" t="s">
        <v>13</v>
      </c>
      <c r="G3426" s="6" t="s">
        <v>21</v>
      </c>
      <c r="H3426" s="8" t="s">
        <v>3981</v>
      </c>
      <c r="I3426" s="9">
        <v>0.0</v>
      </c>
      <c r="J3426" s="5" t="str">
        <f t="shared" ref="J3426:K3426" si="3426">SUBSTITUTE(H3426, ",", "")</f>
        <v>0</v>
      </c>
      <c r="K3426" s="5" t="str">
        <f t="shared" si="3426"/>
        <v>Rp0</v>
      </c>
      <c r="L3426" s="5" t="str">
        <f t="shared" si="3"/>
        <v>0</v>
      </c>
    </row>
    <row r="3427">
      <c r="A3427" s="6" t="s">
        <v>4752</v>
      </c>
      <c r="B3427" s="7" t="str">
        <f>HYPERLINK("https://shopee.co.id/Raiku-Anti-Aging-Serum-30ml--i.10689.1765917885", "https://shopee.co.id/Raiku-Anti-Aging-Serum-30ml--i.10689.1765917885")</f>
        <v>https://shopee.co.id/Raiku-Anti-Aging-Serum-30ml--i.10689.1765917885</v>
      </c>
      <c r="C3427" s="6" t="s">
        <v>2281</v>
      </c>
      <c r="D3427" s="6" t="s">
        <v>745</v>
      </c>
      <c r="E3427" s="6" t="s">
        <v>12</v>
      </c>
      <c r="F3427" s="6" t="s">
        <v>13</v>
      </c>
      <c r="G3427" s="6" t="s">
        <v>61</v>
      </c>
      <c r="H3427" s="8" t="s">
        <v>3981</v>
      </c>
      <c r="I3427" s="9">
        <v>0.0</v>
      </c>
      <c r="J3427" s="5" t="str">
        <f t="shared" ref="J3427:K3427" si="3427">SUBSTITUTE(H3427, ",", "")</f>
        <v>0</v>
      </c>
      <c r="K3427" s="5" t="str">
        <f t="shared" si="3427"/>
        <v>Rp0</v>
      </c>
      <c r="L3427" s="5" t="str">
        <f t="shared" si="3"/>
        <v>0</v>
      </c>
    </row>
    <row r="3428">
      <c r="A3428" s="6" t="s">
        <v>4753</v>
      </c>
      <c r="B3428" s="7" t="str">
        <f>HYPERLINK("https://shopee.co.id/Raiku-Anti-Aging-Serum-30ml-i.825870.1981229359", "https://shopee.co.id/Raiku-Anti-Aging-Serum-30ml-i.825870.1981229359")</f>
        <v>https://shopee.co.id/Raiku-Anti-Aging-Serum-30ml-i.825870.1981229359</v>
      </c>
      <c r="C3428" s="6" t="s">
        <v>2281</v>
      </c>
      <c r="D3428" s="6" t="s">
        <v>1184</v>
      </c>
      <c r="E3428" s="6" t="s">
        <v>12</v>
      </c>
      <c r="F3428" s="6" t="s">
        <v>13</v>
      </c>
      <c r="G3428" s="6" t="s">
        <v>21</v>
      </c>
      <c r="H3428" s="8" t="s">
        <v>3981</v>
      </c>
      <c r="I3428" s="9">
        <v>0.0</v>
      </c>
      <c r="J3428" s="5" t="str">
        <f t="shared" ref="J3428:K3428" si="3428">SUBSTITUTE(H3428, ",", "")</f>
        <v>0</v>
      </c>
      <c r="K3428" s="5" t="str">
        <f t="shared" si="3428"/>
        <v>Rp0</v>
      </c>
      <c r="L3428" s="5" t="str">
        <f t="shared" si="3"/>
        <v>0</v>
      </c>
    </row>
    <row r="3429">
      <c r="A3429" s="6" t="s">
        <v>4754</v>
      </c>
      <c r="B3429" s="7" t="str">
        <f>HYPERLINK("https://shopee.co.id/Raiku-Antioxidant-Serum-i.17081863.6164063700", "https://shopee.co.id/Raiku-Antioxidant-Serum-i.17081863.6164063700")</f>
        <v>https://shopee.co.id/Raiku-Antioxidant-Serum-i.17081863.6164063700</v>
      </c>
      <c r="C3429" s="6" t="s">
        <v>2281</v>
      </c>
      <c r="D3429" s="6" t="s">
        <v>2497</v>
      </c>
      <c r="E3429" s="6" t="s">
        <v>12</v>
      </c>
      <c r="F3429" s="6" t="s">
        <v>13</v>
      </c>
      <c r="G3429" s="6" t="s">
        <v>21</v>
      </c>
      <c r="H3429" s="8" t="s">
        <v>3981</v>
      </c>
      <c r="I3429" s="9">
        <v>0.0</v>
      </c>
      <c r="J3429" s="5" t="str">
        <f t="shared" ref="J3429:K3429" si="3429">SUBSTITUTE(H3429, ",", "")</f>
        <v>0</v>
      </c>
      <c r="K3429" s="5" t="str">
        <f t="shared" si="3429"/>
        <v>Rp0</v>
      </c>
      <c r="L3429" s="5" t="str">
        <f t="shared" si="3"/>
        <v>0</v>
      </c>
    </row>
    <row r="3430">
      <c r="A3430" s="6" t="s">
        <v>4755</v>
      </c>
      <c r="B3430" s="7" t="str">
        <f>HYPERLINK("https://shopee.co.id/Raiku-Antioxidant-Serum-2pcs--i.82041605.9658423124", "https://shopee.co.id/Raiku-Antioxidant-Serum-2pcs--i.82041605.9658423124")</f>
        <v>https://shopee.co.id/Raiku-Antioxidant-Serum-2pcs--i.82041605.9658423124</v>
      </c>
      <c r="C3430" s="6" t="s">
        <v>2281</v>
      </c>
      <c r="D3430" s="6" t="s">
        <v>2282</v>
      </c>
      <c r="E3430" s="6" t="s">
        <v>12</v>
      </c>
      <c r="F3430" s="6" t="s">
        <v>13</v>
      </c>
      <c r="G3430" s="6" t="s">
        <v>21</v>
      </c>
      <c r="H3430" s="8" t="s">
        <v>3981</v>
      </c>
      <c r="I3430" s="9">
        <v>0.0</v>
      </c>
      <c r="J3430" s="5" t="str">
        <f t="shared" ref="J3430:K3430" si="3430">SUBSTITUTE(H3430, ",", "")</f>
        <v>0</v>
      </c>
      <c r="K3430" s="5" t="str">
        <f t="shared" si="3430"/>
        <v>Rp0</v>
      </c>
      <c r="L3430" s="5" t="str">
        <f t="shared" si="3"/>
        <v>0</v>
      </c>
    </row>
    <row r="3431">
      <c r="A3431" s="6" t="s">
        <v>4756</v>
      </c>
      <c r="B3431" s="7" t="str">
        <f>HYPERLINK("https://shopee.co.id/Raiku-Antioxidant-Serum-Special-6-Pcs-30ml--i.82041605.4593765677", "https://shopee.co.id/Raiku-Antioxidant-Serum-Special-6-Pcs-30ml--i.82041605.4593765677")</f>
        <v>https://shopee.co.id/Raiku-Antioxidant-Serum-Special-6-Pcs-30ml--i.82041605.4593765677</v>
      </c>
      <c r="C3431" s="6" t="s">
        <v>2281</v>
      </c>
      <c r="D3431" s="6" t="s">
        <v>2282</v>
      </c>
      <c r="E3431" s="6" t="s">
        <v>12</v>
      </c>
      <c r="F3431" s="6" t="s">
        <v>13</v>
      </c>
      <c r="G3431" s="6" t="s">
        <v>21</v>
      </c>
      <c r="H3431" s="8" t="s">
        <v>3981</v>
      </c>
      <c r="I3431" s="9">
        <v>0.0</v>
      </c>
      <c r="J3431" s="5" t="str">
        <f t="shared" ref="J3431:K3431" si="3431">SUBSTITUTE(H3431, ",", "")</f>
        <v>0</v>
      </c>
      <c r="K3431" s="5" t="str">
        <f t="shared" si="3431"/>
        <v>Rp0</v>
      </c>
      <c r="L3431" s="5" t="str">
        <f t="shared" si="3"/>
        <v>0</v>
      </c>
    </row>
    <row r="3432">
      <c r="A3432" s="6" t="s">
        <v>4757</v>
      </c>
      <c r="B3432" s="7" t="str">
        <f>HYPERLINK("https://shopee.co.id/Raiku-Brightening-Mask-3-pcs--i.82041605.9717307045", "https://shopee.co.id/Raiku-Brightening-Mask-3-pcs--i.82041605.9717307045")</f>
        <v>https://shopee.co.id/Raiku-Brightening-Mask-3-pcs--i.82041605.9717307045</v>
      </c>
      <c r="C3432" s="6" t="s">
        <v>2281</v>
      </c>
      <c r="D3432" s="6" t="s">
        <v>2282</v>
      </c>
      <c r="E3432" s="6" t="s">
        <v>12</v>
      </c>
      <c r="F3432" s="6" t="s">
        <v>13</v>
      </c>
      <c r="G3432" s="6" t="s">
        <v>21</v>
      </c>
      <c r="H3432" s="8" t="s">
        <v>3981</v>
      </c>
      <c r="I3432" s="9">
        <v>0.0</v>
      </c>
      <c r="J3432" s="5" t="str">
        <f t="shared" ref="J3432:K3432" si="3432">SUBSTITUTE(H3432, ",", "")</f>
        <v>0</v>
      </c>
      <c r="K3432" s="5" t="str">
        <f t="shared" si="3432"/>
        <v>Rp0</v>
      </c>
      <c r="L3432" s="5" t="str">
        <f t="shared" si="3"/>
        <v>0</v>
      </c>
    </row>
    <row r="3433">
      <c r="A3433" s="6" t="s">
        <v>4758</v>
      </c>
      <c r="B3433" s="7" t="str">
        <f>HYPERLINK("https://shopee.co.id/Raiku-Brightening-Serum-30ml-i.825870.1981103782", "https://shopee.co.id/Raiku-Brightening-Serum-30ml-i.825870.1981103782")</f>
        <v>https://shopee.co.id/Raiku-Brightening-Serum-30ml-i.825870.1981103782</v>
      </c>
      <c r="C3433" s="6" t="s">
        <v>2281</v>
      </c>
      <c r="D3433" s="6" t="s">
        <v>1184</v>
      </c>
      <c r="E3433" s="6" t="s">
        <v>12</v>
      </c>
      <c r="F3433" s="6" t="s">
        <v>13</v>
      </c>
      <c r="G3433" s="6" t="s">
        <v>21</v>
      </c>
      <c r="H3433" s="8" t="s">
        <v>3981</v>
      </c>
      <c r="I3433" s="9">
        <v>0.0</v>
      </c>
      <c r="J3433" s="5" t="str">
        <f t="shared" ref="J3433:K3433" si="3433">SUBSTITUTE(H3433, ",", "")</f>
        <v>0</v>
      </c>
      <c r="K3433" s="5" t="str">
        <f t="shared" si="3433"/>
        <v>Rp0</v>
      </c>
      <c r="L3433" s="5" t="str">
        <f t="shared" si="3"/>
        <v>0</v>
      </c>
    </row>
    <row r="3434">
      <c r="A3434" s="6" t="s">
        <v>4759</v>
      </c>
      <c r="B3434" s="7" t="str">
        <f>HYPERLINK("https://shopee.co.id/Raiku-Brightening-Serum-bundle-2pcs--i.82041605.9364354455", "https://shopee.co.id/Raiku-Brightening-Serum-bundle-2pcs--i.82041605.9364354455")</f>
        <v>https://shopee.co.id/Raiku-Brightening-Serum-bundle-2pcs--i.82041605.9364354455</v>
      </c>
      <c r="C3434" s="6" t="s">
        <v>2281</v>
      </c>
      <c r="D3434" s="6" t="s">
        <v>2282</v>
      </c>
      <c r="E3434" s="6" t="s">
        <v>12</v>
      </c>
      <c r="F3434" s="6" t="s">
        <v>13</v>
      </c>
      <c r="G3434" s="6" t="s">
        <v>21</v>
      </c>
      <c r="H3434" s="8" t="s">
        <v>3981</v>
      </c>
      <c r="I3434" s="9">
        <v>0.0</v>
      </c>
      <c r="J3434" s="5" t="str">
        <f t="shared" ref="J3434:K3434" si="3434">SUBSTITUTE(H3434, ",", "")</f>
        <v>0</v>
      </c>
      <c r="K3434" s="5" t="str">
        <f t="shared" si="3434"/>
        <v>Rp0</v>
      </c>
      <c r="L3434" s="5" t="str">
        <f t="shared" si="3"/>
        <v>0</v>
      </c>
    </row>
    <row r="3435">
      <c r="A3435" s="6" t="s">
        <v>4760</v>
      </c>
      <c r="B3435" s="7" t="str">
        <f>HYPERLINK("https://shopee.co.id/Raiku-Brightening-Serum-Special-Bundle-3-pcs--i.82041605.3388085157", "https://shopee.co.id/Raiku-Brightening-Serum-Special-Bundle-3-pcs--i.82041605.3388085157")</f>
        <v>https://shopee.co.id/Raiku-Brightening-Serum-Special-Bundle-3-pcs--i.82041605.3388085157</v>
      </c>
      <c r="C3435" s="6" t="s">
        <v>2281</v>
      </c>
      <c r="D3435" s="6" t="s">
        <v>2282</v>
      </c>
      <c r="E3435" s="6" t="s">
        <v>12</v>
      </c>
      <c r="F3435" s="6" t="s">
        <v>13</v>
      </c>
      <c r="G3435" s="6" t="s">
        <v>21</v>
      </c>
      <c r="H3435" s="8" t="s">
        <v>3981</v>
      </c>
      <c r="I3435" s="9">
        <v>0.0</v>
      </c>
      <c r="J3435" s="5" t="str">
        <f t="shared" ref="J3435:K3435" si="3435">SUBSTITUTE(H3435, ",", "")</f>
        <v>0</v>
      </c>
      <c r="K3435" s="5" t="str">
        <f t="shared" si="3435"/>
        <v>Rp0</v>
      </c>
      <c r="L3435" s="5" t="str">
        <f t="shared" si="3"/>
        <v>0</v>
      </c>
    </row>
    <row r="3436">
      <c r="A3436" s="6" t="s">
        <v>4761</v>
      </c>
      <c r="B3436" s="7" t="str">
        <f>HYPERLINK("https://shopee.co.id/Raiku-Brigthening-Serum-30ml--i.10689.1765917944", "https://shopee.co.id/Raiku-Brigthening-Serum-30ml--i.10689.1765917944")</f>
        <v>https://shopee.co.id/Raiku-Brigthening-Serum-30ml--i.10689.1765917944</v>
      </c>
      <c r="C3436" s="6" t="s">
        <v>2281</v>
      </c>
      <c r="D3436" s="6" t="s">
        <v>745</v>
      </c>
      <c r="E3436" s="6" t="s">
        <v>12</v>
      </c>
      <c r="F3436" s="6" t="s">
        <v>13</v>
      </c>
      <c r="G3436" s="6" t="s">
        <v>61</v>
      </c>
      <c r="H3436" s="8" t="s">
        <v>3981</v>
      </c>
      <c r="I3436" s="9">
        <v>0.0</v>
      </c>
      <c r="J3436" s="5" t="str">
        <f t="shared" ref="J3436:K3436" si="3436">SUBSTITUTE(H3436, ",", "")</f>
        <v>0</v>
      </c>
      <c r="K3436" s="5" t="str">
        <f t="shared" si="3436"/>
        <v>Rp0</v>
      </c>
      <c r="L3436" s="5" t="str">
        <f t="shared" si="3"/>
        <v>0</v>
      </c>
    </row>
    <row r="3437">
      <c r="A3437" s="6" t="s">
        <v>4762</v>
      </c>
      <c r="B3437" s="7" t="str">
        <f>HYPERLINK("https://shopee.co.id/Raiku-Water-Essence-30ml-i.825870.4033701105", "https://shopee.co.id/Raiku-Water-Essence-30ml-i.825870.4033701105")</f>
        <v>https://shopee.co.id/Raiku-Water-Essence-30ml-i.825870.4033701105</v>
      </c>
      <c r="C3437" s="6" t="s">
        <v>2281</v>
      </c>
      <c r="D3437" s="6" t="s">
        <v>1184</v>
      </c>
      <c r="E3437" s="6" t="s">
        <v>12</v>
      </c>
      <c r="F3437" s="6" t="s">
        <v>13</v>
      </c>
      <c r="G3437" s="6" t="s">
        <v>21</v>
      </c>
      <c r="H3437" s="8" t="s">
        <v>3981</v>
      </c>
      <c r="I3437" s="9">
        <v>0.0</v>
      </c>
      <c r="J3437" s="5" t="str">
        <f t="shared" ref="J3437:K3437" si="3437">SUBSTITUTE(H3437, ",", "")</f>
        <v>0</v>
      </c>
      <c r="K3437" s="5" t="str">
        <f t="shared" si="3437"/>
        <v>Rp0</v>
      </c>
      <c r="L3437" s="5" t="str">
        <f t="shared" si="3"/>
        <v>0</v>
      </c>
    </row>
    <row r="3438">
      <c r="A3438" s="6" t="s">
        <v>3581</v>
      </c>
      <c r="B3438" s="7" t="str">
        <f>HYPERLINK("https://shopee.co.id/Raiku-Water-Essence-30ml-i.10689.7716938305", "https://shopee.co.id/Raiku-Water-Essence-30ml-i.10689.7716938305")</f>
        <v>https://shopee.co.id/Raiku-Water-Essence-30ml-i.10689.7716938305</v>
      </c>
      <c r="C3438" s="6" t="s">
        <v>2281</v>
      </c>
      <c r="D3438" s="6" t="s">
        <v>745</v>
      </c>
      <c r="E3438" s="6" t="s">
        <v>12</v>
      </c>
      <c r="F3438" s="6" t="s">
        <v>13</v>
      </c>
      <c r="G3438" s="6" t="s">
        <v>61</v>
      </c>
      <c r="H3438" s="8" t="s">
        <v>3981</v>
      </c>
      <c r="I3438" s="9">
        <v>0.0</v>
      </c>
      <c r="J3438" s="5" t="str">
        <f t="shared" ref="J3438:K3438" si="3438">SUBSTITUTE(H3438, ",", "")</f>
        <v>0</v>
      </c>
      <c r="K3438" s="5" t="str">
        <f t="shared" si="3438"/>
        <v>Rp0</v>
      </c>
      <c r="L3438" s="5" t="str">
        <f t="shared" si="3"/>
        <v>0</v>
      </c>
    </row>
    <row r="3439">
      <c r="A3439" s="6" t="s">
        <v>4763</v>
      </c>
      <c r="B3439" s="7" t="str">
        <f>HYPERLINK("https://shopee.co.id/REAL-BARRIER-Essence-Mist-i.125116082.5929626123", "https://shopee.co.id/REAL-BARRIER-Essence-Mist-i.125116082.5929626123")</f>
        <v>https://shopee.co.id/REAL-BARRIER-Essence-Mist-i.125116082.5929626123</v>
      </c>
      <c r="C3439" s="6" t="s">
        <v>4764</v>
      </c>
      <c r="D3439" s="6" t="s">
        <v>713</v>
      </c>
      <c r="E3439" s="6" t="s">
        <v>12</v>
      </c>
      <c r="F3439" s="6" t="s">
        <v>13</v>
      </c>
      <c r="G3439" s="6" t="s">
        <v>61</v>
      </c>
      <c r="H3439" s="8" t="s">
        <v>3981</v>
      </c>
      <c r="I3439" s="9">
        <v>0.0</v>
      </c>
      <c r="J3439" s="5" t="str">
        <f t="shared" ref="J3439:K3439" si="3439">SUBSTITUTE(H3439, ",", "")</f>
        <v>0</v>
      </c>
      <c r="K3439" s="5" t="str">
        <f t="shared" si="3439"/>
        <v>Rp0</v>
      </c>
      <c r="L3439" s="5" t="str">
        <f t="shared" si="3"/>
        <v>0</v>
      </c>
    </row>
    <row r="3440">
      <c r="A3440" s="6" t="s">
        <v>4765</v>
      </c>
      <c r="B3440" s="7" t="str">
        <f>HYPERLINK("https://shopee.co.id/Rexona-Dry-Serum-Natural-Whitening-Fresh-Sakura-50-Ml-R-i.175375997.7287885005", "https://shopee.co.id/Rexona-Dry-Serum-Natural-Whitening-Fresh-Sakura-50-Ml-R-i.175375997.7287885005")</f>
        <v>https://shopee.co.id/Rexona-Dry-Serum-Natural-Whitening-Fresh-Sakura-50-Ml-R-i.175375997.7287885005</v>
      </c>
      <c r="C3440" s="6" t="s">
        <v>4766</v>
      </c>
      <c r="D3440" s="6" t="s">
        <v>2123</v>
      </c>
      <c r="E3440" s="6" t="s">
        <v>12</v>
      </c>
      <c r="F3440" s="6" t="s">
        <v>13</v>
      </c>
      <c r="G3440" s="6" t="s">
        <v>36</v>
      </c>
      <c r="H3440" s="8" t="s">
        <v>3981</v>
      </c>
      <c r="I3440" s="9">
        <v>0.0</v>
      </c>
      <c r="J3440" s="5" t="str">
        <f t="shared" ref="J3440:K3440" si="3440">SUBSTITUTE(H3440, ",", "")</f>
        <v>0</v>
      </c>
      <c r="K3440" s="5" t="str">
        <f t="shared" si="3440"/>
        <v>Rp0</v>
      </c>
      <c r="L3440" s="5" t="str">
        <f t="shared" si="3"/>
        <v>0</v>
      </c>
    </row>
    <row r="3441">
      <c r="A3441" s="6" t="s">
        <v>4767</v>
      </c>
      <c r="B3441" s="7" t="str">
        <f>HYPERLINK("https://shopee.co.id/REXONA-NAT-WHITE-ROSE-DRY-SERUM-50ML-i.319999499.3990877790", "https://shopee.co.id/REXONA-NAT-WHITE-ROSE-DRY-SERUM-50ML-i.319999499.3990877790")</f>
        <v>https://shopee.co.id/REXONA-NAT-WHITE-ROSE-DRY-SERUM-50ML-i.319999499.3990877790</v>
      </c>
      <c r="C3441" s="6" t="s">
        <v>4766</v>
      </c>
      <c r="D3441" s="6" t="s">
        <v>4768</v>
      </c>
      <c r="E3441" s="6" t="s">
        <v>12</v>
      </c>
      <c r="F3441" s="6" t="s">
        <v>13</v>
      </c>
      <c r="G3441" s="6" t="s">
        <v>4769</v>
      </c>
      <c r="H3441" s="8" t="s">
        <v>3981</v>
      </c>
      <c r="I3441" s="9">
        <v>0.0</v>
      </c>
      <c r="J3441" s="5" t="str">
        <f t="shared" ref="J3441:K3441" si="3441">SUBSTITUTE(H3441, ",", "")</f>
        <v>0</v>
      </c>
      <c r="K3441" s="5" t="str">
        <f t="shared" si="3441"/>
        <v>Rp0</v>
      </c>
      <c r="L3441" s="5" t="str">
        <f t="shared" si="3"/>
        <v>0</v>
      </c>
    </row>
    <row r="3442">
      <c r="A3442" s="6" t="s">
        <v>4767</v>
      </c>
      <c r="B3442" s="7" t="str">
        <f>HYPERLINK("https://shopee.co.id/REXONA-NAT-WHITE-ROSE-DRY-SERUM-50ML-i.295434797.8169423114", "https://shopee.co.id/REXONA-NAT-WHITE-ROSE-DRY-SERUM-50ML-i.295434797.8169423114")</f>
        <v>https://shopee.co.id/REXONA-NAT-WHITE-ROSE-DRY-SERUM-50ML-i.295434797.8169423114</v>
      </c>
      <c r="C3442" s="6" t="s">
        <v>4766</v>
      </c>
      <c r="D3442" s="6" t="s">
        <v>4770</v>
      </c>
      <c r="E3442" s="6" t="s">
        <v>12</v>
      </c>
      <c r="F3442" s="6" t="s">
        <v>13</v>
      </c>
      <c r="G3442" s="6" t="s">
        <v>296</v>
      </c>
      <c r="H3442" s="8" t="s">
        <v>3981</v>
      </c>
      <c r="I3442" s="9">
        <v>0.0</v>
      </c>
      <c r="J3442" s="5" t="str">
        <f t="shared" ref="J3442:K3442" si="3442">SUBSTITUTE(H3442, ",", "")</f>
        <v>0</v>
      </c>
      <c r="K3442" s="5" t="str">
        <f t="shared" si="3442"/>
        <v>Rp0</v>
      </c>
      <c r="L3442" s="5" t="str">
        <f t="shared" si="3"/>
        <v>0</v>
      </c>
    </row>
    <row r="3443">
      <c r="A3443" s="6" t="s">
        <v>4767</v>
      </c>
      <c r="B3443" s="7" t="str">
        <f>HYPERLINK("https://shopee.co.id/REXONA-NAT-WHITE-ROSE-DRY-SERUM-50ML-i.295425871.9059801624", "https://shopee.co.id/REXONA-NAT-WHITE-ROSE-DRY-SERUM-50ML-i.295425871.9059801624")</f>
        <v>https://shopee.co.id/REXONA-NAT-WHITE-ROSE-DRY-SERUM-50ML-i.295425871.9059801624</v>
      </c>
      <c r="C3443" s="6" t="s">
        <v>4766</v>
      </c>
      <c r="D3443" s="6" t="s">
        <v>4771</v>
      </c>
      <c r="E3443" s="6" t="s">
        <v>12</v>
      </c>
      <c r="F3443" s="6" t="s">
        <v>13</v>
      </c>
      <c r="G3443" s="6" t="s">
        <v>98</v>
      </c>
      <c r="H3443" s="8" t="s">
        <v>3981</v>
      </c>
      <c r="I3443" s="9">
        <v>0.0</v>
      </c>
      <c r="J3443" s="5" t="str">
        <f t="shared" ref="J3443:K3443" si="3443">SUBSTITUTE(H3443, ",", "")</f>
        <v>0</v>
      </c>
      <c r="K3443" s="5" t="str">
        <f t="shared" si="3443"/>
        <v>Rp0</v>
      </c>
      <c r="L3443" s="5" t="str">
        <f t="shared" si="3"/>
        <v>0</v>
      </c>
    </row>
    <row r="3444">
      <c r="A3444" s="6" t="s">
        <v>4767</v>
      </c>
      <c r="B3444" s="7" t="str">
        <f>HYPERLINK("https://shopee.co.id/REXONA-NAT-WHITE-ROSE-DRY-SERUM-50ML-i.295433394.10210176759", "https://shopee.co.id/REXONA-NAT-WHITE-ROSE-DRY-SERUM-50ML-i.295433394.10210176759")</f>
        <v>https://shopee.co.id/REXONA-NAT-WHITE-ROSE-DRY-SERUM-50ML-i.295433394.10210176759</v>
      </c>
      <c r="C3444" s="6" t="s">
        <v>4766</v>
      </c>
      <c r="D3444" s="6" t="s">
        <v>4772</v>
      </c>
      <c r="E3444" s="6" t="s">
        <v>12</v>
      </c>
      <c r="F3444" s="6" t="s">
        <v>13</v>
      </c>
      <c r="G3444" s="6" t="s">
        <v>130</v>
      </c>
      <c r="H3444" s="8" t="s">
        <v>3981</v>
      </c>
      <c r="I3444" s="9">
        <v>0.0</v>
      </c>
      <c r="J3444" s="5" t="str">
        <f t="shared" ref="J3444:K3444" si="3444">SUBSTITUTE(H3444, ",", "")</f>
        <v>0</v>
      </c>
      <c r="K3444" s="5" t="str">
        <f t="shared" si="3444"/>
        <v>Rp0</v>
      </c>
      <c r="L3444" s="5" t="str">
        <f t="shared" si="3"/>
        <v>0</v>
      </c>
    </row>
    <row r="3445">
      <c r="A3445" s="6" t="s">
        <v>4773</v>
      </c>
      <c r="B3445" s="7" t="str">
        <f>HYPERLINK("https://shopee.co.id/Safi-Age-Defy-Concentrated-Serum-20-mL-i.65323877.8579237800", "https://shopee.co.id/Safi-Age-Defy-Concentrated-Serum-20-mL-i.65323877.8579237800")</f>
        <v>https://shopee.co.id/Safi-Age-Defy-Concentrated-Serum-20-mL-i.65323877.8579237800</v>
      </c>
      <c r="C3445" s="6" t="s">
        <v>278</v>
      </c>
      <c r="D3445" s="6" t="s">
        <v>1600</v>
      </c>
      <c r="E3445" s="6" t="s">
        <v>12</v>
      </c>
      <c r="F3445" s="6" t="s">
        <v>13</v>
      </c>
      <c r="G3445" s="6" t="s">
        <v>296</v>
      </c>
      <c r="H3445" s="8" t="s">
        <v>3981</v>
      </c>
      <c r="I3445" s="9">
        <v>0.0</v>
      </c>
      <c r="J3445" s="5" t="str">
        <f t="shared" ref="J3445:K3445" si="3445">SUBSTITUTE(H3445, ",", "")</f>
        <v>0</v>
      </c>
      <c r="K3445" s="5" t="str">
        <f t="shared" si="3445"/>
        <v>Rp0</v>
      </c>
      <c r="L3445" s="5" t="str">
        <f t="shared" si="3"/>
        <v>0</v>
      </c>
    </row>
    <row r="3446">
      <c r="A3446" s="6" t="s">
        <v>4774</v>
      </c>
      <c r="B3446" s="7" t="str">
        <f>HYPERLINK("https://shopee.co.id/Safi-Age-Defy-Concentrated-Serum-20-Ml-Serum-Pemelihara-Kolagen-Pencerah-Peremajaan-Kulit-Wajah-i.50972887.5805428790", "https://shopee.co.id/Safi-Age-Defy-Concentrated-Serum-20-Ml-Serum-Pemelihara-Kolagen-Pencerah-Peremajaan-Kulit-Wajah-i.50972887.5805428790")</f>
        <v>https://shopee.co.id/Safi-Age-Defy-Concentrated-Serum-20-Ml-Serum-Pemelihara-Kolagen-Pencerah-Peremajaan-Kulit-Wajah-i.50972887.5805428790</v>
      </c>
      <c r="C3446" s="6" t="s">
        <v>278</v>
      </c>
      <c r="D3446" s="6" t="s">
        <v>552</v>
      </c>
      <c r="E3446" s="6" t="s">
        <v>12</v>
      </c>
      <c r="F3446" s="6" t="s">
        <v>13</v>
      </c>
      <c r="G3446" s="6" t="s">
        <v>61</v>
      </c>
      <c r="H3446" s="8" t="s">
        <v>3981</v>
      </c>
      <c r="I3446" s="9">
        <v>0.0</v>
      </c>
      <c r="J3446" s="5" t="str">
        <f t="shared" ref="J3446:K3446" si="3446">SUBSTITUTE(H3446, ",", "")</f>
        <v>0</v>
      </c>
      <c r="K3446" s="5" t="str">
        <f t="shared" si="3446"/>
        <v>Rp0</v>
      </c>
      <c r="L3446" s="5" t="str">
        <f t="shared" si="3"/>
        <v>0</v>
      </c>
    </row>
    <row r="3447">
      <c r="A3447" s="6" t="s">
        <v>4775</v>
      </c>
      <c r="B3447" s="7" t="str">
        <f>HYPERLINK("https://shopee.co.id/Safi-Age-Defy-Concetrated-Serum-20g-i.10689.1537514918", "https://shopee.co.id/Safi-Age-Defy-Concetrated-Serum-20g-i.10689.1537514918")</f>
        <v>https://shopee.co.id/Safi-Age-Defy-Concetrated-Serum-20g-i.10689.1537514918</v>
      </c>
      <c r="C3447" s="6" t="s">
        <v>278</v>
      </c>
      <c r="D3447" s="6" t="s">
        <v>745</v>
      </c>
      <c r="E3447" s="6" t="s">
        <v>12</v>
      </c>
      <c r="F3447" s="6" t="s">
        <v>13</v>
      </c>
      <c r="G3447" s="6" t="s">
        <v>61</v>
      </c>
      <c r="H3447" s="8" t="s">
        <v>3981</v>
      </c>
      <c r="I3447" s="9">
        <v>0.0</v>
      </c>
      <c r="J3447" s="5" t="str">
        <f t="shared" ref="J3447:K3447" si="3447">SUBSTITUTE(H3447, ",", "")</f>
        <v>0</v>
      </c>
      <c r="K3447" s="5" t="str">
        <f t="shared" si="3447"/>
        <v>Rp0</v>
      </c>
      <c r="L3447" s="5" t="str">
        <f t="shared" si="3"/>
        <v>0</v>
      </c>
    </row>
    <row r="3448">
      <c r="A3448" s="6" t="s">
        <v>4776</v>
      </c>
      <c r="B3448" s="7" t="str">
        <f>HYPERLINK("https://shopee.co.id/Safi-Age-Defy-Gold-Water-Essence-30ml-i.63682929.5436686675", "https://shopee.co.id/Safi-Age-Defy-Gold-Water-Essence-30ml-i.63682929.5436686675")</f>
        <v>https://shopee.co.id/Safi-Age-Defy-Gold-Water-Essence-30ml-i.63682929.5436686675</v>
      </c>
      <c r="C3448" s="6" t="s">
        <v>278</v>
      </c>
      <c r="D3448" s="6" t="s">
        <v>4777</v>
      </c>
      <c r="E3448" s="6" t="s">
        <v>12</v>
      </c>
      <c r="F3448" s="6" t="s">
        <v>13</v>
      </c>
      <c r="G3448" s="6" t="s">
        <v>61</v>
      </c>
      <c r="H3448" s="8" t="s">
        <v>3981</v>
      </c>
      <c r="I3448" s="9">
        <v>0.0</v>
      </c>
      <c r="J3448" s="5" t="str">
        <f t="shared" ref="J3448:K3448" si="3448">SUBSTITUTE(H3448, ",", "")</f>
        <v>0</v>
      </c>
      <c r="K3448" s="5" t="str">
        <f t="shared" si="3448"/>
        <v>Rp0</v>
      </c>
      <c r="L3448" s="5" t="str">
        <f t="shared" si="3"/>
        <v>0</v>
      </c>
    </row>
    <row r="3449">
      <c r="A3449" s="6" t="s">
        <v>4778</v>
      </c>
      <c r="B3449" s="7" t="str">
        <f>HYPERLINK("https://shopee.co.id/Safi-Age-Defy-Skin-Booster-75ml-i.186214521.5419193953", "https://shopee.co.id/Safi-Age-Defy-Skin-Booster-75ml-i.186214521.5419193953")</f>
        <v>https://shopee.co.id/Safi-Age-Defy-Skin-Booster-75ml-i.186214521.5419193953</v>
      </c>
      <c r="C3449" s="6" t="s">
        <v>278</v>
      </c>
      <c r="D3449" s="6" t="s">
        <v>2293</v>
      </c>
      <c r="E3449" s="6" t="s">
        <v>12</v>
      </c>
      <c r="F3449" s="6" t="s">
        <v>13</v>
      </c>
      <c r="G3449" s="6" t="s">
        <v>61</v>
      </c>
      <c r="H3449" s="8" t="s">
        <v>3981</v>
      </c>
      <c r="I3449" s="9">
        <v>0.0</v>
      </c>
      <c r="J3449" s="5" t="str">
        <f t="shared" ref="J3449:K3449" si="3449">SUBSTITUTE(H3449, ",", "")</f>
        <v>0</v>
      </c>
      <c r="K3449" s="5" t="str">
        <f t="shared" si="3449"/>
        <v>Rp0</v>
      </c>
      <c r="L3449" s="5" t="str">
        <f t="shared" si="3"/>
        <v>0</v>
      </c>
    </row>
    <row r="3450">
      <c r="A3450" s="6" t="s">
        <v>4779</v>
      </c>
      <c r="B3450" s="7" t="str">
        <f>HYPERLINK("https://shopee.co.id/SAFI-Age-Defy-Skin-Booster-75ml-i.68111.3113619755", "https://shopee.co.id/SAFI-Age-Defy-Skin-Booster-75ml-i.68111.3113619755")</f>
        <v>https://shopee.co.id/SAFI-Age-Defy-Skin-Booster-75ml-i.68111.3113619755</v>
      </c>
      <c r="C3450" s="6" t="s">
        <v>278</v>
      </c>
      <c r="D3450" s="6" t="s">
        <v>441</v>
      </c>
      <c r="E3450" s="6" t="s">
        <v>12</v>
      </c>
      <c r="F3450" s="6" t="s">
        <v>13</v>
      </c>
      <c r="G3450" s="6" t="s">
        <v>130</v>
      </c>
      <c r="H3450" s="8" t="s">
        <v>3981</v>
      </c>
      <c r="I3450" s="9">
        <v>0.0</v>
      </c>
      <c r="J3450" s="5" t="str">
        <f t="shared" ref="J3450:K3450" si="3450">SUBSTITUTE(H3450, ",", "")</f>
        <v>0</v>
      </c>
      <c r="K3450" s="5" t="str">
        <f t="shared" si="3450"/>
        <v>Rp0</v>
      </c>
      <c r="L3450" s="5" t="str">
        <f t="shared" si="3"/>
        <v>0</v>
      </c>
    </row>
    <row r="3451">
      <c r="A3451" s="6" t="s">
        <v>4780</v>
      </c>
      <c r="B3451" s="7" t="str">
        <f>HYPERLINK("https://shopee.co.id/Safi-Age-Defy-Youth-Elixir-29-gr-i.65323877.8579237524", "https://shopee.co.id/Safi-Age-Defy-Youth-Elixir-29-gr-i.65323877.8579237524")</f>
        <v>https://shopee.co.id/Safi-Age-Defy-Youth-Elixir-29-gr-i.65323877.8579237524</v>
      </c>
      <c r="C3451" s="6" t="s">
        <v>278</v>
      </c>
      <c r="D3451" s="6" t="s">
        <v>1600</v>
      </c>
      <c r="E3451" s="6" t="s">
        <v>12</v>
      </c>
      <c r="F3451" s="6" t="s">
        <v>13</v>
      </c>
      <c r="G3451" s="6" t="s">
        <v>296</v>
      </c>
      <c r="H3451" s="8" t="s">
        <v>3981</v>
      </c>
      <c r="I3451" s="9">
        <v>0.0</v>
      </c>
      <c r="J3451" s="5" t="str">
        <f t="shared" ref="J3451:K3451" si="3451">SUBSTITUTE(H3451, ",", "")</f>
        <v>0</v>
      </c>
      <c r="K3451" s="5" t="str">
        <f t="shared" si="3451"/>
        <v>Rp0</v>
      </c>
      <c r="L3451" s="5" t="str">
        <f t="shared" si="3"/>
        <v>0</v>
      </c>
    </row>
    <row r="3452">
      <c r="A3452" s="6" t="s">
        <v>4781</v>
      </c>
      <c r="B3452" s="7" t="str">
        <f>HYPERLINK("https://shopee.co.id/SAFI-Age-Defy-Youth-Elixir-29g-i.68111.7490881161", "https://shopee.co.id/SAFI-Age-Defy-Youth-Elixir-29g-i.68111.7490881161")</f>
        <v>https://shopee.co.id/SAFI-Age-Defy-Youth-Elixir-29g-i.68111.7490881161</v>
      </c>
      <c r="C3452" s="6" t="s">
        <v>278</v>
      </c>
      <c r="D3452" s="6" t="s">
        <v>441</v>
      </c>
      <c r="E3452" s="6" t="s">
        <v>12</v>
      </c>
      <c r="F3452" s="6" t="s">
        <v>13</v>
      </c>
      <c r="G3452" s="6" t="s">
        <v>130</v>
      </c>
      <c r="H3452" s="8" t="s">
        <v>3981</v>
      </c>
      <c r="I3452" s="9">
        <v>0.0</v>
      </c>
      <c r="J3452" s="5" t="str">
        <f t="shared" ref="J3452:K3452" si="3452">SUBSTITUTE(H3452, ",", "")</f>
        <v>0</v>
      </c>
      <c r="K3452" s="5" t="str">
        <f t="shared" si="3452"/>
        <v>Rp0</v>
      </c>
      <c r="L3452" s="5" t="str">
        <f t="shared" si="3"/>
        <v>0</v>
      </c>
    </row>
    <row r="3453">
      <c r="A3453" s="6" t="s">
        <v>4782</v>
      </c>
      <c r="B3453" s="7" t="str">
        <f>HYPERLINK("https://shopee.co.id/Safi-Serum-Age-Defy-Concentrated-Twinpack-2-x-20-mL-i.65323877.8179914304", "https://shopee.co.id/Safi-Serum-Age-Defy-Concentrated-Twinpack-2-x-20-mL-i.65323877.8179914304")</f>
        <v>https://shopee.co.id/Safi-Serum-Age-Defy-Concentrated-Twinpack-2-x-20-mL-i.65323877.8179914304</v>
      </c>
      <c r="C3453" s="6" t="s">
        <v>278</v>
      </c>
      <c r="D3453" s="6" t="s">
        <v>1600</v>
      </c>
      <c r="E3453" s="6" t="s">
        <v>12</v>
      </c>
      <c r="F3453" s="6" t="s">
        <v>13</v>
      </c>
      <c r="G3453" s="6" t="s">
        <v>296</v>
      </c>
      <c r="H3453" s="8" t="s">
        <v>3981</v>
      </c>
      <c r="I3453" s="9">
        <v>0.0</v>
      </c>
      <c r="J3453" s="5" t="str">
        <f t="shared" ref="J3453:K3453" si="3453">SUBSTITUTE(H3453, ",", "")</f>
        <v>0</v>
      </c>
      <c r="K3453" s="5" t="str">
        <f t="shared" si="3453"/>
        <v>Rp0</v>
      </c>
      <c r="L3453" s="5" t="str">
        <f t="shared" si="3"/>
        <v>0</v>
      </c>
    </row>
    <row r="3454">
      <c r="A3454" s="6" t="s">
        <v>4783</v>
      </c>
      <c r="B3454" s="7" t="str">
        <f>HYPERLINK("https://shopee.co.id/Safi-Whitening-Expert-Ultimate-Essence-20ml-i.10689.1537514911", "https://shopee.co.id/Safi-Whitening-Expert-Ultimate-Essence-20ml-i.10689.1537514911")</f>
        <v>https://shopee.co.id/Safi-Whitening-Expert-Ultimate-Essence-20ml-i.10689.1537514911</v>
      </c>
      <c r="C3454" s="6" t="s">
        <v>278</v>
      </c>
      <c r="D3454" s="6" t="s">
        <v>745</v>
      </c>
      <c r="E3454" s="6" t="s">
        <v>12</v>
      </c>
      <c r="F3454" s="6" t="s">
        <v>13</v>
      </c>
      <c r="G3454" s="6" t="s">
        <v>61</v>
      </c>
      <c r="H3454" s="8" t="s">
        <v>3981</v>
      </c>
      <c r="I3454" s="9">
        <v>0.0</v>
      </c>
      <c r="J3454" s="5" t="str">
        <f t="shared" ref="J3454:K3454" si="3454">SUBSTITUTE(H3454, ",", "")</f>
        <v>0</v>
      </c>
      <c r="K3454" s="5" t="str">
        <f t="shared" si="3454"/>
        <v>Rp0</v>
      </c>
      <c r="L3454" s="5" t="str">
        <f t="shared" si="3"/>
        <v>0</v>
      </c>
    </row>
    <row r="3455">
      <c r="A3455" s="6" t="s">
        <v>4784</v>
      </c>
      <c r="B3455" s="7" t="str">
        <f>HYPERLINK("https://shopee.co.id/Sakura-Collagen-10gr-2-Kolagen-Sodium-Hyaluronate-Anti-Age-Glowing-Booster-Skincare-i.55053110.7745980869", "https://shopee.co.id/Sakura-Collagen-10gr-2-Kolagen-Sodium-Hyaluronate-Anti-Age-Glowing-Booster-Skincare-i.55053110.7745980869")</f>
        <v>https://shopee.co.id/Sakura-Collagen-10gr-2-Kolagen-Sodium-Hyaluronate-Anti-Age-Glowing-Booster-Skincare-i.55053110.7745980869</v>
      </c>
      <c r="C3455" s="6" t="s">
        <v>4785</v>
      </c>
      <c r="D3455" s="6" t="s">
        <v>4786</v>
      </c>
      <c r="E3455" s="6" t="s">
        <v>12</v>
      </c>
      <c r="F3455" s="6" t="s">
        <v>13</v>
      </c>
      <c r="G3455" s="6" t="s">
        <v>98</v>
      </c>
      <c r="H3455" s="8" t="s">
        <v>3981</v>
      </c>
      <c r="I3455" s="9">
        <v>0.0</v>
      </c>
      <c r="J3455" s="5" t="str">
        <f t="shared" ref="J3455:K3455" si="3455">SUBSTITUTE(H3455, ",", "")</f>
        <v>0</v>
      </c>
      <c r="K3455" s="5" t="str">
        <f t="shared" si="3455"/>
        <v>Rp0</v>
      </c>
      <c r="L3455" s="5" t="str">
        <f t="shared" si="3"/>
        <v>0</v>
      </c>
    </row>
    <row r="3456">
      <c r="A3456" s="6" t="s">
        <v>4787</v>
      </c>
      <c r="B3456" s="7" t="str">
        <f>HYPERLINK("https://shopee.co.id/Sarae-Glowing-Serum-Niacinamide-with-CICA-Centella-Asiatica-20-ml-x-2-pcs-i.20723335.13401676141", "https://shopee.co.id/Sarae-Glowing-Serum-Niacinamide-with-CICA-Centella-Asiatica-20-ml-x-2-pcs-i.20723335.13401676141")</f>
        <v>https://shopee.co.id/Sarae-Glowing-Serum-Niacinamide-with-CICA-Centella-Asiatica-20-ml-x-2-pcs-i.20723335.13401676141</v>
      </c>
      <c r="C3456" s="6" t="s">
        <v>2042</v>
      </c>
      <c r="D3456" s="6" t="s">
        <v>2043</v>
      </c>
      <c r="E3456" s="6" t="s">
        <v>12</v>
      </c>
      <c r="F3456" s="6" t="s">
        <v>13</v>
      </c>
      <c r="G3456" s="6" t="s">
        <v>241</v>
      </c>
      <c r="H3456" s="8" t="s">
        <v>3981</v>
      </c>
      <c r="I3456" s="9">
        <v>0.0</v>
      </c>
      <c r="J3456" s="5" t="str">
        <f t="shared" ref="J3456:K3456" si="3456">SUBSTITUTE(H3456, ",", "")</f>
        <v>0</v>
      </c>
      <c r="K3456" s="5" t="str">
        <f t="shared" si="3456"/>
        <v>Rp0</v>
      </c>
      <c r="L3456" s="5" t="str">
        <f t="shared" si="3"/>
        <v>0</v>
      </c>
    </row>
    <row r="3457">
      <c r="A3457" s="6" t="s">
        <v>4788</v>
      </c>
      <c r="B3457" s="7" t="str">
        <f>HYPERLINK("https://shopee.co.id/Sariayu-Econature-Nutreage-Face-Serum-24-15-i.138164542.2090304159", "https://shopee.co.id/Sariayu-Econature-Nutreage-Face-Serum-24-15-i.138164542.2090304159")</f>
        <v>https://shopee.co.id/Sariayu-Econature-Nutreage-Face-Serum-24-15-i.138164542.2090304159</v>
      </c>
      <c r="C3457" s="6" t="s">
        <v>4789</v>
      </c>
      <c r="D3457" s="6" t="s">
        <v>4790</v>
      </c>
      <c r="E3457" s="6" t="s">
        <v>12</v>
      </c>
      <c r="F3457" s="6" t="s">
        <v>13</v>
      </c>
      <c r="G3457" s="6" t="s">
        <v>469</v>
      </c>
      <c r="H3457" s="8" t="s">
        <v>3981</v>
      </c>
      <c r="I3457" s="9">
        <v>0.0</v>
      </c>
      <c r="J3457" s="5" t="str">
        <f t="shared" ref="J3457:K3457" si="3457">SUBSTITUTE(H3457, ",", "")</f>
        <v>0</v>
      </c>
      <c r="K3457" s="5" t="str">
        <f t="shared" si="3457"/>
        <v>Rp0</v>
      </c>
      <c r="L3457" s="5" t="str">
        <f t="shared" si="3"/>
        <v>0</v>
      </c>
    </row>
    <row r="3458">
      <c r="A3458" s="6" t="s">
        <v>4791</v>
      </c>
      <c r="B3458" s="7" t="str">
        <f>HYPERLINK("https://shopee.co.id/SBC-Skin-Retinol-Renewal-Serum-20ml-i.825870.4857101416", "https://shopee.co.id/SBC-Skin-Retinol-Renewal-Serum-20ml-i.825870.4857101416")</f>
        <v>https://shopee.co.id/SBC-Skin-Retinol-Renewal-Serum-20ml-i.825870.4857101416</v>
      </c>
      <c r="C3458" s="6" t="s">
        <v>1775</v>
      </c>
      <c r="D3458" s="6" t="s">
        <v>1184</v>
      </c>
      <c r="E3458" s="6" t="s">
        <v>12</v>
      </c>
      <c r="F3458" s="6" t="s">
        <v>13</v>
      </c>
      <c r="G3458" s="6" t="s">
        <v>21</v>
      </c>
      <c r="H3458" s="8" t="s">
        <v>3981</v>
      </c>
      <c r="I3458" s="9">
        <v>0.0</v>
      </c>
      <c r="J3458" s="5" t="str">
        <f t="shared" ref="J3458:K3458" si="3458">SUBSTITUTE(H3458, ",", "")</f>
        <v>0</v>
      </c>
      <c r="K3458" s="5" t="str">
        <f t="shared" si="3458"/>
        <v>Rp0</v>
      </c>
      <c r="L3458" s="5" t="str">
        <f t="shared" si="3"/>
        <v>0</v>
      </c>
    </row>
    <row r="3459">
      <c r="A3459" s="6" t="s">
        <v>4792</v>
      </c>
      <c r="B3459" s="7" t="str">
        <f>HYPERLINK("https://shopee.co.id/SBC-Skin-Vit-C-15-Skin-Booster-Antioxidant-Serum-20ml-i.825870.6950218522", "https://shopee.co.id/SBC-Skin-Vit-C-15-Skin-Booster-Antioxidant-Serum-20ml-i.825870.6950218522")</f>
        <v>https://shopee.co.id/SBC-Skin-Vit-C-15-Skin-Booster-Antioxidant-Serum-20ml-i.825870.6950218522</v>
      </c>
      <c r="C3459" s="6" t="s">
        <v>1775</v>
      </c>
      <c r="D3459" s="6" t="s">
        <v>1184</v>
      </c>
      <c r="E3459" s="6" t="s">
        <v>12</v>
      </c>
      <c r="F3459" s="6" t="s">
        <v>13</v>
      </c>
      <c r="G3459" s="6" t="s">
        <v>21</v>
      </c>
      <c r="H3459" s="8" t="s">
        <v>3981</v>
      </c>
      <c r="I3459" s="9">
        <v>0.0</v>
      </c>
      <c r="J3459" s="5" t="str">
        <f t="shared" ref="J3459:K3459" si="3459">SUBSTITUTE(H3459, ",", "")</f>
        <v>0</v>
      </c>
      <c r="K3459" s="5" t="str">
        <f t="shared" si="3459"/>
        <v>Rp0</v>
      </c>
      <c r="L3459" s="5" t="str">
        <f t="shared" si="3"/>
        <v>0</v>
      </c>
    </row>
    <row r="3460">
      <c r="A3460" s="6" t="s">
        <v>4793</v>
      </c>
      <c r="B3460" s="7" t="str">
        <f>HYPERLINK("https://shopee.co.id/Sbcskin-Vit-C-15-Skin-Booster-And-Antioxidant-Serum-20ml-i.10689.9184728177", "https://shopee.co.id/Sbcskin-Vit-C-15-Skin-Booster-And-Antioxidant-Serum-20ml-i.10689.9184728177")</f>
        <v>https://shopee.co.id/Sbcskin-Vit-C-15-Skin-Booster-And-Antioxidant-Serum-20ml-i.10689.9184728177</v>
      </c>
      <c r="C3460" s="6" t="s">
        <v>1775</v>
      </c>
      <c r="D3460" s="6" t="s">
        <v>745</v>
      </c>
      <c r="E3460" s="6" t="s">
        <v>12</v>
      </c>
      <c r="F3460" s="6" t="s">
        <v>13</v>
      </c>
      <c r="G3460" s="6" t="s">
        <v>61</v>
      </c>
      <c r="H3460" s="8" t="s">
        <v>3981</v>
      </c>
      <c r="I3460" s="9">
        <v>0.0</v>
      </c>
      <c r="J3460" s="5" t="str">
        <f t="shared" ref="J3460:K3460" si="3460">SUBSTITUTE(H3460, ",", "")</f>
        <v>0</v>
      </c>
      <c r="K3460" s="5" t="str">
        <f t="shared" si="3460"/>
        <v>Rp0</v>
      </c>
      <c r="L3460" s="5" t="str">
        <f t="shared" si="3"/>
        <v>0</v>
      </c>
    </row>
    <row r="3461">
      <c r="A3461" s="6" t="s">
        <v>4794</v>
      </c>
      <c r="B3461" s="7" t="str">
        <f>HYPERLINK("https://shopee.co.id/SCARLETT-Whitening-Acne-Serum-i.187117294.6048082225", "https://shopee.co.id/SCARLETT-Whitening-Acne-Serum-i.187117294.6048082225")</f>
        <v>https://shopee.co.id/SCARLETT-Whitening-Acne-Serum-i.187117294.6048082225</v>
      </c>
      <c r="C3461" s="6" t="s">
        <v>19</v>
      </c>
      <c r="D3461" s="6" t="s">
        <v>2366</v>
      </c>
      <c r="E3461" s="6" t="s">
        <v>12</v>
      </c>
      <c r="F3461" s="6" t="s">
        <v>13</v>
      </c>
      <c r="G3461" s="6" t="s">
        <v>469</v>
      </c>
      <c r="H3461" s="8" t="s">
        <v>3981</v>
      </c>
      <c r="I3461" s="9">
        <v>0.0</v>
      </c>
      <c r="J3461" s="5" t="str">
        <f t="shared" ref="J3461:K3461" si="3461">SUBSTITUTE(H3461, ",", "")</f>
        <v>0</v>
      </c>
      <c r="K3461" s="5" t="str">
        <f t="shared" si="3461"/>
        <v>Rp0</v>
      </c>
      <c r="L3461" s="5" t="str">
        <f t="shared" si="3"/>
        <v>0</v>
      </c>
    </row>
    <row r="3462">
      <c r="A3462" s="6" t="s">
        <v>4795</v>
      </c>
      <c r="B3462" s="7" t="str">
        <f>HYPERLINK("https://shopee.co.id/SCARLETT-Whitening-Acne-Serum-Tea-Tree-Anti-Jerawat-15-ml-i.332732864.5879841614", "https://shopee.co.id/SCARLETT-Whitening-Acne-Serum-Tea-Tree-Anti-Jerawat-15-ml-i.332732864.5879841614")</f>
        <v>https://shopee.co.id/SCARLETT-Whitening-Acne-Serum-Tea-Tree-Anti-Jerawat-15-ml-i.332732864.5879841614</v>
      </c>
      <c r="C3462" s="6" t="s">
        <v>19</v>
      </c>
      <c r="D3462" s="6" t="s">
        <v>3780</v>
      </c>
      <c r="E3462" s="6" t="s">
        <v>12</v>
      </c>
      <c r="F3462" s="6" t="s">
        <v>13</v>
      </c>
      <c r="G3462" s="6" t="s">
        <v>21</v>
      </c>
      <c r="H3462" s="8" t="s">
        <v>3981</v>
      </c>
      <c r="I3462" s="9">
        <v>0.0</v>
      </c>
      <c r="J3462" s="5" t="str">
        <f t="shared" ref="J3462:K3462" si="3462">SUBSTITUTE(H3462, ",", "")</f>
        <v>0</v>
      </c>
      <c r="K3462" s="5" t="str">
        <f t="shared" si="3462"/>
        <v>Rp0</v>
      </c>
      <c r="L3462" s="5" t="str">
        <f t="shared" si="3"/>
        <v>0</v>
      </c>
    </row>
    <row r="3463">
      <c r="A3463" s="6" t="s">
        <v>4796</v>
      </c>
      <c r="B3463" s="7" t="str">
        <f>HYPERLINK("https://shopee.co.id/SCARLETT-WHITENING-Acne-to-Glow-Mini-Series-5ml-i.68111.11935384609", "https://shopee.co.id/SCARLETT-WHITENING-Acne-to-Glow-Mini-Series-5ml-i.68111.11935384609")</f>
        <v>https://shopee.co.id/SCARLETT-WHITENING-Acne-to-Glow-Mini-Series-5ml-i.68111.11935384609</v>
      </c>
      <c r="C3463" s="6" t="s">
        <v>19</v>
      </c>
      <c r="D3463" s="6" t="s">
        <v>441</v>
      </c>
      <c r="E3463" s="6" t="s">
        <v>12</v>
      </c>
      <c r="F3463" s="6" t="s">
        <v>13</v>
      </c>
      <c r="G3463" s="6" t="s">
        <v>130</v>
      </c>
      <c r="H3463" s="8" t="s">
        <v>3981</v>
      </c>
      <c r="I3463" s="9">
        <v>0.0</v>
      </c>
      <c r="J3463" s="5" t="str">
        <f t="shared" ref="J3463:K3463" si="3463">SUBSTITUTE(H3463, ",", "")</f>
        <v>0</v>
      </c>
      <c r="K3463" s="5" t="str">
        <f t="shared" si="3463"/>
        <v>Rp0</v>
      </c>
      <c r="L3463" s="5" t="str">
        <f t="shared" si="3"/>
        <v>0</v>
      </c>
    </row>
    <row r="3464">
      <c r="A3464" s="6" t="s">
        <v>4797</v>
      </c>
      <c r="B3464" s="7" t="str">
        <f>HYPERLINK("https://shopee.co.id/SECA-Bye-Dark-Spot-Bundle-AHA-Alpha-Arbutin--i.373749700.10724035815", "https://shopee.co.id/SECA-Bye-Dark-Spot-Bundle-AHA-Alpha-Arbutin--i.373749700.10724035815")</f>
        <v>https://shopee.co.id/SECA-Bye-Dark-Spot-Bundle-AHA-Alpha-Arbutin--i.373749700.10724035815</v>
      </c>
      <c r="C3464" s="6" t="s">
        <v>1359</v>
      </c>
      <c r="D3464" s="6" t="s">
        <v>986</v>
      </c>
      <c r="E3464" s="6" t="s">
        <v>12</v>
      </c>
      <c r="F3464" s="6" t="s">
        <v>13</v>
      </c>
      <c r="G3464" s="6" t="s">
        <v>36</v>
      </c>
      <c r="H3464" s="8" t="s">
        <v>3981</v>
      </c>
      <c r="I3464" s="9">
        <v>0.0</v>
      </c>
      <c r="J3464" s="5" t="str">
        <f t="shared" ref="J3464:K3464" si="3464">SUBSTITUTE(H3464, ",", "")</f>
        <v>0</v>
      </c>
      <c r="K3464" s="5" t="str">
        <f t="shared" si="3464"/>
        <v>Rp0</v>
      </c>
      <c r="L3464" s="5" t="str">
        <f t="shared" si="3"/>
        <v>0</v>
      </c>
    </row>
    <row r="3465">
      <c r="A3465" s="6" t="s">
        <v>4798</v>
      </c>
      <c r="B3465" s="7" t="str">
        <f>HYPERLINK("https://shopee.co.id/SECA-Intense-Hydration-Bundle-HA-Ceramide--i.373749700.8987234599", "https://shopee.co.id/SECA-Intense-Hydration-Bundle-HA-Ceramide--i.373749700.8987234599")</f>
        <v>https://shopee.co.id/SECA-Intense-Hydration-Bundle-HA-Ceramide--i.373749700.8987234599</v>
      </c>
      <c r="C3465" s="6" t="s">
        <v>985</v>
      </c>
      <c r="D3465" s="6" t="s">
        <v>986</v>
      </c>
      <c r="E3465" s="6" t="s">
        <v>12</v>
      </c>
      <c r="F3465" s="6" t="s">
        <v>13</v>
      </c>
      <c r="G3465" s="6" t="s">
        <v>36</v>
      </c>
      <c r="H3465" s="8" t="s">
        <v>3981</v>
      </c>
      <c r="I3465" s="9">
        <v>0.0</v>
      </c>
      <c r="J3465" s="5" t="str">
        <f t="shared" ref="J3465:K3465" si="3465">SUBSTITUTE(H3465, ",", "")</f>
        <v>0</v>
      </c>
      <c r="K3465" s="5" t="str">
        <f t="shared" si="3465"/>
        <v>Rp0</v>
      </c>
      <c r="L3465" s="5" t="str">
        <f t="shared" si="3"/>
        <v>0</v>
      </c>
    </row>
    <row r="3466">
      <c r="A3466" s="6" t="s">
        <v>4799</v>
      </c>
      <c r="B3466" s="7" t="str">
        <f>HYPERLINK("https://shopee.co.id/Secret-Key-Starting-Treatment-Essence-Rose-Edition-BATIK-i.30736001.9051700737", "https://shopee.co.id/Secret-Key-Starting-Treatment-Essence-Rose-Edition-BATIK-i.30736001.9051700737")</f>
        <v>https://shopee.co.id/Secret-Key-Starting-Treatment-Essence-Rose-Edition-BATIK-i.30736001.9051700737</v>
      </c>
      <c r="C3466" s="6" t="s">
        <v>1340</v>
      </c>
      <c r="D3466" s="6" t="s">
        <v>335</v>
      </c>
      <c r="E3466" s="6" t="s">
        <v>12</v>
      </c>
      <c r="F3466" s="6" t="s">
        <v>13</v>
      </c>
      <c r="G3466" s="6" t="s">
        <v>36</v>
      </c>
      <c r="H3466" s="8" t="s">
        <v>3981</v>
      </c>
      <c r="I3466" s="9">
        <v>0.0</v>
      </c>
      <c r="J3466" s="5" t="str">
        <f t="shared" ref="J3466:K3466" si="3466">SUBSTITUTE(H3466, ",", "")</f>
        <v>0</v>
      </c>
      <c r="K3466" s="5" t="str">
        <f t="shared" si="3466"/>
        <v>Rp0</v>
      </c>
      <c r="L3466" s="5" t="str">
        <f t="shared" si="3"/>
        <v>0</v>
      </c>
    </row>
    <row r="3467">
      <c r="A3467" s="6" t="s">
        <v>4800</v>
      </c>
      <c r="B3467" s="7" t="str">
        <f>HYPERLINK("https://shopee.co.id/Seger-Snow-Moisturizing-Serum-15ml-x-2pcs-Melembabkan-Wajah-Hingga-8-Jam-Minyak-Kemiri-30ml-x-3-i.221165466.6490775565", "https://shopee.co.id/Seger-Snow-Moisturizing-Serum-15ml-x-2pcs-Melembabkan-Wajah-Hingga-8-Jam-Minyak-Kemiri-30ml-x-3-i.221165466.6490775565")</f>
        <v>https://shopee.co.id/Seger-Snow-Moisturizing-Serum-15ml-x-2pcs-Melembabkan-Wajah-Hingga-8-Jam-Minyak-Kemiri-30ml-x-3-i.221165466.6490775565</v>
      </c>
      <c r="C3467" s="6" t="s">
        <v>2005</v>
      </c>
      <c r="D3467" s="6" t="s">
        <v>2006</v>
      </c>
      <c r="E3467" s="6" t="s">
        <v>12</v>
      </c>
      <c r="F3467" s="6" t="s">
        <v>13</v>
      </c>
      <c r="G3467" s="6" t="s">
        <v>241</v>
      </c>
      <c r="H3467" s="8" t="s">
        <v>3981</v>
      </c>
      <c r="I3467" s="9">
        <v>0.0</v>
      </c>
      <c r="J3467" s="5" t="str">
        <f t="shared" ref="J3467:K3467" si="3467">SUBSTITUTE(H3467, ",", "")</f>
        <v>0</v>
      </c>
      <c r="K3467" s="5" t="str">
        <f t="shared" si="3467"/>
        <v>Rp0</v>
      </c>
      <c r="L3467" s="5" t="str">
        <f t="shared" si="3"/>
        <v>0</v>
      </c>
    </row>
    <row r="3468">
      <c r="A3468" s="6" t="s">
        <v>4801</v>
      </c>
      <c r="B3468" s="7" t="str">
        <f>HYPERLINK("https://shopee.co.id/SERUM-DOUBLE-GLOWING-SERUM-JERAWAT-MENCERAHKAN-OBAT-JERAWAT-AMPUH-KULIT-BERMINYAK-i.3990192.2631769950", "https://shopee.co.id/SERUM-DOUBLE-GLOWING-SERUM-JERAWAT-MENCERAHKAN-OBAT-JERAWAT-AMPUH-KULIT-BERMINYAK-i.3990192.2631769950")</f>
        <v>https://shopee.co.id/SERUM-DOUBLE-GLOWING-SERUM-JERAWAT-MENCERAHKAN-OBAT-JERAWAT-AMPUH-KULIT-BERMINYAK-i.3990192.2631769950</v>
      </c>
      <c r="C3468" s="6" t="s">
        <v>2579</v>
      </c>
      <c r="D3468" s="6" t="s">
        <v>2580</v>
      </c>
      <c r="E3468" s="6" t="s">
        <v>12</v>
      </c>
      <c r="F3468" s="6" t="s">
        <v>13</v>
      </c>
      <c r="G3468" s="6" t="s">
        <v>1085</v>
      </c>
      <c r="H3468" s="8" t="s">
        <v>3981</v>
      </c>
      <c r="I3468" s="9">
        <v>0.0</v>
      </c>
      <c r="J3468" s="5" t="str">
        <f t="shared" ref="J3468:K3468" si="3468">SUBSTITUTE(H3468, ",", "")</f>
        <v>0</v>
      </c>
      <c r="K3468" s="5" t="str">
        <f t="shared" si="3468"/>
        <v>Rp0</v>
      </c>
      <c r="L3468" s="5" t="str">
        <f t="shared" si="3"/>
        <v>0</v>
      </c>
    </row>
    <row r="3469">
      <c r="A3469" s="6" t="s">
        <v>4802</v>
      </c>
      <c r="B3469" s="7" t="str">
        <f>HYPERLINK("https://shopee.co.id/Serum-Gel-Moisturizer-BUNDLE-PR-KIT-i.59474489.6095169817", "https://shopee.co.id/Serum-Gel-Moisturizer-BUNDLE-PR-KIT-i.59474489.6095169817")</f>
        <v>https://shopee.co.id/Serum-Gel-Moisturizer-BUNDLE-PR-KIT-i.59474489.6095169817</v>
      </c>
      <c r="C3469" s="6" t="s">
        <v>627</v>
      </c>
      <c r="D3469" s="6" t="s">
        <v>627</v>
      </c>
      <c r="E3469" s="6" t="s">
        <v>12</v>
      </c>
      <c r="F3469" s="6" t="s">
        <v>13</v>
      </c>
      <c r="G3469" s="6" t="s">
        <v>21</v>
      </c>
      <c r="H3469" s="8" t="s">
        <v>3981</v>
      </c>
      <c r="I3469" s="9">
        <v>0.0</v>
      </c>
      <c r="J3469" s="5" t="str">
        <f t="shared" ref="J3469:K3469" si="3469">SUBSTITUTE(H3469, ",", "")</f>
        <v>0</v>
      </c>
      <c r="K3469" s="5" t="str">
        <f t="shared" si="3469"/>
        <v>Rp0</v>
      </c>
      <c r="L3469" s="5" t="str">
        <f t="shared" si="3"/>
        <v>0</v>
      </c>
    </row>
    <row r="3470">
      <c r="A3470" s="6" t="s">
        <v>4803</v>
      </c>
      <c r="B3470" s="7" t="str">
        <f>HYPERLINK("https://shopee.co.id/Serum-Kecantikan-Korea-Terbaik-Aish-Acne-Serum-Penghilang-Jerawat-Beserta-Bekasnya-Mengatasi-Bruntusan-Dengan-Cepat-Tanpa-Efek-Samping-i.270327756.11849465342", "https://shopee.co.id/Serum-Kecantikan-Korea-Terbaik-Aish-Acne-Serum-Penghilang-Jerawat-Beserta-Bekasnya-Mengatasi-Bruntusan-Dengan-Cepat-Tanpa-Efek-Samping-i.270327756.11849465342")</f>
        <v>https://shopee.co.id/Serum-Kecantikan-Korea-Terbaik-Aish-Acne-Serum-Penghilang-Jerawat-Beserta-Bekasnya-Mengatasi-Bruntusan-Dengan-Cepat-Tanpa-Efek-Samping-i.270327756.11849465342</v>
      </c>
      <c r="C3470" s="6" t="s">
        <v>348</v>
      </c>
      <c r="D3470" s="6" t="s">
        <v>3813</v>
      </c>
      <c r="E3470" s="6" t="s">
        <v>12</v>
      </c>
      <c r="F3470" s="6" t="s">
        <v>13</v>
      </c>
      <c r="G3470" s="6" t="s">
        <v>350</v>
      </c>
      <c r="H3470" s="8" t="s">
        <v>3981</v>
      </c>
      <c r="I3470" s="9">
        <v>0.0</v>
      </c>
      <c r="J3470" s="5" t="str">
        <f t="shared" ref="J3470:K3470" si="3470">SUBSTITUTE(H3470, ",", "")</f>
        <v>0</v>
      </c>
      <c r="K3470" s="5" t="str">
        <f t="shared" si="3470"/>
        <v>Rp0</v>
      </c>
      <c r="L3470" s="5" t="str">
        <f t="shared" si="3"/>
        <v>0</v>
      </c>
    </row>
    <row r="3471">
      <c r="A3471" s="6" t="s">
        <v>4804</v>
      </c>
      <c r="B3471" s="7" t="str">
        <f>HYPERLINK("https://shopee.co.id/Serum-Wajah-Eucalie-Argan-Oil-Anti-Aging-Serum-20-mL-i.18163317.9659249973", "https://shopee.co.id/Serum-Wajah-Eucalie-Argan-Oil-Anti-Aging-Serum-20-mL-i.18163317.9659249973")</f>
        <v>https://shopee.co.id/Serum-Wajah-Eucalie-Argan-Oil-Anti-Aging-Serum-20-mL-i.18163317.9659249973</v>
      </c>
      <c r="C3471" s="6" t="s">
        <v>4805</v>
      </c>
      <c r="D3471" s="6" t="s">
        <v>3715</v>
      </c>
      <c r="E3471" s="6" t="s">
        <v>12</v>
      </c>
      <c r="F3471" s="6" t="s">
        <v>13</v>
      </c>
      <c r="G3471" s="6" t="s">
        <v>98</v>
      </c>
      <c r="H3471" s="8" t="s">
        <v>3981</v>
      </c>
      <c r="I3471" s="9">
        <v>0.0</v>
      </c>
      <c r="J3471" s="5" t="str">
        <f t="shared" ref="J3471:K3471" si="3471">SUBSTITUTE(H3471, ",", "")</f>
        <v>0</v>
      </c>
      <c r="K3471" s="5" t="str">
        <f t="shared" si="3471"/>
        <v>Rp0</v>
      </c>
      <c r="L3471" s="5" t="str">
        <f t="shared" si="3"/>
        <v>0</v>
      </c>
    </row>
    <row r="3472">
      <c r="A3472" s="6" t="s">
        <v>4806</v>
      </c>
      <c r="B3472" s="7" t="str">
        <f>HYPERLINK("https://shopee.co.id/Serum-Wajah-Uriage-Eau-Thermal-Water-Serum-30-mL-i.18163317.5349913029", "https://shopee.co.id/Serum-Wajah-Uriage-Eau-Thermal-Water-Serum-30-mL-i.18163317.5349913029")</f>
        <v>https://shopee.co.id/Serum-Wajah-Uriage-Eau-Thermal-Water-Serum-30-mL-i.18163317.5349913029</v>
      </c>
      <c r="C3472" s="6" t="s">
        <v>4807</v>
      </c>
      <c r="D3472" s="6" t="s">
        <v>3715</v>
      </c>
      <c r="E3472" s="6" t="s">
        <v>12</v>
      </c>
      <c r="F3472" s="6" t="s">
        <v>13</v>
      </c>
      <c r="G3472" s="6" t="s">
        <v>98</v>
      </c>
      <c r="H3472" s="8" t="s">
        <v>3981</v>
      </c>
      <c r="I3472" s="9">
        <v>0.0</v>
      </c>
      <c r="J3472" s="5" t="str">
        <f t="shared" ref="J3472:K3472" si="3472">SUBSTITUTE(H3472, ",", "")</f>
        <v>0</v>
      </c>
      <c r="K3472" s="5" t="str">
        <f t="shared" si="3472"/>
        <v>Rp0</v>
      </c>
      <c r="L3472" s="5" t="str">
        <f t="shared" si="3"/>
        <v>0</v>
      </c>
    </row>
    <row r="3473">
      <c r="A3473" s="6" t="s">
        <v>4808</v>
      </c>
      <c r="B3473" s="7" t="str">
        <f>HYPERLINK("https://shopee.co.id/Serum-White-4ml-Safe-For-Bumil-Busui-Promo-Special-Buy-1-Get-1-Free--i.108311902.3129683630", "https://shopee.co.id/Serum-White-4ml-Safe-For-Bumil-Busui-Promo-Special-Buy-1-Get-1-Free--i.108311902.3129683630")</f>
        <v>https://shopee.co.id/Serum-White-4ml-Safe-For-Bumil-Busui-Promo-Special-Buy-1-Get-1-Free--i.108311902.3129683630</v>
      </c>
      <c r="C3473" s="6" t="s">
        <v>3473</v>
      </c>
      <c r="D3473" s="6" t="s">
        <v>3474</v>
      </c>
      <c r="E3473" s="6" t="s">
        <v>12</v>
      </c>
      <c r="F3473" s="6" t="s">
        <v>13</v>
      </c>
      <c r="G3473" s="6" t="s">
        <v>350</v>
      </c>
      <c r="H3473" s="8" t="s">
        <v>3981</v>
      </c>
      <c r="I3473" s="9">
        <v>0.0</v>
      </c>
      <c r="J3473" s="5" t="str">
        <f t="shared" ref="J3473:K3473" si="3473">SUBSTITUTE(H3473, ",", "")</f>
        <v>0</v>
      </c>
      <c r="K3473" s="5" t="str">
        <f t="shared" si="3473"/>
        <v>Rp0</v>
      </c>
      <c r="L3473" s="5" t="str">
        <f t="shared" si="3"/>
        <v>0</v>
      </c>
    </row>
    <row r="3474">
      <c r="A3474" s="6" t="s">
        <v>4809</v>
      </c>
      <c r="B3474" s="7" t="str">
        <f>HYPERLINK("https://shopee.co.id/Serum-White-4ml-Acne-Skin-Promo-Special-Buy-1-Get-1-Free--i.108311902.3719992618", "https://shopee.co.id/Serum-White-4ml-Acne-Skin-Promo-Special-Buy-1-Get-1-Free--i.108311902.3719992618")</f>
        <v>https://shopee.co.id/Serum-White-4ml-Acne-Skin-Promo-Special-Buy-1-Get-1-Free--i.108311902.3719992618</v>
      </c>
      <c r="C3474" s="6" t="s">
        <v>3473</v>
      </c>
      <c r="D3474" s="6" t="s">
        <v>3474</v>
      </c>
      <c r="E3474" s="6" t="s">
        <v>12</v>
      </c>
      <c r="F3474" s="6" t="s">
        <v>13</v>
      </c>
      <c r="G3474" s="6" t="s">
        <v>350</v>
      </c>
      <c r="H3474" s="8" t="s">
        <v>3981</v>
      </c>
      <c r="I3474" s="9">
        <v>0.0</v>
      </c>
      <c r="J3474" s="5" t="str">
        <f t="shared" ref="J3474:K3474" si="3474">SUBSTITUTE(H3474, ",", "")</f>
        <v>0</v>
      </c>
      <c r="K3474" s="5" t="str">
        <f t="shared" si="3474"/>
        <v>Rp0</v>
      </c>
      <c r="L3474" s="5" t="str">
        <f t="shared" si="3"/>
        <v>0</v>
      </c>
    </row>
    <row r="3475">
      <c r="A3475" s="6" t="s">
        <v>4810</v>
      </c>
      <c r="B3475" s="7" t="str">
        <f>HYPERLINK("https://shopee.co.id/Serum-You-Need-Me-Mengatasi-Jerawat-dan-Bruntusan-TERLARIS-15-ml-i.8093738.8172151194", "https://shopee.co.id/Serum-You-Need-Me-Mengatasi-Jerawat-dan-Bruntusan-TERLARIS-15-ml-i.8093738.8172151194")</f>
        <v>https://shopee.co.id/Serum-You-Need-Me-Mengatasi-Jerawat-dan-Bruntusan-TERLARIS-15-ml-i.8093738.8172151194</v>
      </c>
      <c r="C3475" s="6" t="s">
        <v>4811</v>
      </c>
      <c r="D3475" s="6" t="s">
        <v>4812</v>
      </c>
      <c r="E3475" s="6" t="s">
        <v>12</v>
      </c>
      <c r="F3475" s="6" t="s">
        <v>13</v>
      </c>
      <c r="G3475" s="6" t="s">
        <v>350</v>
      </c>
      <c r="H3475" s="8" t="s">
        <v>3981</v>
      </c>
      <c r="I3475" s="9">
        <v>0.0</v>
      </c>
      <c r="J3475" s="5" t="str">
        <f t="shared" ref="J3475:K3475" si="3475">SUBSTITUTE(H3475, ",", "")</f>
        <v>0</v>
      </c>
      <c r="K3475" s="5" t="str">
        <f t="shared" si="3475"/>
        <v>Rp0</v>
      </c>
      <c r="L3475" s="5" t="str">
        <f t="shared" si="3"/>
        <v>0</v>
      </c>
    </row>
    <row r="3476">
      <c r="A3476" s="6" t="s">
        <v>4813</v>
      </c>
      <c r="B3476" s="7" t="str">
        <f>HYPERLINK("https://shopee.co.id/Shiseido-Future-Solution-LX-Radiance-Serum-30ml-i.345419471.5070599358", "https://shopee.co.id/Shiseido-Future-Solution-LX-Radiance-Serum-30ml-i.345419471.5070599358")</f>
        <v>https://shopee.co.id/Shiseido-Future-Solution-LX-Radiance-Serum-30ml-i.345419471.5070599358</v>
      </c>
      <c r="C3476" s="6" t="s">
        <v>868</v>
      </c>
      <c r="D3476" s="6" t="s">
        <v>869</v>
      </c>
      <c r="E3476" s="6" t="s">
        <v>12</v>
      </c>
      <c r="F3476" s="6" t="s">
        <v>13</v>
      </c>
      <c r="G3476" s="6" t="s">
        <v>130</v>
      </c>
      <c r="H3476" s="8" t="s">
        <v>3981</v>
      </c>
      <c r="I3476" s="9">
        <v>0.0</v>
      </c>
      <c r="J3476" s="5" t="str">
        <f t="shared" ref="J3476:K3476" si="3476">SUBSTITUTE(H3476, ",", "")</f>
        <v>0</v>
      </c>
      <c r="K3476" s="5" t="str">
        <f t="shared" si="3476"/>
        <v>Rp0</v>
      </c>
      <c r="L3476" s="5" t="str">
        <f t="shared" si="3"/>
        <v>0</v>
      </c>
    </row>
    <row r="3477">
      <c r="A3477" s="6" t="s">
        <v>4814</v>
      </c>
      <c r="B3477" s="7" t="str">
        <f>HYPERLINK("https://shopee.co.id/Shiseido-New-Ultimune-Infusing-Concentrate-Serum-30-ML-i.345419471.8803832617", "https://shopee.co.id/Shiseido-New-Ultimune-Infusing-Concentrate-Serum-30-ML-i.345419471.8803832617")</f>
        <v>https://shopee.co.id/Shiseido-New-Ultimune-Infusing-Concentrate-Serum-30-ML-i.345419471.8803832617</v>
      </c>
      <c r="C3477" s="6" t="s">
        <v>868</v>
      </c>
      <c r="D3477" s="6" t="s">
        <v>869</v>
      </c>
      <c r="E3477" s="6" t="s">
        <v>12</v>
      </c>
      <c r="F3477" s="6" t="s">
        <v>13</v>
      </c>
      <c r="G3477" s="6" t="s">
        <v>130</v>
      </c>
      <c r="H3477" s="8" t="s">
        <v>3981</v>
      </c>
      <c r="I3477" s="9">
        <v>0.0</v>
      </c>
      <c r="J3477" s="5" t="str">
        <f t="shared" ref="J3477:K3477" si="3477">SUBSTITUTE(H3477, ",", "")</f>
        <v>0</v>
      </c>
      <c r="K3477" s="5" t="str">
        <f t="shared" si="3477"/>
        <v>Rp0</v>
      </c>
      <c r="L3477" s="5" t="str">
        <f t="shared" si="3"/>
        <v>0</v>
      </c>
    </row>
    <row r="3478">
      <c r="A3478" s="6" t="s">
        <v>4815</v>
      </c>
      <c r="B3478" s="7" t="str">
        <f>HYPERLINK("https://shopee.co.id/Shiseido-Ultimune-Power-Infusing-Concentrate-Serum-Duo-Set-50ml-50ml-Refill-i.345419471.5269554446", "https://shopee.co.id/Shiseido-Ultimune-Power-Infusing-Concentrate-Serum-Duo-Set-50ml-50ml-Refill-i.345419471.5269554446")</f>
        <v>https://shopee.co.id/Shiseido-Ultimune-Power-Infusing-Concentrate-Serum-Duo-Set-50ml-50ml-Refill-i.345419471.5269554446</v>
      </c>
      <c r="C3478" s="6" t="s">
        <v>868</v>
      </c>
      <c r="D3478" s="6" t="s">
        <v>869</v>
      </c>
      <c r="E3478" s="6" t="s">
        <v>12</v>
      </c>
      <c r="F3478" s="6" t="s">
        <v>13</v>
      </c>
      <c r="G3478" s="6" t="s">
        <v>130</v>
      </c>
      <c r="H3478" s="8" t="s">
        <v>3981</v>
      </c>
      <c r="I3478" s="9">
        <v>0.0</v>
      </c>
      <c r="J3478" s="5" t="str">
        <f t="shared" ref="J3478:K3478" si="3478">SUBSTITUTE(H3478, ",", "")</f>
        <v>0</v>
      </c>
      <c r="K3478" s="5" t="str">
        <f t="shared" si="3478"/>
        <v>Rp0</v>
      </c>
      <c r="L3478" s="5" t="str">
        <f t="shared" si="3"/>
        <v>0</v>
      </c>
    </row>
    <row r="3479">
      <c r="A3479" s="6" t="s">
        <v>4816</v>
      </c>
      <c r="B3479" s="7" t="str">
        <f>HYPERLINK("https://shopee.co.id/Shopee-Best-Seller-Smooto-Tomato-Perfect-White-Body-Serum-i.97148691.9602420206", "https://shopee.co.id/Shopee-Best-Seller-Smooto-Tomato-Perfect-White-Body-Serum-i.97148691.9602420206")</f>
        <v>https://shopee.co.id/Shopee-Best-Seller-Smooto-Tomato-Perfect-White-Body-Serum-i.97148691.9602420206</v>
      </c>
      <c r="C3479" s="6" t="s">
        <v>2779</v>
      </c>
      <c r="D3479" s="6" t="s">
        <v>2855</v>
      </c>
      <c r="E3479" s="6" t="s">
        <v>12</v>
      </c>
      <c r="F3479" s="6" t="s">
        <v>13</v>
      </c>
      <c r="G3479" s="6" t="s">
        <v>85</v>
      </c>
      <c r="H3479" s="8" t="s">
        <v>3981</v>
      </c>
      <c r="I3479" s="9">
        <v>0.0</v>
      </c>
      <c r="J3479" s="5" t="str">
        <f t="shared" ref="J3479:K3479" si="3479">SUBSTITUTE(H3479, ",", "")</f>
        <v>0</v>
      </c>
      <c r="K3479" s="5" t="str">
        <f t="shared" si="3479"/>
        <v>Rp0</v>
      </c>
      <c r="L3479" s="5" t="str">
        <f t="shared" si="3"/>
        <v>0</v>
      </c>
    </row>
    <row r="3480">
      <c r="A3480" s="6" t="s">
        <v>4817</v>
      </c>
      <c r="B3480" s="7" t="str">
        <f>HYPERLINK("https://shopee.co.id/SIMPLISTIC-Essence-Wonder-150ml-i.109981258.6952065536", "https://shopee.co.id/SIMPLISTIC-Essence-Wonder-150ml-i.109981258.6952065536")</f>
        <v>https://shopee.co.id/SIMPLISTIC-Essence-Wonder-150ml-i.109981258.6952065536</v>
      </c>
      <c r="C3480" s="6" t="s">
        <v>4818</v>
      </c>
      <c r="D3480" s="6" t="s">
        <v>2576</v>
      </c>
      <c r="E3480" s="6" t="s">
        <v>12</v>
      </c>
      <c r="F3480" s="6" t="s">
        <v>13</v>
      </c>
      <c r="G3480" s="6" t="s">
        <v>21</v>
      </c>
      <c r="H3480" s="8" t="s">
        <v>3981</v>
      </c>
      <c r="I3480" s="9">
        <v>0.0</v>
      </c>
      <c r="J3480" s="5" t="str">
        <f t="shared" ref="J3480:K3480" si="3480">SUBSTITUTE(H3480, ",", "")</f>
        <v>0</v>
      </c>
      <c r="K3480" s="5" t="str">
        <f t="shared" si="3480"/>
        <v>Rp0</v>
      </c>
      <c r="L3480" s="5" t="str">
        <f t="shared" si="3"/>
        <v>0</v>
      </c>
    </row>
    <row r="3481">
      <c r="A3481" s="6" t="s">
        <v>4819</v>
      </c>
      <c r="B3481" s="7" t="str">
        <f>HYPERLINK("https://shopee.co.id/SIMPLISTIC-Simplistic-Essence-Wonder-i.68111.8813569424", "https://shopee.co.id/SIMPLISTIC-Simplistic-Essence-Wonder-i.68111.8813569424")</f>
        <v>https://shopee.co.id/SIMPLISTIC-Simplistic-Essence-Wonder-i.68111.8813569424</v>
      </c>
      <c r="C3481" s="6" t="s">
        <v>4818</v>
      </c>
      <c r="D3481" s="6" t="s">
        <v>441</v>
      </c>
      <c r="E3481" s="6" t="s">
        <v>12</v>
      </c>
      <c r="F3481" s="6" t="s">
        <v>13</v>
      </c>
      <c r="G3481" s="6" t="s">
        <v>130</v>
      </c>
      <c r="H3481" s="8" t="s">
        <v>3981</v>
      </c>
      <c r="I3481" s="9">
        <v>0.0</v>
      </c>
      <c r="J3481" s="5" t="str">
        <f t="shared" ref="J3481:K3481" si="3481">SUBSTITUTE(H3481, ",", "")</f>
        <v>0</v>
      </c>
      <c r="K3481" s="5" t="str">
        <f t="shared" si="3481"/>
        <v>Rp0</v>
      </c>
      <c r="L3481" s="5" t="str">
        <f t="shared" si="3"/>
        <v>0</v>
      </c>
    </row>
    <row r="3482">
      <c r="A3482" s="6" t="s">
        <v>4820</v>
      </c>
      <c r="B3482" s="7" t="str">
        <f>HYPERLINK("https://shopee.co.id/SimplySiti-New-Age-Regenerating-Serum-i.106933399.1679828231", "https://shopee.co.id/SimplySiti-New-Age-Regenerating-Serum-i.106933399.1679828231")</f>
        <v>https://shopee.co.id/SimplySiti-New-Age-Regenerating-Serum-i.106933399.1679828231</v>
      </c>
      <c r="C3482" s="6" t="s">
        <v>4821</v>
      </c>
      <c r="D3482" s="6" t="s">
        <v>4822</v>
      </c>
      <c r="E3482" s="6" t="s">
        <v>12</v>
      </c>
      <c r="F3482" s="6" t="s">
        <v>13</v>
      </c>
      <c r="G3482" s="6" t="s">
        <v>1085</v>
      </c>
      <c r="H3482" s="8" t="s">
        <v>3981</v>
      </c>
      <c r="I3482" s="9">
        <v>0.0</v>
      </c>
      <c r="J3482" s="5" t="str">
        <f t="shared" ref="J3482:K3482" si="3482">SUBSTITUTE(H3482, ",", "")</f>
        <v>0</v>
      </c>
      <c r="K3482" s="5" t="str">
        <f t="shared" si="3482"/>
        <v>Rp0</v>
      </c>
      <c r="L3482" s="5" t="str">
        <f t="shared" si="3"/>
        <v>0</v>
      </c>
    </row>
    <row r="3483">
      <c r="A3483" s="6" t="s">
        <v>4823</v>
      </c>
      <c r="B3483" s="7" t="str">
        <f>HYPERLINK("https://shopee.co.id/SK-II-Facial-Treatment-Essence-230-ml-i.110573301.9807526875", "https://shopee.co.id/SK-II-Facial-Treatment-Essence-230-ml-i.110573301.9807526875")</f>
        <v>https://shopee.co.id/SK-II-Facial-Treatment-Essence-230-ml-i.110573301.9807526875</v>
      </c>
      <c r="C3483" s="6" t="s">
        <v>1372</v>
      </c>
      <c r="D3483" s="6" t="s">
        <v>227</v>
      </c>
      <c r="E3483" s="6" t="s">
        <v>12</v>
      </c>
      <c r="F3483" s="6" t="s">
        <v>13</v>
      </c>
      <c r="G3483" s="6" t="s">
        <v>61</v>
      </c>
      <c r="H3483" s="8" t="s">
        <v>3981</v>
      </c>
      <c r="I3483" s="9">
        <v>0.0</v>
      </c>
      <c r="J3483" s="5" t="str">
        <f t="shared" ref="J3483:K3483" si="3483">SUBSTITUTE(H3483, ",", "")</f>
        <v>0</v>
      </c>
      <c r="K3483" s="5" t="str">
        <f t="shared" si="3483"/>
        <v>Rp0</v>
      </c>
      <c r="L3483" s="5" t="str">
        <f t="shared" si="3"/>
        <v>0</v>
      </c>
    </row>
    <row r="3484">
      <c r="A3484" s="6" t="s">
        <v>4824</v>
      </c>
      <c r="B3484" s="7" t="str">
        <f>HYPERLINK("https://shopee.co.id/SK-II-RNA-Essence-50-ml-i.110573301.8907532081", "https://shopee.co.id/SK-II-RNA-Essence-50-ml-i.110573301.8907532081")</f>
        <v>https://shopee.co.id/SK-II-RNA-Essence-50-ml-i.110573301.8907532081</v>
      </c>
      <c r="C3484" s="6" t="s">
        <v>1372</v>
      </c>
      <c r="D3484" s="6" t="s">
        <v>227</v>
      </c>
      <c r="E3484" s="6" t="s">
        <v>12</v>
      </c>
      <c r="F3484" s="6" t="s">
        <v>13</v>
      </c>
      <c r="G3484" s="6" t="s">
        <v>61</v>
      </c>
      <c r="H3484" s="8" t="s">
        <v>3981</v>
      </c>
      <c r="I3484" s="9">
        <v>0.0</v>
      </c>
      <c r="J3484" s="5" t="str">
        <f t="shared" ref="J3484:K3484" si="3484">SUBSTITUTE(H3484, ",", "")</f>
        <v>0</v>
      </c>
      <c r="K3484" s="5" t="str">
        <f t="shared" si="3484"/>
        <v>Rp0</v>
      </c>
      <c r="L3484" s="5" t="str">
        <f t="shared" si="3"/>
        <v>0</v>
      </c>
    </row>
    <row r="3485">
      <c r="A3485" s="6" t="s">
        <v>4825</v>
      </c>
      <c r="B3485" s="7" t="str">
        <f>HYPERLINK("https://shopee.co.id/SK-II-R-N-A-Power-Radical-New-Age-Essence-i.187117294.4790747223", "https://shopee.co.id/SK-II-R-N-A-Power-Radical-New-Age-Essence-i.187117294.4790747223")</f>
        <v>https://shopee.co.id/SK-II-R-N-A-Power-Radical-New-Age-Essence-i.187117294.4790747223</v>
      </c>
      <c r="C3485" s="6" t="s">
        <v>1372</v>
      </c>
      <c r="D3485" s="6" t="s">
        <v>2366</v>
      </c>
      <c r="E3485" s="6" t="s">
        <v>12</v>
      </c>
      <c r="F3485" s="6" t="s">
        <v>13</v>
      </c>
      <c r="G3485" s="6" t="s">
        <v>469</v>
      </c>
      <c r="H3485" s="8" t="s">
        <v>3981</v>
      </c>
      <c r="I3485" s="9">
        <v>0.0</v>
      </c>
      <c r="J3485" s="5" t="str">
        <f t="shared" ref="J3485:K3485" si="3485">SUBSTITUTE(H3485, ",", "")</f>
        <v>0</v>
      </c>
      <c r="K3485" s="5" t="str">
        <f t="shared" si="3485"/>
        <v>Rp0</v>
      </c>
      <c r="L3485" s="5" t="str">
        <f t="shared" si="3"/>
        <v>0</v>
      </c>
    </row>
    <row r="3486">
      <c r="A3486" s="6" t="s">
        <v>4826</v>
      </c>
      <c r="B3486" s="7" t="str">
        <f>HYPERLINK("https://shopee.co.id/SKEYNDOR-Eternal-Intensive-Serum-i.241089883.7447932436", "https://shopee.co.id/SKEYNDOR-Eternal-Intensive-Serum-i.241089883.7447932436")</f>
        <v>https://shopee.co.id/SKEYNDOR-Eternal-Intensive-Serum-i.241089883.7447932436</v>
      </c>
      <c r="C3486" s="6" t="s">
        <v>2215</v>
      </c>
      <c r="D3486" s="6" t="s">
        <v>2216</v>
      </c>
      <c r="E3486" s="6" t="s">
        <v>12</v>
      </c>
      <c r="F3486" s="6" t="s">
        <v>13</v>
      </c>
      <c r="G3486" s="6" t="s">
        <v>21</v>
      </c>
      <c r="H3486" s="8" t="s">
        <v>3981</v>
      </c>
      <c r="I3486" s="9">
        <v>0.0</v>
      </c>
      <c r="J3486" s="5" t="str">
        <f t="shared" ref="J3486:K3486" si="3486">SUBSTITUTE(H3486, ",", "")</f>
        <v>0</v>
      </c>
      <c r="K3486" s="5" t="str">
        <f t="shared" si="3486"/>
        <v>Rp0</v>
      </c>
      <c r="L3486" s="5" t="str">
        <f t="shared" si="3"/>
        <v>0</v>
      </c>
    </row>
    <row r="3487">
      <c r="A3487" s="6" t="s">
        <v>4827</v>
      </c>
      <c r="B3487" s="7" t="str">
        <f>HYPERLINK("https://shopee.co.id/SKEYNDOR-Overnight-Serum-i.241089883.3327298687", "https://shopee.co.id/SKEYNDOR-Overnight-Serum-i.241089883.3327298687")</f>
        <v>https://shopee.co.id/SKEYNDOR-Overnight-Serum-i.241089883.3327298687</v>
      </c>
      <c r="C3487" s="6" t="s">
        <v>2215</v>
      </c>
      <c r="D3487" s="6" t="s">
        <v>2216</v>
      </c>
      <c r="E3487" s="6" t="s">
        <v>12</v>
      </c>
      <c r="F3487" s="6" t="s">
        <v>13</v>
      </c>
      <c r="G3487" s="6" t="s">
        <v>21</v>
      </c>
      <c r="H3487" s="8" t="s">
        <v>3981</v>
      </c>
      <c r="I3487" s="9">
        <v>0.0</v>
      </c>
      <c r="J3487" s="5" t="str">
        <f t="shared" ref="J3487:K3487" si="3487">SUBSTITUTE(H3487, ",", "")</f>
        <v>0</v>
      </c>
      <c r="K3487" s="5" t="str">
        <f t="shared" si="3487"/>
        <v>Rp0</v>
      </c>
      <c r="L3487" s="5" t="str">
        <f t="shared" si="3"/>
        <v>0</v>
      </c>
    </row>
    <row r="3488">
      <c r="A3488" s="6" t="s">
        <v>4828</v>
      </c>
      <c r="B3488" s="7" t="str">
        <f>HYPERLINK("https://shopee.co.id/SKEYNDOR-Power-Retinol-Intensive-Repairing-Emulsion-i.241089883.5126342094", "https://shopee.co.id/SKEYNDOR-Power-Retinol-Intensive-Repairing-Emulsion-i.241089883.5126342094")</f>
        <v>https://shopee.co.id/SKEYNDOR-Power-Retinol-Intensive-Repairing-Emulsion-i.241089883.5126342094</v>
      </c>
      <c r="C3488" s="6" t="s">
        <v>2215</v>
      </c>
      <c r="D3488" s="6" t="s">
        <v>2216</v>
      </c>
      <c r="E3488" s="6" t="s">
        <v>12</v>
      </c>
      <c r="F3488" s="6" t="s">
        <v>13</v>
      </c>
      <c r="G3488" s="6" t="s">
        <v>21</v>
      </c>
      <c r="H3488" s="8" t="s">
        <v>3981</v>
      </c>
      <c r="I3488" s="9">
        <v>0.0</v>
      </c>
      <c r="J3488" s="5" t="str">
        <f t="shared" ref="J3488:K3488" si="3488">SUBSTITUTE(H3488, ",", "")</f>
        <v>0</v>
      </c>
      <c r="K3488" s="5" t="str">
        <f t="shared" si="3488"/>
        <v>Rp0</v>
      </c>
      <c r="L3488" s="5" t="str">
        <f t="shared" si="3"/>
        <v>0</v>
      </c>
    </row>
    <row r="3489">
      <c r="A3489" s="6" t="s">
        <v>4829</v>
      </c>
      <c r="B3489" s="7" t="str">
        <f>HYPERLINK("https://shopee.co.id/SKEYNDOR-Power-Retinol-Intensive-Serum-In-Cream-i.68111.9238287394", "https://shopee.co.id/SKEYNDOR-Power-Retinol-Intensive-Serum-In-Cream-i.68111.9238287394")</f>
        <v>https://shopee.co.id/SKEYNDOR-Power-Retinol-Intensive-Serum-In-Cream-i.68111.9238287394</v>
      </c>
      <c r="C3489" s="6" t="s">
        <v>2215</v>
      </c>
      <c r="D3489" s="6" t="s">
        <v>441</v>
      </c>
      <c r="E3489" s="6" t="s">
        <v>12</v>
      </c>
      <c r="F3489" s="6" t="s">
        <v>13</v>
      </c>
      <c r="G3489" s="6" t="s">
        <v>130</v>
      </c>
      <c r="H3489" s="8" t="s">
        <v>3981</v>
      </c>
      <c r="I3489" s="9">
        <v>0.0</v>
      </c>
      <c r="J3489" s="5" t="str">
        <f t="shared" ref="J3489:K3489" si="3489">SUBSTITUTE(H3489, ",", "")</f>
        <v>0</v>
      </c>
      <c r="K3489" s="5" t="str">
        <f t="shared" si="3489"/>
        <v>Rp0</v>
      </c>
      <c r="L3489" s="5" t="str">
        <f t="shared" si="3"/>
        <v>0</v>
      </c>
    </row>
    <row r="3490">
      <c r="A3490" s="6" t="s">
        <v>4830</v>
      </c>
      <c r="B3490" s="7" t="str">
        <f>HYPERLINK("https://shopee.co.id/Skin-Aqua-Tone-Up-Skin-Aqua-Moisture-Milk-SPF-50-PA-FREE-POUCH-SKIN-AQUA--i.78713320.8641447887", "https://shopee.co.id/Skin-Aqua-Tone-Up-Skin-Aqua-Moisture-Milk-SPF-50-PA-FREE-POUCH-SKIN-AQUA--i.78713320.8641447887")</f>
        <v>https://shopee.co.id/Skin-Aqua-Tone-Up-Skin-Aqua-Moisture-Milk-SPF-50-PA-FREE-POUCH-SKIN-AQUA--i.78713320.8641447887</v>
      </c>
      <c r="C3490" s="6" t="s">
        <v>830</v>
      </c>
      <c r="D3490" s="6" t="s">
        <v>831</v>
      </c>
      <c r="E3490" s="6" t="s">
        <v>12</v>
      </c>
      <c r="F3490" s="6" t="s">
        <v>13</v>
      </c>
      <c r="G3490" s="6" t="s">
        <v>61</v>
      </c>
      <c r="H3490" s="8" t="s">
        <v>3981</v>
      </c>
      <c r="I3490" s="9">
        <v>0.0</v>
      </c>
      <c r="J3490" s="5" t="str">
        <f t="shared" ref="J3490:K3490" si="3490">SUBSTITUTE(H3490, ",", "")</f>
        <v>0</v>
      </c>
      <c r="K3490" s="5" t="str">
        <f t="shared" si="3490"/>
        <v>Rp0</v>
      </c>
      <c r="L3490" s="5" t="str">
        <f t="shared" si="3"/>
        <v>0</v>
      </c>
    </row>
    <row r="3491">
      <c r="A3491" s="6" t="s">
        <v>4831</v>
      </c>
      <c r="B3491" s="7" t="str">
        <f>HYPERLINK("https://shopee.co.id/Skin-Dewi-Helichrysum-Brightening-Vitamin-C-Treatment-i.339725786.4382402466", "https://shopee.co.id/Skin-Dewi-Helichrysum-Brightening-Vitamin-C-Treatment-i.339725786.4382402466")</f>
        <v>https://shopee.co.id/Skin-Dewi-Helichrysum-Brightening-Vitamin-C-Treatment-i.339725786.4382402466</v>
      </c>
      <c r="C3491" s="6" t="s">
        <v>4832</v>
      </c>
      <c r="D3491" s="6" t="s">
        <v>1373</v>
      </c>
      <c r="E3491" s="6" t="s">
        <v>12</v>
      </c>
      <c r="F3491" s="6" t="s">
        <v>13</v>
      </c>
      <c r="G3491" s="6" t="s">
        <v>98</v>
      </c>
      <c r="H3491" s="8" t="s">
        <v>3981</v>
      </c>
      <c r="I3491" s="9">
        <v>0.0</v>
      </c>
      <c r="J3491" s="5" t="str">
        <f t="shared" ref="J3491:K3491" si="3491">SUBSTITUTE(H3491, ",", "")</f>
        <v>0</v>
      </c>
      <c r="K3491" s="5" t="str">
        <f t="shared" si="3491"/>
        <v>Rp0</v>
      </c>
      <c r="L3491" s="5" t="str">
        <f t="shared" si="3"/>
        <v>0</v>
      </c>
    </row>
    <row r="3492">
      <c r="A3492" s="6" t="s">
        <v>4833</v>
      </c>
      <c r="B3492" s="7" t="str">
        <f>HYPERLINK("https://shopee.co.id/Skin-Dewi-Helichrysum-Brightening-Vit-C-30gr-i.825870.2841350069", "https://shopee.co.id/Skin-Dewi-Helichrysum-Brightening-Vit-C-30gr-i.825870.2841350069")</f>
        <v>https://shopee.co.id/Skin-Dewi-Helichrysum-Brightening-Vit-C-30gr-i.825870.2841350069</v>
      </c>
      <c r="C3492" s="6" t="s">
        <v>4832</v>
      </c>
      <c r="D3492" s="6" t="s">
        <v>1184</v>
      </c>
      <c r="E3492" s="6" t="s">
        <v>12</v>
      </c>
      <c r="F3492" s="6" t="s">
        <v>13</v>
      </c>
      <c r="G3492" s="6" t="s">
        <v>21</v>
      </c>
      <c r="H3492" s="8" t="s">
        <v>3981</v>
      </c>
      <c r="I3492" s="9">
        <v>0.0</v>
      </c>
      <c r="J3492" s="5" t="str">
        <f t="shared" ref="J3492:K3492" si="3492">SUBSTITUTE(H3492, ",", "")</f>
        <v>0</v>
      </c>
      <c r="K3492" s="5" t="str">
        <f t="shared" si="3492"/>
        <v>Rp0</v>
      </c>
      <c r="L3492" s="5" t="str">
        <f t="shared" si="3"/>
        <v>0</v>
      </c>
    </row>
    <row r="3493">
      <c r="A3493" s="6" t="s">
        <v>4834</v>
      </c>
      <c r="B3493" s="7" t="str">
        <f>HYPERLINK("https://shopee.co.id/Skin-Dewi-Sea-Bucktorn-Reviving-Elixir-30ml-i.825870.6101216193", "https://shopee.co.id/Skin-Dewi-Sea-Bucktorn-Reviving-Elixir-30ml-i.825870.6101216193")</f>
        <v>https://shopee.co.id/Skin-Dewi-Sea-Bucktorn-Reviving-Elixir-30ml-i.825870.6101216193</v>
      </c>
      <c r="C3493" s="6" t="s">
        <v>4832</v>
      </c>
      <c r="D3493" s="6" t="s">
        <v>1184</v>
      </c>
      <c r="E3493" s="6" t="s">
        <v>12</v>
      </c>
      <c r="F3493" s="6" t="s">
        <v>13</v>
      </c>
      <c r="G3493" s="6" t="s">
        <v>21</v>
      </c>
      <c r="H3493" s="8" t="s">
        <v>3981</v>
      </c>
      <c r="I3493" s="9">
        <v>0.0</v>
      </c>
      <c r="J3493" s="5" t="str">
        <f t="shared" ref="J3493:K3493" si="3493">SUBSTITUTE(H3493, ",", "")</f>
        <v>0</v>
      </c>
      <c r="K3493" s="5" t="str">
        <f t="shared" si="3493"/>
        <v>Rp0</v>
      </c>
      <c r="L3493" s="5" t="str">
        <f t="shared" si="3"/>
        <v>0</v>
      </c>
    </row>
    <row r="3494">
      <c r="A3494" s="6" t="s">
        <v>4835</v>
      </c>
      <c r="B3494" s="7" t="str">
        <f>HYPERLINK("https://shopee.co.id/Skin-Dewi-Tamanu-Green-Serum-30ml-i.825870.4218538162", "https://shopee.co.id/Skin-Dewi-Tamanu-Green-Serum-30ml-i.825870.4218538162")</f>
        <v>https://shopee.co.id/Skin-Dewi-Tamanu-Green-Serum-30ml-i.825870.4218538162</v>
      </c>
      <c r="C3494" s="6" t="s">
        <v>940</v>
      </c>
      <c r="D3494" s="6" t="s">
        <v>1184</v>
      </c>
      <c r="E3494" s="6" t="s">
        <v>12</v>
      </c>
      <c r="F3494" s="6" t="s">
        <v>13</v>
      </c>
      <c r="G3494" s="6" t="s">
        <v>21</v>
      </c>
      <c r="H3494" s="8" t="s">
        <v>3981</v>
      </c>
      <c r="I3494" s="9">
        <v>0.0</v>
      </c>
      <c r="J3494" s="5" t="str">
        <f t="shared" ref="J3494:K3494" si="3494">SUBSTITUTE(H3494, ",", "")</f>
        <v>0</v>
      </c>
      <c r="K3494" s="5" t="str">
        <f t="shared" si="3494"/>
        <v>Rp0</v>
      </c>
      <c r="L3494" s="5" t="str">
        <f t="shared" si="3"/>
        <v>0</v>
      </c>
    </row>
    <row r="3495">
      <c r="A3495" s="6" t="s">
        <v>4836</v>
      </c>
      <c r="B3495" s="7" t="str">
        <f>HYPERLINK("https://shopee.co.id/SKIN-DEWI-Tamanu-Green-Serum-30ML-i.68111.9125225140", "https://shopee.co.id/SKIN-DEWI-Tamanu-Green-Serum-30ML-i.68111.9125225140")</f>
        <v>https://shopee.co.id/SKIN-DEWI-Tamanu-Green-Serum-30ML-i.68111.9125225140</v>
      </c>
      <c r="C3495" s="6" t="s">
        <v>940</v>
      </c>
      <c r="D3495" s="6" t="s">
        <v>441</v>
      </c>
      <c r="E3495" s="6" t="s">
        <v>12</v>
      </c>
      <c r="F3495" s="6" t="s">
        <v>13</v>
      </c>
      <c r="G3495" s="6" t="s">
        <v>130</v>
      </c>
      <c r="H3495" s="8" t="s">
        <v>3981</v>
      </c>
      <c r="I3495" s="9">
        <v>0.0</v>
      </c>
      <c r="J3495" s="5" t="str">
        <f t="shared" ref="J3495:K3495" si="3495">SUBSTITUTE(H3495, ",", "")</f>
        <v>0</v>
      </c>
      <c r="K3495" s="5" t="str">
        <f t="shared" si="3495"/>
        <v>Rp0</v>
      </c>
      <c r="L3495" s="5" t="str">
        <f t="shared" si="3"/>
        <v>0</v>
      </c>
    </row>
    <row r="3496">
      <c r="A3496" s="6" t="s">
        <v>4837</v>
      </c>
      <c r="B3496" s="7" t="str">
        <f>HYPERLINK("https://shopee.co.id/Skin-Game-Barricade-Serum-30ml-i.136011044.7085962150", "https://shopee.co.id/Skin-Game-Barricade-Serum-30ml-i.136011044.7085962150")</f>
        <v>https://shopee.co.id/Skin-Game-Barricade-Serum-30ml-i.136011044.7085962150</v>
      </c>
      <c r="C3496" s="6" t="s">
        <v>523</v>
      </c>
      <c r="D3496" s="6" t="s">
        <v>632</v>
      </c>
      <c r="E3496" s="6" t="s">
        <v>12</v>
      </c>
      <c r="F3496" s="6" t="s">
        <v>13</v>
      </c>
      <c r="G3496" s="6" t="s">
        <v>21</v>
      </c>
      <c r="H3496" s="8" t="s">
        <v>3981</v>
      </c>
      <c r="I3496" s="9">
        <v>0.0</v>
      </c>
      <c r="J3496" s="5" t="str">
        <f t="shared" ref="J3496:K3496" si="3496">SUBSTITUTE(H3496, ",", "")</f>
        <v>0</v>
      </c>
      <c r="K3496" s="5" t="str">
        <f t="shared" si="3496"/>
        <v>Rp0</v>
      </c>
      <c r="L3496" s="5" t="str">
        <f t="shared" si="3"/>
        <v>0</v>
      </c>
    </row>
    <row r="3497">
      <c r="A3497" s="6" t="s">
        <v>4838</v>
      </c>
      <c r="B3497" s="7" t="str">
        <f>HYPERLINK("https://shopee.co.id/Skin-Game-Skin-Barricade-Serum-30ml-i.825870.7586765676", "https://shopee.co.id/Skin-Game-Skin-Barricade-Serum-30ml-i.825870.7586765676")</f>
        <v>https://shopee.co.id/Skin-Game-Skin-Barricade-Serum-30ml-i.825870.7586765676</v>
      </c>
      <c r="C3497" s="6" t="s">
        <v>523</v>
      </c>
      <c r="D3497" s="6" t="s">
        <v>1184</v>
      </c>
      <c r="E3497" s="6" t="s">
        <v>12</v>
      </c>
      <c r="F3497" s="6" t="s">
        <v>13</v>
      </c>
      <c r="G3497" s="6" t="s">
        <v>21</v>
      </c>
      <c r="H3497" s="8" t="s">
        <v>3981</v>
      </c>
      <c r="I3497" s="9">
        <v>0.0</v>
      </c>
      <c r="J3497" s="5" t="str">
        <f t="shared" ref="J3497:K3497" si="3497">SUBSTITUTE(H3497, ",", "")</f>
        <v>0</v>
      </c>
      <c r="K3497" s="5" t="str">
        <f t="shared" si="3497"/>
        <v>Rp0</v>
      </c>
      <c r="L3497" s="5" t="str">
        <f t="shared" si="3"/>
        <v>0</v>
      </c>
    </row>
    <row r="3498">
      <c r="A3498" s="6" t="s">
        <v>4839</v>
      </c>
      <c r="B3498" s="7" t="str">
        <f>HYPERLINK("https://shopee.co.id/Skincare-japan-halal-skincare-Momohime-White-Essence-i.72605759.1228258321", "https://shopee.co.id/Skincare-japan-halal-skincare-Momohime-White-Essence-i.72605759.1228258321")</f>
        <v>https://shopee.co.id/Skincare-japan-halal-skincare-Momohime-White-Essence-i.72605759.1228258321</v>
      </c>
      <c r="C3498" s="6" t="s">
        <v>4840</v>
      </c>
      <c r="D3498" s="6" t="s">
        <v>4841</v>
      </c>
      <c r="E3498" s="6" t="s">
        <v>12</v>
      </c>
      <c r="F3498" s="6" t="s">
        <v>13</v>
      </c>
      <c r="G3498" s="6" t="s">
        <v>1777</v>
      </c>
      <c r="H3498" s="8" t="s">
        <v>3981</v>
      </c>
      <c r="I3498" s="9">
        <v>0.0</v>
      </c>
      <c r="J3498" s="5" t="str">
        <f t="shared" ref="J3498:K3498" si="3498">SUBSTITUTE(H3498, ",", "")</f>
        <v>0</v>
      </c>
      <c r="K3498" s="5" t="str">
        <f t="shared" si="3498"/>
        <v>Rp0</v>
      </c>
      <c r="L3498" s="5" t="str">
        <f t="shared" si="3"/>
        <v>0</v>
      </c>
    </row>
    <row r="3499">
      <c r="A3499" s="6" t="s">
        <v>4842</v>
      </c>
      <c r="B3499" s="7" t="str">
        <f>HYPERLINK("https://shopee.co.id/Skind-Aesthetic-Rose-Drip-Crystal-Clear-Serum-Skind-Aesthetic-Gotu-Kola-Power-Toner-i.168325789.9378897103", "https://shopee.co.id/Skind-Aesthetic-Rose-Drip-Crystal-Clear-Serum-Skind-Aesthetic-Gotu-Kola-Power-Toner-i.168325789.9378897103")</f>
        <v>https://shopee.co.id/Skind-Aesthetic-Rose-Drip-Crystal-Clear-Serum-Skind-Aesthetic-Gotu-Kola-Power-Toner-i.168325789.9378897103</v>
      </c>
      <c r="C3499" s="6" t="s">
        <v>2921</v>
      </c>
      <c r="D3499" s="6" t="s">
        <v>3282</v>
      </c>
      <c r="E3499" s="6" t="s">
        <v>12</v>
      </c>
      <c r="F3499" s="6" t="s">
        <v>13</v>
      </c>
      <c r="G3499" s="6" t="s">
        <v>241</v>
      </c>
      <c r="H3499" s="8" t="s">
        <v>3981</v>
      </c>
      <c r="I3499" s="9">
        <v>0.0</v>
      </c>
      <c r="J3499" s="5" t="str">
        <f t="shared" ref="J3499:K3499" si="3499">SUBSTITUTE(H3499, ",", "")</f>
        <v>0</v>
      </c>
      <c r="K3499" s="5" t="str">
        <f t="shared" si="3499"/>
        <v>Rp0</v>
      </c>
      <c r="L3499" s="5" t="str">
        <f t="shared" si="3"/>
        <v>0</v>
      </c>
    </row>
    <row r="3500">
      <c r="A3500" s="6" t="s">
        <v>4843</v>
      </c>
      <c r="B3500" s="7" t="str">
        <f>HYPERLINK("https://shopee.co.id/Skind-Aesthetic-Twins-Gluthacell-Advance-Treatment-Bundle-i.168325789.6361197617", "https://shopee.co.id/Skind-Aesthetic-Twins-Gluthacell-Advance-Treatment-Bundle-i.168325789.6361197617")</f>
        <v>https://shopee.co.id/Skind-Aesthetic-Twins-Gluthacell-Advance-Treatment-Bundle-i.168325789.6361197617</v>
      </c>
      <c r="C3500" s="6" t="s">
        <v>2921</v>
      </c>
      <c r="D3500" s="6" t="s">
        <v>3282</v>
      </c>
      <c r="E3500" s="6" t="s">
        <v>12</v>
      </c>
      <c r="F3500" s="6" t="s">
        <v>13</v>
      </c>
      <c r="G3500" s="6" t="s">
        <v>241</v>
      </c>
      <c r="H3500" s="8" t="s">
        <v>3981</v>
      </c>
      <c r="I3500" s="9">
        <v>0.0</v>
      </c>
      <c r="J3500" s="5" t="str">
        <f t="shared" ref="J3500:K3500" si="3500">SUBSTITUTE(H3500, ",", "")</f>
        <v>0</v>
      </c>
      <c r="K3500" s="5" t="str">
        <f t="shared" si="3500"/>
        <v>Rp0</v>
      </c>
      <c r="L3500" s="5" t="str">
        <f t="shared" si="3"/>
        <v>0</v>
      </c>
    </row>
    <row r="3501">
      <c r="A3501" s="6" t="s">
        <v>4844</v>
      </c>
      <c r="B3501" s="7" t="str">
        <f>HYPERLINK("https://shopee.co.id/SKINOIA-Gentle-Acne-Care-Duo-Serum-Moisturizer--i.57794454.8363877946", "https://shopee.co.id/SKINOIA-Gentle-Acne-Care-Duo-Serum-Moisturizer--i.57794454.8363877946")</f>
        <v>https://shopee.co.id/SKINOIA-Gentle-Acne-Care-Duo-Serum-Moisturizer--i.57794454.8363877946</v>
      </c>
      <c r="C3501" s="6" t="s">
        <v>3232</v>
      </c>
      <c r="D3501" s="6" t="s">
        <v>3233</v>
      </c>
      <c r="E3501" s="6" t="s">
        <v>12</v>
      </c>
      <c r="F3501" s="6" t="s">
        <v>13</v>
      </c>
      <c r="G3501" s="6" t="s">
        <v>350</v>
      </c>
      <c r="H3501" s="8" t="s">
        <v>3981</v>
      </c>
      <c r="I3501" s="9">
        <v>0.0</v>
      </c>
      <c r="J3501" s="5" t="str">
        <f t="shared" ref="J3501:K3501" si="3501">SUBSTITUTE(H3501, ",", "")</f>
        <v>0</v>
      </c>
      <c r="K3501" s="5" t="str">
        <f t="shared" si="3501"/>
        <v>Rp0</v>
      </c>
      <c r="L3501" s="5" t="str">
        <f t="shared" si="3"/>
        <v>0</v>
      </c>
    </row>
    <row r="3502">
      <c r="A3502" s="6" t="s">
        <v>4845</v>
      </c>
      <c r="B3502" s="7" t="str">
        <f>HYPERLINK("https://shopee.co.id/Smooto-Egg-Collagen-White-Serum-Mencerahkan-i.98124209.13904194011", "https://shopee.co.id/Smooto-Egg-Collagen-White-Serum-Mencerahkan-i.98124209.13904194011")</f>
        <v>https://shopee.co.id/Smooto-Egg-Collagen-White-Serum-Mencerahkan-i.98124209.13904194011</v>
      </c>
      <c r="C3502" s="6" t="s">
        <v>2779</v>
      </c>
      <c r="D3502" s="6" t="s">
        <v>791</v>
      </c>
      <c r="E3502" s="6" t="s">
        <v>12</v>
      </c>
      <c r="F3502" s="6" t="s">
        <v>13</v>
      </c>
      <c r="G3502" s="6" t="s">
        <v>85</v>
      </c>
      <c r="H3502" s="8" t="s">
        <v>3981</v>
      </c>
      <c r="I3502" s="9">
        <v>0.0</v>
      </c>
      <c r="J3502" s="5" t="str">
        <f t="shared" ref="J3502:K3502" si="3502">SUBSTITUTE(H3502, ",", "")</f>
        <v>0</v>
      </c>
      <c r="K3502" s="5" t="str">
        <f t="shared" si="3502"/>
        <v>Rp0</v>
      </c>
      <c r="L3502" s="5" t="str">
        <f t="shared" si="3"/>
        <v>0</v>
      </c>
    </row>
    <row r="3503">
      <c r="A3503" s="6" t="s">
        <v>4846</v>
      </c>
      <c r="B3503" s="7" t="str">
        <f>HYPERLINK("https://shopee.co.id/Smooto-Egg-Collagen-White-Serum-Mencerahkan-Melembabkan-Mengecilkan-Pori-i.359274839.13304215398", "https://shopee.co.id/Smooto-Egg-Collagen-White-Serum-Mencerahkan-Melembabkan-Mengecilkan-Pori-i.359274839.13304215398")</f>
        <v>https://shopee.co.id/Smooto-Egg-Collagen-White-Serum-Mencerahkan-Melembabkan-Mengecilkan-Pori-i.359274839.13304215398</v>
      </c>
      <c r="C3503" s="6" t="s">
        <v>2779</v>
      </c>
      <c r="D3503" s="6" t="s">
        <v>4847</v>
      </c>
      <c r="E3503" s="6" t="s">
        <v>12</v>
      </c>
      <c r="F3503" s="6" t="s">
        <v>13</v>
      </c>
      <c r="G3503" s="6" t="s">
        <v>85</v>
      </c>
      <c r="H3503" s="8" t="s">
        <v>3981</v>
      </c>
      <c r="I3503" s="9">
        <v>0.0</v>
      </c>
      <c r="J3503" s="5" t="str">
        <f t="shared" ref="J3503:K3503" si="3503">SUBSTITUTE(H3503, ",", "")</f>
        <v>0</v>
      </c>
      <c r="K3503" s="5" t="str">
        <f t="shared" si="3503"/>
        <v>Rp0</v>
      </c>
      <c r="L3503" s="5" t="str">
        <f t="shared" si="3"/>
        <v>0</v>
      </c>
    </row>
    <row r="3504">
      <c r="A3504" s="6" t="s">
        <v>4848</v>
      </c>
      <c r="B3504" s="7" t="str">
        <f>HYPERLINK("https://shopee.co.id/Smooto-Lemon-C-Acne-Plus-White-Serum-i.65619901.2047524665", "https://shopee.co.id/Smooto-Lemon-C-Acne-Plus-White-Serum-i.65619901.2047524665")</f>
        <v>https://shopee.co.id/Smooto-Lemon-C-Acne-Plus-White-Serum-i.65619901.2047524665</v>
      </c>
      <c r="C3504" s="6" t="s">
        <v>2779</v>
      </c>
      <c r="D3504" s="6" t="s">
        <v>2780</v>
      </c>
      <c r="E3504" s="6" t="s">
        <v>12</v>
      </c>
      <c r="F3504" s="6" t="s">
        <v>13</v>
      </c>
      <c r="G3504" s="6" t="s">
        <v>85</v>
      </c>
      <c r="H3504" s="8" t="s">
        <v>3981</v>
      </c>
      <c r="I3504" s="9">
        <v>0.0</v>
      </c>
      <c r="J3504" s="5" t="str">
        <f t="shared" ref="J3504:K3504" si="3504">SUBSTITUTE(H3504, ",", "")</f>
        <v>0</v>
      </c>
      <c r="K3504" s="5" t="str">
        <f t="shared" si="3504"/>
        <v>Rp0</v>
      </c>
      <c r="L3504" s="5" t="str">
        <f t="shared" si="3"/>
        <v>0</v>
      </c>
    </row>
    <row r="3505">
      <c r="A3505" s="6" t="s">
        <v>4849</v>
      </c>
      <c r="B3505" s="7" t="str">
        <f>HYPERLINK("https://shopee.co.id/Smooto-Tomato-Collagen-White-Serum-1-Box-isi-6pcs-i.65619901.6775411997", "https://shopee.co.id/Smooto-Tomato-Collagen-White-Serum-1-Box-isi-6pcs-i.65619901.6775411997")</f>
        <v>https://shopee.co.id/Smooto-Tomato-Collagen-White-Serum-1-Box-isi-6pcs-i.65619901.6775411997</v>
      </c>
      <c r="C3505" s="6" t="s">
        <v>2779</v>
      </c>
      <c r="D3505" s="6" t="s">
        <v>2780</v>
      </c>
      <c r="E3505" s="6" t="s">
        <v>12</v>
      </c>
      <c r="F3505" s="6" t="s">
        <v>13</v>
      </c>
      <c r="G3505" s="6" t="s">
        <v>85</v>
      </c>
      <c r="H3505" s="8" t="s">
        <v>3981</v>
      </c>
      <c r="I3505" s="9">
        <v>0.0</v>
      </c>
      <c r="J3505" s="5" t="str">
        <f t="shared" ref="J3505:K3505" si="3505">SUBSTITUTE(H3505, ",", "")</f>
        <v>0</v>
      </c>
      <c r="K3505" s="5" t="str">
        <f t="shared" si="3505"/>
        <v>Rp0</v>
      </c>
      <c r="L3505" s="5" t="str">
        <f t="shared" si="3"/>
        <v>0</v>
      </c>
    </row>
    <row r="3506">
      <c r="A3506" s="6" t="s">
        <v>4850</v>
      </c>
      <c r="B3506" s="7" t="str">
        <f>HYPERLINK("https://shopee.co.id/SNP-Cicaronil-SOS-Ampoule-i.270965687.4379143594", "https://shopee.co.id/SNP-Cicaronil-SOS-Ampoule-i.270965687.4379143594")</f>
        <v>https://shopee.co.id/SNP-Cicaronil-SOS-Ampoule-i.270965687.4379143594</v>
      </c>
      <c r="C3506" s="6" t="s">
        <v>565</v>
      </c>
      <c r="D3506" s="6" t="s">
        <v>379</v>
      </c>
      <c r="E3506" s="6" t="s">
        <v>12</v>
      </c>
      <c r="F3506" s="6" t="s">
        <v>13</v>
      </c>
      <c r="G3506" s="6" t="s">
        <v>380</v>
      </c>
      <c r="H3506" s="8" t="s">
        <v>3981</v>
      </c>
      <c r="I3506" s="9">
        <v>0.0</v>
      </c>
      <c r="J3506" s="5" t="str">
        <f t="shared" ref="J3506:K3506" si="3506">SUBSTITUTE(H3506, ",", "")</f>
        <v>0</v>
      </c>
      <c r="K3506" s="5" t="str">
        <f t="shared" si="3506"/>
        <v>Rp0</v>
      </c>
      <c r="L3506" s="5" t="str">
        <f t="shared" si="3"/>
        <v>0</v>
      </c>
    </row>
    <row r="3507">
      <c r="A3507" s="6" t="s">
        <v>4851</v>
      </c>
      <c r="B3507" s="7" t="str">
        <f>HYPERLINK("https://shopee.co.id/SNP-HDDN-Lab-Open-Your-Ice-Serum-i.88399725.1894803295", "https://shopee.co.id/SNP-HDDN-Lab-Open-Your-Ice-Serum-i.88399725.1894803295")</f>
        <v>https://shopee.co.id/SNP-HDDN-Lab-Open-Your-Ice-Serum-i.88399725.1894803295</v>
      </c>
      <c r="C3507" s="6" t="s">
        <v>565</v>
      </c>
      <c r="D3507" s="6" t="s">
        <v>566</v>
      </c>
      <c r="E3507" s="6" t="s">
        <v>12</v>
      </c>
      <c r="F3507" s="6" t="s">
        <v>13</v>
      </c>
      <c r="G3507" s="6" t="s">
        <v>98</v>
      </c>
      <c r="H3507" s="8" t="s">
        <v>3981</v>
      </c>
      <c r="I3507" s="9">
        <v>0.0</v>
      </c>
      <c r="J3507" s="5" t="str">
        <f t="shared" ref="J3507:K3507" si="3507">SUBSTITUTE(H3507, ",", "")</f>
        <v>0</v>
      </c>
      <c r="K3507" s="5" t="str">
        <f t="shared" si="3507"/>
        <v>Rp0</v>
      </c>
      <c r="L3507" s="5" t="str">
        <f t="shared" si="3"/>
        <v>0</v>
      </c>
    </row>
    <row r="3508">
      <c r="A3508" s="6" t="s">
        <v>4852</v>
      </c>
      <c r="B3508" s="7" t="str">
        <f>HYPERLINK("https://shopee.co.id/SNP-HDDN-Lab-Skin-Savior-Youth-Essence-Nearly-Expired--i.88399725.1895858892", "https://shopee.co.id/SNP-HDDN-Lab-Skin-Savior-Youth-Essence-Nearly-Expired--i.88399725.1895858892")</f>
        <v>https://shopee.co.id/SNP-HDDN-Lab-Skin-Savior-Youth-Essence-Nearly-Expired--i.88399725.1895858892</v>
      </c>
      <c r="C3508" s="6" t="s">
        <v>565</v>
      </c>
      <c r="D3508" s="6" t="s">
        <v>566</v>
      </c>
      <c r="E3508" s="6" t="s">
        <v>12</v>
      </c>
      <c r="F3508" s="6" t="s">
        <v>13</v>
      </c>
      <c r="G3508" s="6" t="s">
        <v>98</v>
      </c>
      <c r="H3508" s="8" t="s">
        <v>3981</v>
      </c>
      <c r="I3508" s="9">
        <v>0.0</v>
      </c>
      <c r="J3508" s="5" t="str">
        <f t="shared" ref="J3508:K3508" si="3508">SUBSTITUTE(H3508, ",", "")</f>
        <v>0</v>
      </c>
      <c r="K3508" s="5" t="str">
        <f t="shared" si="3508"/>
        <v>Rp0</v>
      </c>
      <c r="L3508" s="5" t="str">
        <f t="shared" si="3"/>
        <v>0</v>
      </c>
    </row>
    <row r="3509">
      <c r="A3509" s="6" t="s">
        <v>4853</v>
      </c>
      <c r="B3509" s="7" t="str">
        <f>HYPERLINK("https://shopee.co.id/SNP-LAB-Triple-Water-Aqua-Serum-EXPIRED-DESEMBER-2021-i.88399725.1827622825", "https://shopee.co.id/SNP-LAB-Triple-Water-Aqua-Serum-EXPIRED-DESEMBER-2021-i.88399725.1827622825")</f>
        <v>https://shopee.co.id/SNP-LAB-Triple-Water-Aqua-Serum-EXPIRED-DESEMBER-2021-i.88399725.1827622825</v>
      </c>
      <c r="C3509" s="6" t="s">
        <v>565</v>
      </c>
      <c r="D3509" s="6" t="s">
        <v>566</v>
      </c>
      <c r="E3509" s="6" t="s">
        <v>12</v>
      </c>
      <c r="F3509" s="6" t="s">
        <v>13</v>
      </c>
      <c r="G3509" s="6" t="s">
        <v>98</v>
      </c>
      <c r="H3509" s="8" t="s">
        <v>3981</v>
      </c>
      <c r="I3509" s="9">
        <v>0.0</v>
      </c>
      <c r="J3509" s="5" t="str">
        <f t="shared" ref="J3509:K3509" si="3509">SUBSTITUTE(H3509, ",", "")</f>
        <v>0</v>
      </c>
      <c r="K3509" s="5" t="str">
        <f t="shared" si="3509"/>
        <v>Rp0</v>
      </c>
      <c r="L3509" s="5" t="str">
        <f t="shared" si="3"/>
        <v>0</v>
      </c>
    </row>
    <row r="3510">
      <c r="A3510" s="6" t="s">
        <v>4854</v>
      </c>
      <c r="B3510" s="7" t="str">
        <f>HYPERLINK("https://shopee.co.id/Snp-Mini-Royal-Honey-Essence-i.30736001.9051683980", "https://shopee.co.id/Snp-Mini-Royal-Honey-Essence-i.30736001.9051683980")</f>
        <v>https://shopee.co.id/Snp-Mini-Royal-Honey-Essence-i.30736001.9051683980</v>
      </c>
      <c r="C3510" s="6" t="s">
        <v>565</v>
      </c>
      <c r="D3510" s="6" t="s">
        <v>335</v>
      </c>
      <c r="E3510" s="6" t="s">
        <v>12</v>
      </c>
      <c r="F3510" s="6" t="s">
        <v>13</v>
      </c>
      <c r="G3510" s="6" t="s">
        <v>36</v>
      </c>
      <c r="H3510" s="8" t="s">
        <v>3981</v>
      </c>
      <c r="I3510" s="9">
        <v>0.0</v>
      </c>
      <c r="J3510" s="5" t="str">
        <f t="shared" ref="J3510:K3510" si="3510">SUBSTITUTE(H3510, ",", "")</f>
        <v>0</v>
      </c>
      <c r="K3510" s="5" t="str">
        <f t="shared" si="3510"/>
        <v>Rp0</v>
      </c>
      <c r="L3510" s="5" t="str">
        <f t="shared" si="3"/>
        <v>0</v>
      </c>
    </row>
    <row r="3511">
      <c r="A3511" s="6" t="s">
        <v>4855</v>
      </c>
      <c r="B3511" s="7" t="str">
        <f>HYPERLINK("https://shopee.co.id/Snp-Mini-Shea-Butter-Moisture-Serum-i.30736001.5587527662", "https://shopee.co.id/Snp-Mini-Shea-Butter-Moisture-Serum-i.30736001.5587527662")</f>
        <v>https://shopee.co.id/Snp-Mini-Shea-Butter-Moisture-Serum-i.30736001.5587527662</v>
      </c>
      <c r="C3511" s="6" t="s">
        <v>565</v>
      </c>
      <c r="D3511" s="6" t="s">
        <v>335</v>
      </c>
      <c r="E3511" s="6" t="s">
        <v>12</v>
      </c>
      <c r="F3511" s="6" t="s">
        <v>13</v>
      </c>
      <c r="G3511" s="6" t="s">
        <v>36</v>
      </c>
      <c r="H3511" s="8" t="s">
        <v>3981</v>
      </c>
      <c r="I3511" s="9">
        <v>0.0</v>
      </c>
      <c r="J3511" s="5" t="str">
        <f t="shared" ref="J3511:K3511" si="3511">SUBSTITUTE(H3511, ",", "")</f>
        <v>0</v>
      </c>
      <c r="K3511" s="5" t="str">
        <f t="shared" si="3511"/>
        <v>Rp0</v>
      </c>
      <c r="L3511" s="5" t="str">
        <f t="shared" si="3"/>
        <v>0</v>
      </c>
    </row>
    <row r="3512">
      <c r="A3512" s="6" t="s">
        <v>4856</v>
      </c>
      <c r="B3512" s="7" t="str">
        <f>HYPERLINK("https://shopee.co.id/SNP-PREP-Cicaronic-Toning-Essence-FREE-FRUITS-GELATO-BRIGHTENING-MASK-i.187117294.3659175856", "https://shopee.co.id/SNP-PREP-Cicaronic-Toning-Essence-FREE-FRUITS-GELATO-BRIGHTENING-MASK-i.187117294.3659175856")</f>
        <v>https://shopee.co.id/SNP-PREP-Cicaronic-Toning-Essence-FREE-FRUITS-GELATO-BRIGHTENING-MASK-i.187117294.3659175856</v>
      </c>
      <c r="C3512" s="6" t="s">
        <v>565</v>
      </c>
      <c r="D3512" s="6" t="s">
        <v>2366</v>
      </c>
      <c r="E3512" s="6" t="s">
        <v>12</v>
      </c>
      <c r="F3512" s="6" t="s">
        <v>13</v>
      </c>
      <c r="G3512" s="6" t="s">
        <v>469</v>
      </c>
      <c r="H3512" s="8" t="s">
        <v>3981</v>
      </c>
      <c r="I3512" s="9">
        <v>0.0</v>
      </c>
      <c r="J3512" s="5" t="str">
        <f t="shared" ref="J3512:K3512" si="3512">SUBSTITUTE(H3512, ",", "")</f>
        <v>0</v>
      </c>
      <c r="K3512" s="5" t="str">
        <f t="shared" si="3512"/>
        <v>Rp0</v>
      </c>
      <c r="L3512" s="5" t="str">
        <f t="shared" si="3"/>
        <v>0</v>
      </c>
    </row>
    <row r="3513">
      <c r="A3513" s="6" t="s">
        <v>4857</v>
      </c>
      <c r="B3513" s="7" t="str">
        <f>HYPERLINK("https://shopee.co.id/SNP-Prep-Peptaronic-Serum-220ml-i.825870.9663130275", "https://shopee.co.id/SNP-Prep-Peptaronic-Serum-220ml-i.825870.9663130275")</f>
        <v>https://shopee.co.id/SNP-Prep-Peptaronic-Serum-220ml-i.825870.9663130275</v>
      </c>
      <c r="C3513" s="6" t="s">
        <v>565</v>
      </c>
      <c r="D3513" s="6" t="s">
        <v>1184</v>
      </c>
      <c r="E3513" s="6" t="s">
        <v>12</v>
      </c>
      <c r="F3513" s="6" t="s">
        <v>13</v>
      </c>
      <c r="G3513" s="6" t="s">
        <v>21</v>
      </c>
      <c r="H3513" s="8" t="s">
        <v>3981</v>
      </c>
      <c r="I3513" s="9">
        <v>0.0</v>
      </c>
      <c r="J3513" s="5" t="str">
        <f t="shared" ref="J3513:K3513" si="3513">SUBSTITUTE(H3513, ",", "")</f>
        <v>0</v>
      </c>
      <c r="K3513" s="5" t="str">
        <f t="shared" si="3513"/>
        <v>Rp0</v>
      </c>
      <c r="L3513" s="5" t="str">
        <f t="shared" si="3"/>
        <v>0</v>
      </c>
    </row>
    <row r="3514">
      <c r="A3514" s="6" t="s">
        <v>4858</v>
      </c>
      <c r="B3514" s="7" t="str">
        <f>HYPERLINK("https://shopee.co.id/SNP-Prep-Peptaronik-Serum-220ml-FREE-JEJU-CACTUS-MASK-i.187117294.5240200954", "https://shopee.co.id/SNP-Prep-Peptaronik-Serum-220ml-FREE-JEJU-CACTUS-MASK-i.187117294.5240200954")</f>
        <v>https://shopee.co.id/SNP-Prep-Peptaronik-Serum-220ml-FREE-JEJU-CACTUS-MASK-i.187117294.5240200954</v>
      </c>
      <c r="C3514" s="6" t="s">
        <v>565</v>
      </c>
      <c r="D3514" s="6" t="s">
        <v>2366</v>
      </c>
      <c r="E3514" s="6" t="s">
        <v>12</v>
      </c>
      <c r="F3514" s="6" t="s">
        <v>13</v>
      </c>
      <c r="G3514" s="6" t="s">
        <v>469</v>
      </c>
      <c r="H3514" s="8" t="s">
        <v>3981</v>
      </c>
      <c r="I3514" s="9">
        <v>0.0</v>
      </c>
      <c r="J3514" s="5" t="str">
        <f t="shared" ref="J3514:K3514" si="3514">SUBSTITUTE(H3514, ",", "")</f>
        <v>0</v>
      </c>
      <c r="K3514" s="5" t="str">
        <f t="shared" si="3514"/>
        <v>Rp0</v>
      </c>
      <c r="L3514" s="5" t="str">
        <f t="shared" si="3"/>
        <v>0</v>
      </c>
    </row>
    <row r="3515">
      <c r="A3515" s="6" t="s">
        <v>4859</v>
      </c>
      <c r="B3515" s="7" t="str">
        <f>HYPERLINK("https://shopee.co.id/So-Natural-Red-Peel-Tingle-Serum-i.17081863.7351458204", "https://shopee.co.id/So-Natural-Red-Peel-Tingle-Serum-i.17081863.7351458204")</f>
        <v>https://shopee.co.id/So-Natural-Red-Peel-Tingle-Serum-i.17081863.7351458204</v>
      </c>
      <c r="C3515" s="6" t="s">
        <v>2115</v>
      </c>
      <c r="D3515" s="6" t="s">
        <v>2497</v>
      </c>
      <c r="E3515" s="6" t="s">
        <v>12</v>
      </c>
      <c r="F3515" s="6" t="s">
        <v>13</v>
      </c>
      <c r="G3515" s="6" t="s">
        <v>21</v>
      </c>
      <c r="H3515" s="8" t="s">
        <v>3981</v>
      </c>
      <c r="I3515" s="9">
        <v>0.0</v>
      </c>
      <c r="J3515" s="5" t="str">
        <f t="shared" ref="J3515:K3515" si="3515">SUBSTITUTE(H3515, ",", "")</f>
        <v>0</v>
      </c>
      <c r="K3515" s="5" t="str">
        <f t="shared" si="3515"/>
        <v>Rp0</v>
      </c>
      <c r="L3515" s="5" t="str">
        <f t="shared" si="3"/>
        <v>0</v>
      </c>
    </row>
    <row r="3516">
      <c r="A3516" s="6" t="s">
        <v>4859</v>
      </c>
      <c r="B3516" s="7" t="str">
        <f>HYPERLINK("https://shopee.co.id/So-Natural-Red-Peel-Tingle-Serum-i.10689.5555861647", "https://shopee.co.id/So-Natural-Red-Peel-Tingle-Serum-i.10689.5555861647")</f>
        <v>https://shopee.co.id/So-Natural-Red-Peel-Tingle-Serum-i.10689.5555861647</v>
      </c>
      <c r="C3516" s="6" t="s">
        <v>2115</v>
      </c>
      <c r="D3516" s="6" t="s">
        <v>745</v>
      </c>
      <c r="E3516" s="6" t="s">
        <v>12</v>
      </c>
      <c r="F3516" s="6" t="s">
        <v>13</v>
      </c>
      <c r="G3516" s="6" t="s">
        <v>61</v>
      </c>
      <c r="H3516" s="8" t="s">
        <v>3981</v>
      </c>
      <c r="I3516" s="9">
        <v>0.0</v>
      </c>
      <c r="J3516" s="5" t="str">
        <f t="shared" ref="J3516:K3516" si="3516">SUBSTITUTE(H3516, ",", "")</f>
        <v>0</v>
      </c>
      <c r="K3516" s="5" t="str">
        <f t="shared" si="3516"/>
        <v>Rp0</v>
      </c>
      <c r="L3516" s="5" t="str">
        <f t="shared" si="3"/>
        <v>0</v>
      </c>
    </row>
    <row r="3517">
      <c r="A3517" s="6" t="s">
        <v>4860</v>
      </c>
      <c r="B3517" s="7" t="str">
        <f>HYPERLINK("https://shopee.co.id/Solcare-Bundling-Extra-White-Serum-Glowing-Peeling-i.266902345.7977629868", "https://shopee.co.id/Solcare-Bundling-Extra-White-Serum-Glowing-Peeling-i.266902345.7977629868")</f>
        <v>https://shopee.co.id/Solcare-Bundling-Extra-White-Serum-Glowing-Peeling-i.266902345.7977629868</v>
      </c>
      <c r="C3517" s="6" t="s">
        <v>910</v>
      </c>
      <c r="D3517" s="6" t="s">
        <v>911</v>
      </c>
      <c r="E3517" s="6" t="s">
        <v>12</v>
      </c>
      <c r="F3517" s="6" t="s">
        <v>13</v>
      </c>
      <c r="G3517" s="6" t="s">
        <v>241</v>
      </c>
      <c r="H3517" s="8" t="s">
        <v>3981</v>
      </c>
      <c r="I3517" s="9">
        <v>0.0</v>
      </c>
      <c r="J3517" s="5" t="str">
        <f t="shared" ref="J3517:K3517" si="3517">SUBSTITUTE(H3517, ",", "")</f>
        <v>0</v>
      </c>
      <c r="K3517" s="5" t="str">
        <f t="shared" si="3517"/>
        <v>Rp0</v>
      </c>
      <c r="L3517" s="5" t="str">
        <f t="shared" si="3"/>
        <v>0</v>
      </c>
    </row>
    <row r="3518">
      <c r="A3518" s="6" t="s">
        <v>4861</v>
      </c>
      <c r="B3518" s="7" t="str">
        <f>HYPERLINK("https://shopee.co.id/Solusi-Organic-Renewage-Face-Serum-30-ml-i.34904037.7680270828", "https://shopee.co.id/Solusi-Organic-Renewage-Face-Serum-30-ml-i.34904037.7680270828")</f>
        <v>https://shopee.co.id/Solusi-Organic-Renewage-Face-Serum-30-ml-i.34904037.7680270828</v>
      </c>
      <c r="C3518" s="6" t="s">
        <v>4862</v>
      </c>
      <c r="D3518" s="6" t="s">
        <v>1874</v>
      </c>
      <c r="E3518" s="6" t="s">
        <v>12</v>
      </c>
      <c r="F3518" s="6" t="s">
        <v>13</v>
      </c>
      <c r="G3518" s="6" t="s">
        <v>469</v>
      </c>
      <c r="H3518" s="8" t="s">
        <v>3981</v>
      </c>
      <c r="I3518" s="9">
        <v>0.0</v>
      </c>
      <c r="J3518" s="5" t="str">
        <f t="shared" ref="J3518:K3518" si="3518">SUBSTITUTE(H3518, ",", "")</f>
        <v>0</v>
      </c>
      <c r="K3518" s="5" t="str">
        <f t="shared" si="3518"/>
        <v>Rp0</v>
      </c>
      <c r="L3518" s="5" t="str">
        <f t="shared" si="3"/>
        <v>0</v>
      </c>
    </row>
    <row r="3519">
      <c r="A3519" s="6" t="s">
        <v>4863</v>
      </c>
      <c r="B3519" s="7" t="str">
        <f>HYPERLINK("https://shopee.co.id/Some-By-Mi-AHA-BHA-PHA-30-Days-Miracle-Serum-50ml-i.10689.4792923613", "https://shopee.co.id/Some-By-Mi-AHA-BHA-PHA-30-Days-Miracle-Serum-50ml-i.10689.4792923613")</f>
        <v>https://shopee.co.id/Some-By-Mi-AHA-BHA-PHA-30-Days-Miracle-Serum-50ml-i.10689.4792923613</v>
      </c>
      <c r="C3519" s="6" t="s">
        <v>213</v>
      </c>
      <c r="D3519" s="6" t="s">
        <v>745</v>
      </c>
      <c r="E3519" s="6" t="s">
        <v>12</v>
      </c>
      <c r="F3519" s="6" t="s">
        <v>13</v>
      </c>
      <c r="G3519" s="6" t="s">
        <v>61</v>
      </c>
      <c r="H3519" s="8" t="s">
        <v>3981</v>
      </c>
      <c r="I3519" s="9">
        <v>0.0</v>
      </c>
      <c r="J3519" s="5" t="str">
        <f t="shared" ref="J3519:K3519" si="3519">SUBSTITUTE(H3519, ",", "")</f>
        <v>0</v>
      </c>
      <c r="K3519" s="5" t="str">
        <f t="shared" si="3519"/>
        <v>Rp0</v>
      </c>
      <c r="L3519" s="5" t="str">
        <f t="shared" si="3"/>
        <v>0</v>
      </c>
    </row>
    <row r="3520">
      <c r="A3520" s="6" t="s">
        <v>4864</v>
      </c>
      <c r="B3520" s="7" t="str">
        <f>HYPERLINK("https://shopee.co.id/Some-By-Mi-Galactomyces-Pure-Vit-C-Glow-Serum-30ml-i.825870.9786245107", "https://shopee.co.id/Some-By-Mi-Galactomyces-Pure-Vit-C-Glow-Serum-30ml-i.825870.9786245107")</f>
        <v>https://shopee.co.id/Some-By-Mi-Galactomyces-Pure-Vit-C-Glow-Serum-30ml-i.825870.9786245107</v>
      </c>
      <c r="C3520" s="6" t="s">
        <v>213</v>
      </c>
      <c r="D3520" s="6" t="s">
        <v>1184</v>
      </c>
      <c r="E3520" s="6" t="s">
        <v>12</v>
      </c>
      <c r="F3520" s="6" t="s">
        <v>13</v>
      </c>
      <c r="G3520" s="6" t="s">
        <v>21</v>
      </c>
      <c r="H3520" s="8" t="s">
        <v>3981</v>
      </c>
      <c r="I3520" s="9">
        <v>0.0</v>
      </c>
      <c r="J3520" s="5" t="str">
        <f t="shared" ref="J3520:K3520" si="3520">SUBSTITUTE(H3520, ",", "")</f>
        <v>0</v>
      </c>
      <c r="K3520" s="5" t="str">
        <f t="shared" si="3520"/>
        <v>Rp0</v>
      </c>
      <c r="L3520" s="5" t="str">
        <f t="shared" si="3"/>
        <v>0</v>
      </c>
    </row>
    <row r="3521">
      <c r="A3521" s="6" t="s">
        <v>4865</v>
      </c>
      <c r="B3521" s="7" t="str">
        <f>HYPERLINK("https://shopee.co.id/Some-By-Mi-Super-Matcha-Pore-Tightening-Serum-50ml-i.825870.3594319052", "https://shopee.co.id/Some-By-Mi-Super-Matcha-Pore-Tightening-Serum-50ml-i.825870.3594319052")</f>
        <v>https://shopee.co.id/Some-By-Mi-Super-Matcha-Pore-Tightening-Serum-50ml-i.825870.3594319052</v>
      </c>
      <c r="C3521" s="6" t="s">
        <v>213</v>
      </c>
      <c r="D3521" s="6" t="s">
        <v>1184</v>
      </c>
      <c r="E3521" s="6" t="s">
        <v>12</v>
      </c>
      <c r="F3521" s="6" t="s">
        <v>13</v>
      </c>
      <c r="G3521" s="6" t="s">
        <v>21</v>
      </c>
      <c r="H3521" s="8" t="s">
        <v>3981</v>
      </c>
      <c r="I3521" s="9">
        <v>0.0</v>
      </c>
      <c r="J3521" s="5" t="str">
        <f t="shared" ref="J3521:K3521" si="3521">SUBSTITUTE(H3521, ",", "")</f>
        <v>0</v>
      </c>
      <c r="K3521" s="5" t="str">
        <f t="shared" si="3521"/>
        <v>Rp0</v>
      </c>
      <c r="L3521" s="5" t="str">
        <f t="shared" si="3"/>
        <v>0</v>
      </c>
    </row>
    <row r="3522">
      <c r="A3522" s="6" t="s">
        <v>4866</v>
      </c>
      <c r="B3522" s="7" t="str">
        <f>HYPERLINK("https://shopee.co.id/SOME-BY-MI-Super-Matcha-Pore-Tightening-Serum-50ml-i.68111.4791206540", "https://shopee.co.id/SOME-BY-MI-Super-Matcha-Pore-Tightening-Serum-50ml-i.68111.4791206540")</f>
        <v>https://shopee.co.id/SOME-BY-MI-Super-Matcha-Pore-Tightening-Serum-50ml-i.68111.4791206540</v>
      </c>
      <c r="C3522" s="6" t="s">
        <v>213</v>
      </c>
      <c r="D3522" s="6" t="s">
        <v>441</v>
      </c>
      <c r="E3522" s="6" t="s">
        <v>12</v>
      </c>
      <c r="F3522" s="6" t="s">
        <v>13</v>
      </c>
      <c r="G3522" s="6" t="s">
        <v>130</v>
      </c>
      <c r="H3522" s="8" t="s">
        <v>3981</v>
      </c>
      <c r="I3522" s="9">
        <v>0.0</v>
      </c>
      <c r="J3522" s="5" t="str">
        <f t="shared" ref="J3522:K3522" si="3522">SUBSTITUTE(H3522, ",", "")</f>
        <v>0</v>
      </c>
      <c r="K3522" s="5" t="str">
        <f t="shared" si="3522"/>
        <v>Rp0</v>
      </c>
      <c r="L3522" s="5" t="str">
        <f t="shared" si="3"/>
        <v>0</v>
      </c>
    </row>
    <row r="3523">
      <c r="A3523" s="6" t="s">
        <v>4867</v>
      </c>
      <c r="B3523" s="7" t="str">
        <f>HYPERLINK("https://shopee.co.id/SOMETHINC-10-Niacinamide-Moisture-Sabi-Beet-Max-Brightening-Serum-i.79492424.11146723213", "https://shopee.co.id/SOMETHINC-10-Niacinamide-Moisture-Sabi-Beet-Max-Brightening-Serum-i.79492424.11146723213")</f>
        <v>https://shopee.co.id/SOMETHINC-10-Niacinamide-Moisture-Sabi-Beet-Max-Brightening-Serum-i.79492424.11146723213</v>
      </c>
      <c r="C3523" s="6" t="s">
        <v>45</v>
      </c>
      <c r="D3523" s="6" t="s">
        <v>3456</v>
      </c>
      <c r="E3523" s="6" t="s">
        <v>12</v>
      </c>
      <c r="F3523" s="6" t="s">
        <v>13</v>
      </c>
      <c r="G3523" s="6" t="s">
        <v>469</v>
      </c>
      <c r="H3523" s="8" t="s">
        <v>3981</v>
      </c>
      <c r="I3523" s="9">
        <v>0.0</v>
      </c>
      <c r="J3523" s="5" t="str">
        <f t="shared" ref="J3523:K3523" si="3523">SUBSTITUTE(H3523, ",", "")</f>
        <v>0</v>
      </c>
      <c r="K3523" s="5" t="str">
        <f t="shared" si="3523"/>
        <v>Rp0</v>
      </c>
      <c r="L3523" s="5" t="str">
        <f t="shared" si="3"/>
        <v>0</v>
      </c>
    </row>
    <row r="3524">
      <c r="A3524" s="6" t="s">
        <v>4868</v>
      </c>
      <c r="B3524" s="7" t="str">
        <f>HYPERLINK("https://shopee.co.id/SOMETHINC-10-Niacinamide-Barrier-Serum-i.79492424.11746541696", "https://shopee.co.id/SOMETHINC-10-Niacinamide-Barrier-Serum-i.79492424.11746541696")</f>
        <v>https://shopee.co.id/SOMETHINC-10-Niacinamide-Barrier-Serum-i.79492424.11746541696</v>
      </c>
      <c r="C3524" s="6" t="s">
        <v>45</v>
      </c>
      <c r="D3524" s="6" t="s">
        <v>3456</v>
      </c>
      <c r="E3524" s="6" t="s">
        <v>12</v>
      </c>
      <c r="F3524" s="6" t="s">
        <v>13</v>
      </c>
      <c r="G3524" s="6" t="s">
        <v>469</v>
      </c>
      <c r="H3524" s="8" t="s">
        <v>3981</v>
      </c>
      <c r="I3524" s="9">
        <v>0.0</v>
      </c>
      <c r="J3524" s="5" t="str">
        <f t="shared" ref="J3524:K3524" si="3524">SUBSTITUTE(H3524, ",", "")</f>
        <v>0</v>
      </c>
      <c r="K3524" s="5" t="str">
        <f t="shared" si="3524"/>
        <v>Rp0</v>
      </c>
      <c r="L3524" s="5" t="str">
        <f t="shared" si="3"/>
        <v>0</v>
      </c>
    </row>
    <row r="3525">
      <c r="A3525" s="6" t="s">
        <v>4869</v>
      </c>
      <c r="B3525" s="7" t="str">
        <f>HYPERLINK("https://shopee.co.id/SOMETHINC-10-Niacinamide-Moisture-Sabi-Beet-Serum-i.217272417.8512899812", "https://shopee.co.id/SOMETHINC-10-Niacinamide-Moisture-Sabi-Beet-Serum-i.217272417.8512899812")</f>
        <v>https://shopee.co.id/SOMETHINC-10-Niacinamide-Moisture-Sabi-Beet-Serum-i.217272417.8512899812</v>
      </c>
      <c r="C3525" s="6" t="s">
        <v>45</v>
      </c>
      <c r="D3525" s="6" t="s">
        <v>3793</v>
      </c>
      <c r="E3525" s="6" t="s">
        <v>12</v>
      </c>
      <c r="F3525" s="6" t="s">
        <v>13</v>
      </c>
      <c r="G3525" s="6" t="s">
        <v>98</v>
      </c>
      <c r="H3525" s="8" t="s">
        <v>3981</v>
      </c>
      <c r="I3525" s="9">
        <v>0.0</v>
      </c>
      <c r="J3525" s="5" t="str">
        <f t="shared" ref="J3525:K3525" si="3525">SUBSTITUTE(H3525, ",", "")</f>
        <v>0</v>
      </c>
      <c r="K3525" s="5" t="str">
        <f t="shared" si="3525"/>
        <v>Rp0</v>
      </c>
      <c r="L3525" s="5" t="str">
        <f t="shared" si="3"/>
        <v>0</v>
      </c>
    </row>
    <row r="3526">
      <c r="A3526" s="6" t="s">
        <v>4870</v>
      </c>
      <c r="B3526" s="7" t="str">
        <f>HYPERLINK("https://shopee.co.id/SOMETHINC-5-Niacinamide-Moisture-Sabi-Beet-Serum-i.79492424.12605727248", "https://shopee.co.id/SOMETHINC-5-Niacinamide-Moisture-Sabi-Beet-Serum-i.79492424.12605727248")</f>
        <v>https://shopee.co.id/SOMETHINC-5-Niacinamide-Moisture-Sabi-Beet-Serum-i.79492424.12605727248</v>
      </c>
      <c r="C3526" s="6" t="s">
        <v>45</v>
      </c>
      <c r="D3526" s="6" t="s">
        <v>3456</v>
      </c>
      <c r="E3526" s="6" t="s">
        <v>12</v>
      </c>
      <c r="F3526" s="6" t="s">
        <v>13</v>
      </c>
      <c r="G3526" s="6" t="s">
        <v>469</v>
      </c>
      <c r="H3526" s="8" t="s">
        <v>3981</v>
      </c>
      <c r="I3526" s="9">
        <v>0.0</v>
      </c>
      <c r="J3526" s="5" t="str">
        <f t="shared" ref="J3526:K3526" si="3526">SUBSTITUTE(H3526, ",", "")</f>
        <v>0</v>
      </c>
      <c r="K3526" s="5" t="str">
        <f t="shared" si="3526"/>
        <v>Rp0</v>
      </c>
      <c r="L3526" s="5" t="str">
        <f t="shared" si="3"/>
        <v>0</v>
      </c>
    </row>
    <row r="3527">
      <c r="A3527" s="6" t="s">
        <v>4871</v>
      </c>
      <c r="B3527" s="7" t="str">
        <f>HYPERLINK("https://shopee.co.id/SOMETHINC-5-Niacinamide-Barrier-Serum-i.79492424.10146534017", "https://shopee.co.id/SOMETHINC-5-Niacinamide-Barrier-Serum-i.79492424.10146534017")</f>
        <v>https://shopee.co.id/SOMETHINC-5-Niacinamide-Barrier-Serum-i.79492424.10146534017</v>
      </c>
      <c r="C3527" s="6" t="s">
        <v>45</v>
      </c>
      <c r="D3527" s="6" t="s">
        <v>3456</v>
      </c>
      <c r="E3527" s="6" t="s">
        <v>12</v>
      </c>
      <c r="F3527" s="6" t="s">
        <v>13</v>
      </c>
      <c r="G3527" s="6" t="s">
        <v>469</v>
      </c>
      <c r="H3527" s="8" t="s">
        <v>3981</v>
      </c>
      <c r="I3527" s="9">
        <v>0.0</v>
      </c>
      <c r="J3527" s="5" t="str">
        <f t="shared" ref="J3527:K3527" si="3527">SUBSTITUTE(H3527, ",", "")</f>
        <v>0</v>
      </c>
      <c r="K3527" s="5" t="str">
        <f t="shared" si="3527"/>
        <v>Rp0</v>
      </c>
      <c r="L3527" s="5" t="str">
        <f t="shared" si="3"/>
        <v>0</v>
      </c>
    </row>
    <row r="3528">
      <c r="A3528" s="6" t="s">
        <v>4872</v>
      </c>
      <c r="B3528" s="7" t="str">
        <f>HYPERLINK("https://shopee.co.id/SOMETHINC-5-Niacinamide-Moisture-Sabi-Beet-Serum-i.217272417.8212903438", "https://shopee.co.id/SOMETHINC-5-Niacinamide-Moisture-Sabi-Beet-Serum-i.217272417.8212903438")</f>
        <v>https://shopee.co.id/SOMETHINC-5-Niacinamide-Moisture-Sabi-Beet-Serum-i.217272417.8212903438</v>
      </c>
      <c r="C3528" s="6" t="s">
        <v>45</v>
      </c>
      <c r="D3528" s="6" t="s">
        <v>3793</v>
      </c>
      <c r="E3528" s="6" t="s">
        <v>12</v>
      </c>
      <c r="F3528" s="6" t="s">
        <v>13</v>
      </c>
      <c r="G3528" s="6" t="s">
        <v>98</v>
      </c>
      <c r="H3528" s="8" t="s">
        <v>3981</v>
      </c>
      <c r="I3528" s="9">
        <v>0.0</v>
      </c>
      <c r="J3528" s="5" t="str">
        <f t="shared" ref="J3528:K3528" si="3528">SUBSTITUTE(H3528, ",", "")</f>
        <v>0</v>
      </c>
      <c r="K3528" s="5" t="str">
        <f t="shared" si="3528"/>
        <v>Rp0</v>
      </c>
      <c r="L3528" s="5" t="str">
        <f t="shared" si="3"/>
        <v>0</v>
      </c>
    </row>
    <row r="3529">
      <c r="A3529" s="6" t="s">
        <v>1453</v>
      </c>
      <c r="B3529" s="7" t="str">
        <f>HYPERLINK("https://shopee.co.id/SOMETHINC-10-Niacinamide-Moisture-Sabi-Beet-Max-Brightening-Serum-20ml-i.187117294.3013804861", "https://shopee.co.id/SOMETHINC-10-Niacinamide-Moisture-Sabi-Beet-Max-Brightening-Serum-20ml-i.187117294.3013804861")</f>
        <v>https://shopee.co.id/SOMETHINC-10-Niacinamide-Moisture-Sabi-Beet-Max-Brightening-Serum-20ml-i.187117294.3013804861</v>
      </c>
      <c r="C3529" s="6" t="s">
        <v>45</v>
      </c>
      <c r="D3529" s="6" t="s">
        <v>2366</v>
      </c>
      <c r="E3529" s="6" t="s">
        <v>12</v>
      </c>
      <c r="F3529" s="6" t="s">
        <v>13</v>
      </c>
      <c r="G3529" s="6" t="s">
        <v>469</v>
      </c>
      <c r="H3529" s="8" t="s">
        <v>3981</v>
      </c>
      <c r="I3529" s="9">
        <v>0.0</v>
      </c>
      <c r="J3529" s="5" t="str">
        <f t="shared" ref="J3529:K3529" si="3529">SUBSTITUTE(H3529, ",", "")</f>
        <v>0</v>
      </c>
      <c r="K3529" s="5" t="str">
        <f t="shared" si="3529"/>
        <v>Rp0</v>
      </c>
      <c r="L3529" s="5" t="str">
        <f t="shared" si="3"/>
        <v>0</v>
      </c>
    </row>
    <row r="3530">
      <c r="A3530" s="6" t="s">
        <v>1516</v>
      </c>
      <c r="B3530" s="7" t="str">
        <f>HYPERLINK("https://shopee.co.id/SOMETHINC-10-Niacinamide-Moisture-Sabi-Beet-Max-Brightening-Serum-40ml-i.187117294.9924230795", "https://shopee.co.id/SOMETHINC-10-Niacinamide-Moisture-Sabi-Beet-Max-Brightening-Serum-40ml-i.187117294.9924230795")</f>
        <v>https://shopee.co.id/SOMETHINC-10-Niacinamide-Moisture-Sabi-Beet-Max-Brightening-Serum-40ml-i.187117294.9924230795</v>
      </c>
      <c r="C3530" s="6" t="s">
        <v>45</v>
      </c>
      <c r="D3530" s="6" t="s">
        <v>2366</v>
      </c>
      <c r="E3530" s="6" t="s">
        <v>12</v>
      </c>
      <c r="F3530" s="6" t="s">
        <v>13</v>
      </c>
      <c r="G3530" s="6" t="s">
        <v>469</v>
      </c>
      <c r="H3530" s="8" t="s">
        <v>3981</v>
      </c>
      <c r="I3530" s="9">
        <v>0.0</v>
      </c>
      <c r="J3530" s="5" t="str">
        <f t="shared" ref="J3530:K3530" si="3530">SUBSTITUTE(H3530, ",", "")</f>
        <v>0</v>
      </c>
      <c r="K3530" s="5" t="str">
        <f t="shared" si="3530"/>
        <v>Rp0</v>
      </c>
      <c r="L3530" s="5" t="str">
        <f t="shared" si="3"/>
        <v>0</v>
      </c>
    </row>
    <row r="3531">
      <c r="A3531" s="6" t="s">
        <v>1720</v>
      </c>
      <c r="B3531" s="7" t="str">
        <f>HYPERLINK("https://shopee.co.id/SOMETHINC-5-Niacinamide-Moisture-Sabi-Beet-Serum-40ml-i.187117294.8624226149", "https://shopee.co.id/SOMETHINC-5-Niacinamide-Moisture-Sabi-Beet-Serum-40ml-i.187117294.8624226149")</f>
        <v>https://shopee.co.id/SOMETHINC-5-Niacinamide-Moisture-Sabi-Beet-Serum-40ml-i.187117294.8624226149</v>
      </c>
      <c r="C3531" s="6" t="s">
        <v>45</v>
      </c>
      <c r="D3531" s="6" t="s">
        <v>2366</v>
      </c>
      <c r="E3531" s="6" t="s">
        <v>12</v>
      </c>
      <c r="F3531" s="6" t="s">
        <v>13</v>
      </c>
      <c r="G3531" s="6" t="s">
        <v>469</v>
      </c>
      <c r="H3531" s="8" t="s">
        <v>3981</v>
      </c>
      <c r="I3531" s="9">
        <v>0.0</v>
      </c>
      <c r="J3531" s="5" t="str">
        <f t="shared" ref="J3531:K3531" si="3531">SUBSTITUTE(H3531, ",", "")</f>
        <v>0</v>
      </c>
      <c r="K3531" s="5" t="str">
        <f t="shared" si="3531"/>
        <v>Rp0</v>
      </c>
      <c r="L3531" s="5" t="str">
        <f t="shared" si="3"/>
        <v>0</v>
      </c>
    </row>
    <row r="3532">
      <c r="A3532" s="6" t="s">
        <v>4873</v>
      </c>
      <c r="B3532" s="7" t="str">
        <f>HYPERLINK("https://shopee.co.id/SOMETHINC-AHA-7-BHA-1-PHA-3-Weekly-Peeling-Solution-20ml-i.187117294.9081182240", "https://shopee.co.id/SOMETHINC-AHA-7-BHA-1-PHA-3-Weekly-Peeling-Solution-20ml-i.187117294.9081182240")</f>
        <v>https://shopee.co.id/SOMETHINC-AHA-7-BHA-1-PHA-3-Weekly-Peeling-Solution-20ml-i.187117294.9081182240</v>
      </c>
      <c r="C3532" s="6" t="s">
        <v>45</v>
      </c>
      <c r="D3532" s="6" t="s">
        <v>2366</v>
      </c>
      <c r="E3532" s="6" t="s">
        <v>12</v>
      </c>
      <c r="F3532" s="6" t="s">
        <v>13</v>
      </c>
      <c r="G3532" s="6" t="s">
        <v>469</v>
      </c>
      <c r="H3532" s="8" t="s">
        <v>3981</v>
      </c>
      <c r="I3532" s="9">
        <v>0.0</v>
      </c>
      <c r="J3532" s="5" t="str">
        <f t="shared" ref="J3532:K3532" si="3532">SUBSTITUTE(H3532, ",", "")</f>
        <v>0</v>
      </c>
      <c r="K3532" s="5" t="str">
        <f t="shared" si="3532"/>
        <v>Rp0</v>
      </c>
      <c r="L3532" s="5" t="str">
        <f t="shared" si="3"/>
        <v>0</v>
      </c>
    </row>
    <row r="3533">
      <c r="A3533" s="6" t="s">
        <v>4874</v>
      </c>
      <c r="B3533" s="7" t="str">
        <f>HYPERLINK("https://shopee.co.id/SOMETHINC-Anti-Aging-Bundle-i.68111.13105913612", "https://shopee.co.id/SOMETHINC-Anti-Aging-Bundle-i.68111.13105913612")</f>
        <v>https://shopee.co.id/SOMETHINC-Anti-Aging-Bundle-i.68111.13105913612</v>
      </c>
      <c r="C3533" s="6" t="s">
        <v>45</v>
      </c>
      <c r="D3533" s="6" t="s">
        <v>441</v>
      </c>
      <c r="E3533" s="6" t="s">
        <v>12</v>
      </c>
      <c r="F3533" s="6" t="s">
        <v>13</v>
      </c>
      <c r="G3533" s="6" t="s">
        <v>130</v>
      </c>
      <c r="H3533" s="8" t="s">
        <v>3981</v>
      </c>
      <c r="I3533" s="9">
        <v>0.0</v>
      </c>
      <c r="J3533" s="5" t="str">
        <f t="shared" ref="J3533:K3533" si="3533">SUBSTITUTE(H3533, ",", "")</f>
        <v>0</v>
      </c>
      <c r="K3533" s="5" t="str">
        <f t="shared" si="3533"/>
        <v>Rp0</v>
      </c>
      <c r="L3533" s="5" t="str">
        <f t="shared" si="3"/>
        <v>0</v>
      </c>
    </row>
    <row r="3534">
      <c r="A3534" s="6" t="s">
        <v>4875</v>
      </c>
      <c r="B3534" s="7" t="str">
        <f>HYPERLINK("https://shopee.co.id/SOMETHINC-Bakuchiol-Skinpair-Oil-Serum-i.187117294.9810077595", "https://shopee.co.id/SOMETHINC-Bakuchiol-Skinpair-Oil-Serum-i.187117294.9810077595")</f>
        <v>https://shopee.co.id/SOMETHINC-Bakuchiol-Skinpair-Oil-Serum-i.187117294.9810077595</v>
      </c>
      <c r="C3534" s="6" t="s">
        <v>45</v>
      </c>
      <c r="D3534" s="6" t="s">
        <v>2366</v>
      </c>
      <c r="E3534" s="6" t="s">
        <v>12</v>
      </c>
      <c r="F3534" s="6" t="s">
        <v>13</v>
      </c>
      <c r="G3534" s="6" t="s">
        <v>469</v>
      </c>
      <c r="H3534" s="8" t="s">
        <v>3981</v>
      </c>
      <c r="I3534" s="9">
        <v>0.0</v>
      </c>
      <c r="J3534" s="5" t="str">
        <f t="shared" ref="J3534:K3534" si="3534">SUBSTITUTE(H3534, ",", "")</f>
        <v>0</v>
      </c>
      <c r="K3534" s="5" t="str">
        <f t="shared" si="3534"/>
        <v>Rp0</v>
      </c>
      <c r="L3534" s="5" t="str">
        <f t="shared" si="3"/>
        <v>0</v>
      </c>
    </row>
    <row r="3535">
      <c r="A3535" s="6" t="s">
        <v>1784</v>
      </c>
      <c r="B3535" s="7" t="str">
        <f>HYPERLINK("https://shopee.co.id/Somethinc-Bakuchiol-Skinpair-Oil-Serum-20ml-i.53887195.2926933782", "https://shopee.co.id/Somethinc-Bakuchiol-Skinpair-Oil-Serum-20ml-i.53887195.2926933782")</f>
        <v>https://shopee.co.id/Somethinc-Bakuchiol-Skinpair-Oil-Serum-20ml-i.53887195.2926933782</v>
      </c>
      <c r="C3535" s="6" t="s">
        <v>45</v>
      </c>
      <c r="D3535" s="6" t="s">
        <v>1026</v>
      </c>
      <c r="E3535" s="6" t="s">
        <v>12</v>
      </c>
      <c r="F3535" s="6" t="s">
        <v>13</v>
      </c>
      <c r="G3535" s="6" t="s">
        <v>80</v>
      </c>
      <c r="H3535" s="8" t="s">
        <v>3981</v>
      </c>
      <c r="I3535" s="9">
        <v>0.0</v>
      </c>
      <c r="J3535" s="5" t="str">
        <f t="shared" ref="J3535:K3535" si="3535">SUBSTITUTE(H3535, ",", "")</f>
        <v>0</v>
      </c>
      <c r="K3535" s="5" t="str">
        <f t="shared" si="3535"/>
        <v>Rp0</v>
      </c>
      <c r="L3535" s="5" t="str">
        <f t="shared" si="3"/>
        <v>0</v>
      </c>
    </row>
    <row r="3536">
      <c r="A3536" s="6" t="s">
        <v>4876</v>
      </c>
      <c r="B3536" s="7" t="str">
        <f>HYPERLINK("https://shopee.co.id/Somethinc-CRIOUSLY-24k-GOLD-ESSENCE-40ml-Somethinc-Bakuchiol-Skinpair-Serum-20ml-i.110573301.8237478704", "https://shopee.co.id/Somethinc-CRIOUSLY-24k-GOLD-ESSENCE-40ml-Somethinc-Bakuchiol-Skinpair-Serum-20ml-i.110573301.8237478704")</f>
        <v>https://shopee.co.id/Somethinc-CRIOUSLY-24k-GOLD-ESSENCE-40ml-Somethinc-Bakuchiol-Skinpair-Serum-20ml-i.110573301.8237478704</v>
      </c>
      <c r="C3536" s="6" t="s">
        <v>45</v>
      </c>
      <c r="D3536" s="6" t="s">
        <v>227</v>
      </c>
      <c r="E3536" s="6" t="s">
        <v>12</v>
      </c>
      <c r="F3536" s="6" t="s">
        <v>13</v>
      </c>
      <c r="G3536" s="6" t="s">
        <v>61</v>
      </c>
      <c r="H3536" s="8" t="s">
        <v>3981</v>
      </c>
      <c r="I3536" s="9">
        <v>0.0</v>
      </c>
      <c r="J3536" s="5" t="str">
        <f t="shared" ref="J3536:K3536" si="3536">SUBSTITUTE(H3536, ",", "")</f>
        <v>0</v>
      </c>
      <c r="K3536" s="5" t="str">
        <f t="shared" si="3536"/>
        <v>Rp0</v>
      </c>
      <c r="L3536" s="5" t="str">
        <f t="shared" si="3"/>
        <v>0</v>
      </c>
    </row>
    <row r="3537">
      <c r="A3537" s="6" t="s">
        <v>1864</v>
      </c>
      <c r="B3537" s="7" t="str">
        <f>HYPERLINK("https://shopee.co.id/SOMETHINC-CRIOUSLY-24K-GOLD-Essence-40ml--i.187117294.7459674529", "https://shopee.co.id/SOMETHINC-CRIOUSLY-24K-GOLD-Essence-40ml--i.187117294.7459674529")</f>
        <v>https://shopee.co.id/SOMETHINC-CRIOUSLY-24K-GOLD-Essence-40ml--i.187117294.7459674529</v>
      </c>
      <c r="C3537" s="6" t="s">
        <v>45</v>
      </c>
      <c r="D3537" s="6" t="s">
        <v>2366</v>
      </c>
      <c r="E3537" s="6" t="s">
        <v>12</v>
      </c>
      <c r="F3537" s="6" t="s">
        <v>13</v>
      </c>
      <c r="G3537" s="6" t="s">
        <v>469</v>
      </c>
      <c r="H3537" s="8" t="s">
        <v>3981</v>
      </c>
      <c r="I3537" s="9">
        <v>0.0</v>
      </c>
      <c r="J3537" s="5" t="str">
        <f t="shared" ref="J3537:K3537" si="3537">SUBSTITUTE(H3537, ",", "")</f>
        <v>0</v>
      </c>
      <c r="K3537" s="5" t="str">
        <f t="shared" si="3537"/>
        <v>Rp0</v>
      </c>
      <c r="L3537" s="5" t="str">
        <f t="shared" si="3"/>
        <v>0</v>
      </c>
    </row>
    <row r="3538">
      <c r="A3538" s="6" t="s">
        <v>2149</v>
      </c>
      <c r="B3538" s="7" t="str">
        <f>HYPERLINK("https://shopee.co.id/Somethinc-Holygrail-Multipeptide-Youth-Elixir-20-ml-i.65323877.9579238857", "https://shopee.co.id/Somethinc-Holygrail-Multipeptide-Youth-Elixir-20-ml-i.65323877.9579238857")</f>
        <v>https://shopee.co.id/Somethinc-Holygrail-Multipeptide-Youth-Elixir-20-ml-i.65323877.9579238857</v>
      </c>
      <c r="C3538" s="6" t="s">
        <v>45</v>
      </c>
      <c r="D3538" s="6" t="s">
        <v>1600</v>
      </c>
      <c r="E3538" s="6" t="s">
        <v>12</v>
      </c>
      <c r="F3538" s="6" t="s">
        <v>13</v>
      </c>
      <c r="G3538" s="6" t="s">
        <v>296</v>
      </c>
      <c r="H3538" s="8" t="s">
        <v>3981</v>
      </c>
      <c r="I3538" s="9">
        <v>0.0</v>
      </c>
      <c r="J3538" s="5" t="str">
        <f t="shared" ref="J3538:K3538" si="3538">SUBSTITUTE(H3538, ",", "")</f>
        <v>0</v>
      </c>
      <c r="K3538" s="5" t="str">
        <f t="shared" si="3538"/>
        <v>Rp0</v>
      </c>
      <c r="L3538" s="5" t="str">
        <f t="shared" si="3"/>
        <v>0</v>
      </c>
    </row>
    <row r="3539">
      <c r="A3539" s="6" t="s">
        <v>3002</v>
      </c>
      <c r="B3539" s="7" t="str">
        <f>HYPERLINK("https://shopee.co.id/SOMETHINC-Hyaluronic-B5-40ml-i.187117294.3481610957", "https://shopee.co.id/SOMETHINC-Hyaluronic-B5-40ml-i.187117294.3481610957")</f>
        <v>https://shopee.co.id/SOMETHINC-Hyaluronic-B5-40ml-i.187117294.3481610957</v>
      </c>
      <c r="C3539" s="6" t="s">
        <v>45</v>
      </c>
      <c r="D3539" s="6" t="s">
        <v>2366</v>
      </c>
      <c r="E3539" s="6" t="s">
        <v>12</v>
      </c>
      <c r="F3539" s="6" t="s">
        <v>13</v>
      </c>
      <c r="G3539" s="6" t="s">
        <v>469</v>
      </c>
      <c r="H3539" s="8" t="s">
        <v>3981</v>
      </c>
      <c r="I3539" s="9">
        <v>0.0</v>
      </c>
      <c r="J3539" s="5" t="str">
        <f t="shared" ref="J3539:K3539" si="3539">SUBSTITUTE(H3539, ",", "")</f>
        <v>0</v>
      </c>
      <c r="K3539" s="5" t="str">
        <f t="shared" si="3539"/>
        <v>Rp0</v>
      </c>
      <c r="L3539" s="5" t="str">
        <f t="shared" si="3"/>
        <v>0</v>
      </c>
    </row>
    <row r="3540">
      <c r="A3540" s="6" t="s">
        <v>4877</v>
      </c>
      <c r="B3540" s="7" t="str">
        <f>HYPERLINK("https://shopee.co.id/SOMETHINC-HYALuronic-B5-Serum-20ml-i.47255270.8661925432", "https://shopee.co.id/SOMETHINC-HYALuronic-B5-Serum-20ml-i.47255270.8661925432")</f>
        <v>https://shopee.co.id/SOMETHINC-HYALuronic-B5-Serum-20ml-i.47255270.8661925432</v>
      </c>
      <c r="C3540" s="6" t="s">
        <v>45</v>
      </c>
      <c r="D3540" s="6" t="s">
        <v>1978</v>
      </c>
      <c r="E3540" s="6" t="s">
        <v>12</v>
      </c>
      <c r="F3540" s="6" t="s">
        <v>13</v>
      </c>
      <c r="G3540" s="6" t="s">
        <v>241</v>
      </c>
      <c r="H3540" s="8" t="s">
        <v>3981</v>
      </c>
      <c r="I3540" s="9">
        <v>0.0</v>
      </c>
      <c r="J3540" s="5" t="str">
        <f t="shared" ref="J3540:K3540" si="3540">SUBSTITUTE(H3540, ",", "")</f>
        <v>0</v>
      </c>
      <c r="K3540" s="5" t="str">
        <f t="shared" si="3540"/>
        <v>Rp0</v>
      </c>
      <c r="L3540" s="5" t="str">
        <f t="shared" si="3"/>
        <v>0</v>
      </c>
    </row>
    <row r="3541">
      <c r="A3541" s="6" t="s">
        <v>1835</v>
      </c>
      <c r="B3541" s="7" t="str">
        <f>HYPERLINK("https://shopee.co.id/Somethinc-Level-1-Retinol-20ml-i.825870.6973417694", "https://shopee.co.id/Somethinc-Level-1-Retinol-20ml-i.825870.6973417694")</f>
        <v>https://shopee.co.id/Somethinc-Level-1-Retinol-20ml-i.825870.6973417694</v>
      </c>
      <c r="C3541" s="6" t="s">
        <v>45</v>
      </c>
      <c r="D3541" s="6" t="s">
        <v>1184</v>
      </c>
      <c r="E3541" s="6" t="s">
        <v>12</v>
      </c>
      <c r="F3541" s="6" t="s">
        <v>13</v>
      </c>
      <c r="G3541" s="6" t="s">
        <v>21</v>
      </c>
      <c r="H3541" s="8" t="s">
        <v>3981</v>
      </c>
      <c r="I3541" s="9">
        <v>0.0</v>
      </c>
      <c r="J3541" s="5" t="str">
        <f t="shared" ref="J3541:K3541" si="3541">SUBSTITUTE(H3541, ",", "")</f>
        <v>0</v>
      </c>
      <c r="K3541" s="5" t="str">
        <f t="shared" si="3541"/>
        <v>Rp0</v>
      </c>
      <c r="L3541" s="5" t="str">
        <f t="shared" si="3"/>
        <v>0</v>
      </c>
    </row>
    <row r="3542">
      <c r="A3542" s="6" t="s">
        <v>1835</v>
      </c>
      <c r="B3542" s="7" t="str">
        <f>HYPERLINK("https://shopee.co.id/Somethinc-Level-1-Retinol-20ml-i.10689.5552371373", "https://shopee.co.id/Somethinc-Level-1-Retinol-20ml-i.10689.5552371373")</f>
        <v>https://shopee.co.id/Somethinc-Level-1-Retinol-20ml-i.10689.5552371373</v>
      </c>
      <c r="C3542" s="6" t="s">
        <v>45</v>
      </c>
      <c r="D3542" s="6" t="s">
        <v>745</v>
      </c>
      <c r="E3542" s="6" t="s">
        <v>12</v>
      </c>
      <c r="F3542" s="6" t="s">
        <v>13</v>
      </c>
      <c r="G3542" s="6" t="s">
        <v>61</v>
      </c>
      <c r="H3542" s="8" t="s">
        <v>3981</v>
      </c>
      <c r="I3542" s="9">
        <v>0.0</v>
      </c>
      <c r="J3542" s="5" t="str">
        <f t="shared" ref="J3542:K3542" si="3542">SUBSTITUTE(H3542, ",", "")</f>
        <v>0</v>
      </c>
      <c r="K3542" s="5" t="str">
        <f t="shared" si="3542"/>
        <v>Rp0</v>
      </c>
      <c r="L3542" s="5" t="str">
        <f t="shared" si="3"/>
        <v>0</v>
      </c>
    </row>
    <row r="3543">
      <c r="A3543" s="6" t="s">
        <v>4878</v>
      </c>
      <c r="B3543" s="7" t="str">
        <f>HYPERLINK("https://shopee.co.id/Somethinc-Niacinamide-Moisture-Beet-Serum-40ml-i.825870.6486764061", "https://shopee.co.id/Somethinc-Niacinamide-Moisture-Beet-Serum-40ml-i.825870.6486764061")</f>
        <v>https://shopee.co.id/Somethinc-Niacinamide-Moisture-Beet-Serum-40ml-i.825870.6486764061</v>
      </c>
      <c r="C3543" s="6" t="s">
        <v>45</v>
      </c>
      <c r="D3543" s="6" t="s">
        <v>1184</v>
      </c>
      <c r="E3543" s="6" t="s">
        <v>12</v>
      </c>
      <c r="F3543" s="6" t="s">
        <v>13</v>
      </c>
      <c r="G3543" s="6" t="s">
        <v>98</v>
      </c>
      <c r="H3543" s="8" t="s">
        <v>3981</v>
      </c>
      <c r="I3543" s="9">
        <v>0.0</v>
      </c>
      <c r="J3543" s="5" t="str">
        <f t="shared" ref="J3543:K3543" si="3543">SUBSTITUTE(H3543, ",", "")</f>
        <v>0</v>
      </c>
      <c r="K3543" s="5" t="str">
        <f t="shared" si="3543"/>
        <v>Rp0</v>
      </c>
      <c r="L3543" s="5" t="str">
        <f t="shared" si="3"/>
        <v>0</v>
      </c>
    </row>
    <row r="3544">
      <c r="A3544" s="6" t="s">
        <v>2594</v>
      </c>
      <c r="B3544" s="7" t="str">
        <f>HYPERLINK("https://shopee.co.id/SOMETHINC-Niacinamide-Moisture-Beet-Serum-40ml-i.187117294.4659675354", "https://shopee.co.id/SOMETHINC-Niacinamide-Moisture-Beet-Serum-40ml-i.187117294.4659675354")</f>
        <v>https://shopee.co.id/SOMETHINC-Niacinamide-Moisture-Beet-Serum-40ml-i.187117294.4659675354</v>
      </c>
      <c r="C3544" s="6" t="s">
        <v>45</v>
      </c>
      <c r="D3544" s="6" t="s">
        <v>2366</v>
      </c>
      <c r="E3544" s="6" t="s">
        <v>12</v>
      </c>
      <c r="F3544" s="6" t="s">
        <v>13</v>
      </c>
      <c r="G3544" s="6" t="s">
        <v>469</v>
      </c>
      <c r="H3544" s="8" t="s">
        <v>3981</v>
      </c>
      <c r="I3544" s="9">
        <v>0.0</v>
      </c>
      <c r="J3544" s="5" t="str">
        <f t="shared" ref="J3544:K3544" si="3544">SUBSTITUTE(H3544, ",", "")</f>
        <v>0</v>
      </c>
      <c r="K3544" s="5" t="str">
        <f t="shared" si="3544"/>
        <v>Rp0</v>
      </c>
      <c r="L3544" s="5" t="str">
        <f t="shared" si="3"/>
        <v>0</v>
      </c>
    </row>
    <row r="3545">
      <c r="A3545" s="6" t="s">
        <v>4879</v>
      </c>
      <c r="B3545" s="7" t="str">
        <f>HYPERLINK("https://shopee.co.id/SOMETHINC-NIACINAMIDE-Moisture-Beet-Serum-40ML-i.270965687.6238467311", "https://shopee.co.id/SOMETHINC-NIACINAMIDE-Moisture-Beet-Serum-40ML-i.270965687.6238467311")</f>
        <v>https://shopee.co.id/SOMETHINC-NIACINAMIDE-Moisture-Beet-Serum-40ML-i.270965687.6238467311</v>
      </c>
      <c r="C3545" s="6" t="s">
        <v>45</v>
      </c>
      <c r="D3545" s="6" t="s">
        <v>379</v>
      </c>
      <c r="E3545" s="6" t="s">
        <v>12</v>
      </c>
      <c r="F3545" s="6" t="s">
        <v>13</v>
      </c>
      <c r="G3545" s="6" t="s">
        <v>380</v>
      </c>
      <c r="H3545" s="8" t="s">
        <v>3981</v>
      </c>
      <c r="I3545" s="9">
        <v>0.0</v>
      </c>
      <c r="J3545" s="5" t="str">
        <f t="shared" ref="J3545:K3545" si="3545">SUBSTITUTE(H3545, ",", "")</f>
        <v>0</v>
      </c>
      <c r="K3545" s="5" t="str">
        <f t="shared" si="3545"/>
        <v>Rp0</v>
      </c>
      <c r="L3545" s="5" t="str">
        <f t="shared" si="3"/>
        <v>0</v>
      </c>
    </row>
    <row r="3546">
      <c r="A3546" s="6" t="s">
        <v>4880</v>
      </c>
      <c r="B3546" s="7" t="str">
        <f>HYPERLINK("https://shopee.co.id/SOMETHINC-Niacinamide-Moisture-Beet-Serum-Limited-Edition-20ml-i.68111.3004395558", "https://shopee.co.id/SOMETHINC-Niacinamide-Moisture-Beet-Serum-Limited-Edition-20ml-i.68111.3004395558")</f>
        <v>https://shopee.co.id/SOMETHINC-Niacinamide-Moisture-Beet-Serum-Limited-Edition-20ml-i.68111.3004395558</v>
      </c>
      <c r="C3546" s="6" t="s">
        <v>45</v>
      </c>
      <c r="D3546" s="6" t="s">
        <v>441</v>
      </c>
      <c r="E3546" s="6" t="s">
        <v>12</v>
      </c>
      <c r="F3546" s="6" t="s">
        <v>13</v>
      </c>
      <c r="G3546" s="6" t="s">
        <v>130</v>
      </c>
      <c r="H3546" s="8" t="s">
        <v>3981</v>
      </c>
      <c r="I3546" s="9">
        <v>0.0</v>
      </c>
      <c r="J3546" s="5" t="str">
        <f t="shared" ref="J3546:K3546" si="3546">SUBSTITUTE(H3546, ",", "")</f>
        <v>0</v>
      </c>
      <c r="K3546" s="5" t="str">
        <f t="shared" si="3546"/>
        <v>Rp0</v>
      </c>
      <c r="L3546" s="5" t="str">
        <f t="shared" si="3"/>
        <v>0</v>
      </c>
    </row>
    <row r="3547">
      <c r="A3547" s="6" t="s">
        <v>4881</v>
      </c>
      <c r="B3547" s="7" t="str">
        <f>HYPERLINK("https://shopee.co.id/Somethinc-Niacinamide-Moisture-Sabi-Beet-Max-Brightening-Serum-5-0--i.53887195.9224443304", "https://shopee.co.id/Somethinc-Niacinamide-Moisture-Sabi-Beet-Max-Brightening-Serum-5-0--i.53887195.9224443304")</f>
        <v>https://shopee.co.id/Somethinc-Niacinamide-Moisture-Sabi-Beet-Max-Brightening-Serum-5-0--i.53887195.9224443304</v>
      </c>
      <c r="C3547" s="6" t="s">
        <v>45</v>
      </c>
      <c r="D3547" s="6" t="s">
        <v>1026</v>
      </c>
      <c r="E3547" s="6" t="s">
        <v>12</v>
      </c>
      <c r="F3547" s="6" t="s">
        <v>13</v>
      </c>
      <c r="G3547" s="6" t="s">
        <v>80</v>
      </c>
      <c r="H3547" s="8" t="s">
        <v>3981</v>
      </c>
      <c r="I3547" s="9">
        <v>0.0</v>
      </c>
      <c r="J3547" s="5" t="str">
        <f t="shared" ref="J3547:K3547" si="3547">SUBSTITUTE(H3547, ",", "")</f>
        <v>0</v>
      </c>
      <c r="K3547" s="5" t="str">
        <f t="shared" si="3547"/>
        <v>Rp0</v>
      </c>
      <c r="L3547" s="5" t="str">
        <f t="shared" si="3"/>
        <v>0</v>
      </c>
    </row>
    <row r="3548">
      <c r="A3548" s="6" t="s">
        <v>4882</v>
      </c>
      <c r="B3548" s="7" t="str">
        <f>HYPERLINK("https://shopee.co.id/SOMETHINC-Niacinamide-Moisture-Sabi-Beet-Serum-20ml-i.187117294.5181502105", "https://shopee.co.id/SOMETHINC-Niacinamide-Moisture-Sabi-Beet-Serum-20ml-i.187117294.5181502105")</f>
        <v>https://shopee.co.id/SOMETHINC-Niacinamide-Moisture-Sabi-Beet-Serum-20ml-i.187117294.5181502105</v>
      </c>
      <c r="C3548" s="6" t="s">
        <v>45</v>
      </c>
      <c r="D3548" s="6" t="s">
        <v>2366</v>
      </c>
      <c r="E3548" s="6" t="s">
        <v>12</v>
      </c>
      <c r="F3548" s="6" t="s">
        <v>13</v>
      </c>
      <c r="G3548" s="6" t="s">
        <v>469</v>
      </c>
      <c r="H3548" s="8" t="s">
        <v>3981</v>
      </c>
      <c r="I3548" s="9">
        <v>0.0</v>
      </c>
      <c r="J3548" s="5" t="str">
        <f t="shared" ref="J3548:K3548" si="3548">SUBSTITUTE(H3548, ",", "")</f>
        <v>0</v>
      </c>
      <c r="K3548" s="5" t="str">
        <f t="shared" si="3548"/>
        <v>Rp0</v>
      </c>
      <c r="L3548" s="5" t="str">
        <f t="shared" si="3"/>
        <v>0</v>
      </c>
    </row>
    <row r="3549">
      <c r="A3549" s="6" t="s">
        <v>1950</v>
      </c>
      <c r="B3549" s="7" t="str">
        <f>HYPERLINK("https://shopee.co.id/Somethinc-Salmon-DNA-Marine-Colagen-Elixir-20-ml-i.65323877.8279239649", "https://shopee.co.id/Somethinc-Salmon-DNA-Marine-Colagen-Elixir-20-ml-i.65323877.8279239649")</f>
        <v>https://shopee.co.id/Somethinc-Salmon-DNA-Marine-Colagen-Elixir-20-ml-i.65323877.8279239649</v>
      </c>
      <c r="C3549" s="6" t="s">
        <v>45</v>
      </c>
      <c r="D3549" s="6" t="s">
        <v>1600</v>
      </c>
      <c r="E3549" s="6" t="s">
        <v>12</v>
      </c>
      <c r="F3549" s="6" t="s">
        <v>13</v>
      </c>
      <c r="G3549" s="6" t="s">
        <v>296</v>
      </c>
      <c r="H3549" s="8" t="s">
        <v>3981</v>
      </c>
      <c r="I3549" s="9">
        <v>0.0</v>
      </c>
      <c r="J3549" s="5" t="str">
        <f t="shared" ref="J3549:K3549" si="3549">SUBSTITUTE(H3549, ",", "")</f>
        <v>0</v>
      </c>
      <c r="K3549" s="5" t="str">
        <f t="shared" si="3549"/>
        <v>Rp0</v>
      </c>
      <c r="L3549" s="5" t="str">
        <f t="shared" si="3"/>
        <v>0</v>
      </c>
    </row>
    <row r="3550">
      <c r="A3550" s="6" t="s">
        <v>4883</v>
      </c>
      <c r="B3550" s="7" t="str">
        <f>HYPERLINK("https://shopee.co.id/SOMETHINC-CRIOUSLY-24K-GOLD-Essence-i.217272417.5657564109", "https://shopee.co.id/SOMETHINC-CRIOUSLY-24K-GOLD-Essence-i.217272417.5657564109")</f>
        <v>https://shopee.co.id/SOMETHINC-CRIOUSLY-24K-GOLD-Essence-i.217272417.5657564109</v>
      </c>
      <c r="C3550" s="6" t="s">
        <v>45</v>
      </c>
      <c r="D3550" s="6" t="s">
        <v>3793</v>
      </c>
      <c r="E3550" s="6" t="s">
        <v>12</v>
      </c>
      <c r="F3550" s="6" t="s">
        <v>13</v>
      </c>
      <c r="G3550" s="6" t="s">
        <v>98</v>
      </c>
      <c r="H3550" s="8" t="s">
        <v>3981</v>
      </c>
      <c r="I3550" s="9">
        <v>0.0</v>
      </c>
      <c r="J3550" s="5" t="str">
        <f t="shared" ref="J3550:K3550" si="3550">SUBSTITUTE(H3550, ",", "")</f>
        <v>0</v>
      </c>
      <c r="K3550" s="5" t="str">
        <f t="shared" si="3550"/>
        <v>Rp0</v>
      </c>
      <c r="L3550" s="5" t="str">
        <f t="shared" si="3"/>
        <v>0</v>
      </c>
    </row>
    <row r="3551">
      <c r="A3551" s="6" t="s">
        <v>4884</v>
      </c>
      <c r="B3551" s="7" t="str">
        <f>HYPERLINK("https://shopee.co.id/SOMETHINCserum-hyaluronic9-advanced-b5-20ml-i.187117294.3251661510", "https://shopee.co.id/SOMETHINCserum-hyaluronic9-advanced-b5-20ml-i.187117294.3251661510")</f>
        <v>https://shopee.co.id/SOMETHINCserum-hyaluronic9-advanced-b5-20ml-i.187117294.3251661510</v>
      </c>
      <c r="C3551" s="6" t="s">
        <v>45</v>
      </c>
      <c r="D3551" s="6" t="s">
        <v>2366</v>
      </c>
      <c r="E3551" s="6" t="s">
        <v>12</v>
      </c>
      <c r="F3551" s="6" t="s">
        <v>13</v>
      </c>
      <c r="G3551" s="6" t="s">
        <v>469</v>
      </c>
      <c r="H3551" s="8" t="s">
        <v>3981</v>
      </c>
      <c r="I3551" s="9">
        <v>0.0</v>
      </c>
      <c r="J3551" s="5" t="str">
        <f t="shared" ref="J3551:K3551" si="3551">SUBSTITUTE(H3551, ",", "")</f>
        <v>0</v>
      </c>
      <c r="K3551" s="5" t="str">
        <f t="shared" si="3551"/>
        <v>Rp0</v>
      </c>
      <c r="L3551" s="5" t="str">
        <f t="shared" si="3"/>
        <v>0</v>
      </c>
    </row>
    <row r="3552">
      <c r="A3552" s="6" t="s">
        <v>4885</v>
      </c>
      <c r="B3552" s="7" t="str">
        <f>HYPERLINK("https://shopee.co.id/SPECIAL-BUNDLING-Placentor-Regenerating-Serum-Cleansing-Gel-Pembersih-Wajah-Serum-i.304477244.3652513645", "https://shopee.co.id/SPECIAL-BUNDLING-Placentor-Regenerating-Serum-Cleansing-Gel-Pembersih-Wajah-Serum-i.304477244.3652513645")</f>
        <v>https://shopee.co.id/SPECIAL-BUNDLING-Placentor-Regenerating-Serum-Cleansing-Gel-Pembersih-Wajah-Serum-i.304477244.3652513645</v>
      </c>
      <c r="C3552" s="6" t="s">
        <v>2346</v>
      </c>
      <c r="D3552" s="6" t="s">
        <v>2347</v>
      </c>
      <c r="E3552" s="6" t="s">
        <v>12</v>
      </c>
      <c r="F3552" s="6" t="s">
        <v>13</v>
      </c>
      <c r="G3552" s="6" t="s">
        <v>532</v>
      </c>
      <c r="H3552" s="8" t="s">
        <v>3981</v>
      </c>
      <c r="I3552" s="9">
        <v>0.0</v>
      </c>
      <c r="J3552" s="5" t="str">
        <f t="shared" ref="J3552:K3552" si="3552">SUBSTITUTE(H3552, ",", "")</f>
        <v>0</v>
      </c>
      <c r="K3552" s="5" t="str">
        <f t="shared" si="3552"/>
        <v>Rp0</v>
      </c>
      <c r="L3552" s="5" t="str">
        <f t="shared" si="3"/>
        <v>0</v>
      </c>
    </row>
    <row r="3553">
      <c r="A3553" s="6" t="s">
        <v>4886</v>
      </c>
      <c r="B3553" s="7" t="str">
        <f>HYPERLINK("https://shopee.co.id/SPECIAL-BUNDLING-Placentor-Regenerating-Serum-Corrective-Cream-Serum-Mengatasi-noda-pd-wajah-i.304477244.3171675550", "https://shopee.co.id/SPECIAL-BUNDLING-Placentor-Regenerating-Serum-Corrective-Cream-Serum-Mengatasi-noda-pd-wajah-i.304477244.3171675550")</f>
        <v>https://shopee.co.id/SPECIAL-BUNDLING-Placentor-Regenerating-Serum-Corrective-Cream-Serum-Mengatasi-noda-pd-wajah-i.304477244.3171675550</v>
      </c>
      <c r="C3553" s="6" t="s">
        <v>2346</v>
      </c>
      <c r="D3553" s="6" t="s">
        <v>2347</v>
      </c>
      <c r="E3553" s="6" t="s">
        <v>12</v>
      </c>
      <c r="F3553" s="6" t="s">
        <v>13</v>
      </c>
      <c r="G3553" s="6" t="s">
        <v>532</v>
      </c>
      <c r="H3553" s="8" t="s">
        <v>3981</v>
      </c>
      <c r="I3553" s="9">
        <v>0.0</v>
      </c>
      <c r="J3553" s="5" t="str">
        <f t="shared" ref="J3553:K3553" si="3553">SUBSTITUTE(H3553, ",", "")</f>
        <v>0</v>
      </c>
      <c r="K3553" s="5" t="str">
        <f t="shared" si="3553"/>
        <v>Rp0</v>
      </c>
      <c r="L3553" s="5" t="str">
        <f t="shared" si="3"/>
        <v>0</v>
      </c>
    </row>
    <row r="3554">
      <c r="A3554" s="6" t="s">
        <v>4887</v>
      </c>
      <c r="B3554" s="7" t="str">
        <f>HYPERLINK("https://shopee.co.id/SPECIAL-BUNDLING-Placentor-Regenerating-Serum-Moisturizing-Fluid-i.304477244.5264713898", "https://shopee.co.id/SPECIAL-BUNDLING-Placentor-Regenerating-Serum-Moisturizing-Fluid-i.304477244.5264713898")</f>
        <v>https://shopee.co.id/SPECIAL-BUNDLING-Placentor-Regenerating-Serum-Moisturizing-Fluid-i.304477244.5264713898</v>
      </c>
      <c r="C3554" s="6" t="s">
        <v>2346</v>
      </c>
      <c r="D3554" s="6" t="s">
        <v>2347</v>
      </c>
      <c r="E3554" s="6" t="s">
        <v>12</v>
      </c>
      <c r="F3554" s="6" t="s">
        <v>13</v>
      </c>
      <c r="G3554" s="6" t="s">
        <v>532</v>
      </c>
      <c r="H3554" s="8" t="s">
        <v>3981</v>
      </c>
      <c r="I3554" s="9">
        <v>0.0</v>
      </c>
      <c r="J3554" s="5" t="str">
        <f t="shared" ref="J3554:K3554" si="3554">SUBSTITUTE(H3554, ",", "")</f>
        <v>0</v>
      </c>
      <c r="K3554" s="5" t="str">
        <f t="shared" si="3554"/>
        <v>Rp0</v>
      </c>
      <c r="L3554" s="5" t="str">
        <f t="shared" si="3"/>
        <v>0</v>
      </c>
    </row>
    <row r="3555">
      <c r="A3555" s="6" t="s">
        <v>4888</v>
      </c>
      <c r="B3555" s="7" t="str">
        <f>HYPERLINK("https://shopee.co.id/SPECIAL-BUNDLING-Placentor-Regenerating-Serum-Regenerating-Moisturizing-Cream-i.304477244.5063565039", "https://shopee.co.id/SPECIAL-BUNDLING-Placentor-Regenerating-Serum-Regenerating-Moisturizing-Cream-i.304477244.5063565039")</f>
        <v>https://shopee.co.id/SPECIAL-BUNDLING-Placentor-Regenerating-Serum-Regenerating-Moisturizing-Cream-i.304477244.5063565039</v>
      </c>
      <c r="C3555" s="6" t="s">
        <v>2346</v>
      </c>
      <c r="D3555" s="6" t="s">
        <v>2347</v>
      </c>
      <c r="E3555" s="6" t="s">
        <v>12</v>
      </c>
      <c r="F3555" s="6" t="s">
        <v>13</v>
      </c>
      <c r="G3555" s="6" t="s">
        <v>532</v>
      </c>
      <c r="H3555" s="8" t="s">
        <v>3981</v>
      </c>
      <c r="I3555" s="9">
        <v>0.0</v>
      </c>
      <c r="J3555" s="5" t="str">
        <f t="shared" ref="J3555:K3555" si="3555">SUBSTITUTE(H3555, ",", "")</f>
        <v>0</v>
      </c>
      <c r="K3555" s="5" t="str">
        <f t="shared" si="3555"/>
        <v>Rp0</v>
      </c>
      <c r="L3555" s="5" t="str">
        <f t="shared" si="3"/>
        <v>0</v>
      </c>
    </row>
    <row r="3556">
      <c r="A3556" s="6" t="s">
        <v>4889</v>
      </c>
      <c r="B3556" s="7" t="str">
        <f>HYPERLINK("https://shopee.co.id/STEFSKIN-Collagen-Vit-C-Serum-i.118592719.6620292978", "https://shopee.co.id/STEFSKIN-Collagen-Vit-C-Serum-i.118592719.6620292978")</f>
        <v>https://shopee.co.id/STEFSKIN-Collagen-Vit-C-Serum-i.118592719.6620292978</v>
      </c>
      <c r="C3556" s="6" t="s">
        <v>4890</v>
      </c>
      <c r="D3556" s="6" t="s">
        <v>4891</v>
      </c>
      <c r="E3556" s="6" t="s">
        <v>12</v>
      </c>
      <c r="F3556" s="6" t="s">
        <v>13</v>
      </c>
      <c r="G3556" s="6" t="s">
        <v>80</v>
      </c>
      <c r="H3556" s="8" t="s">
        <v>3981</v>
      </c>
      <c r="I3556" s="9">
        <v>0.0</v>
      </c>
      <c r="J3556" s="5" t="str">
        <f t="shared" ref="J3556:K3556" si="3556">SUBSTITUTE(H3556, ",", "")</f>
        <v>0</v>
      </c>
      <c r="K3556" s="5" t="str">
        <f t="shared" si="3556"/>
        <v>Rp0</v>
      </c>
      <c r="L3556" s="5" t="str">
        <f t="shared" si="3"/>
        <v>0</v>
      </c>
    </row>
    <row r="3557">
      <c r="A3557" s="6" t="s">
        <v>841</v>
      </c>
      <c r="B3557" s="7" t="str">
        <f>HYPERLINK("https://shopee.co.id/Sulwhasoo-Snowise-Brightening-Serum-Set-i.274949344.8920299890", "https://shopee.co.id/Sulwhasoo-Snowise-Brightening-Serum-Set-i.274949344.8920299890")</f>
        <v>https://shopee.co.id/Sulwhasoo-Snowise-Brightening-Serum-Set-i.274949344.8920299890</v>
      </c>
      <c r="C3557" s="6" t="s">
        <v>282</v>
      </c>
      <c r="D3557" s="6" t="s">
        <v>283</v>
      </c>
      <c r="E3557" s="6" t="s">
        <v>12</v>
      </c>
      <c r="F3557" s="6" t="s">
        <v>13</v>
      </c>
      <c r="G3557" s="6" t="s">
        <v>61</v>
      </c>
      <c r="H3557" s="8" t="s">
        <v>3981</v>
      </c>
      <c r="I3557" s="9">
        <v>0.0</v>
      </c>
      <c r="J3557" s="5" t="str">
        <f t="shared" ref="J3557:K3557" si="3557">SUBSTITUTE(H3557, ",", "")</f>
        <v>0</v>
      </c>
      <c r="K3557" s="5" t="str">
        <f t="shared" si="3557"/>
        <v>Rp0</v>
      </c>
      <c r="L3557" s="5" t="str">
        <f t="shared" si="3"/>
        <v>0</v>
      </c>
    </row>
    <row r="3558">
      <c r="A3558" s="6" t="s">
        <v>4892</v>
      </c>
      <c r="B3558" s="7" t="str">
        <f>HYPERLINK("https://shopee.co.id/SUMMER-TIME-Revitalizing-Serum-for-Normal-to-Dry-Skin-i.140759088.2200825056", "https://shopee.co.id/SUMMER-TIME-Revitalizing-Serum-for-Normal-to-Dry-Skin-i.140759088.2200825056")</f>
        <v>https://shopee.co.id/SUMMER-TIME-Revitalizing-Serum-for-Normal-to-Dry-Skin-i.140759088.2200825056</v>
      </c>
      <c r="C3558" s="6" t="s">
        <v>4893</v>
      </c>
      <c r="D3558" s="6" t="s">
        <v>4894</v>
      </c>
      <c r="E3558" s="6" t="s">
        <v>12</v>
      </c>
      <c r="F3558" s="6" t="s">
        <v>13</v>
      </c>
      <c r="G3558" s="6" t="s">
        <v>296</v>
      </c>
      <c r="H3558" s="8" t="s">
        <v>3981</v>
      </c>
      <c r="I3558" s="9">
        <v>0.0</v>
      </c>
      <c r="J3558" s="5" t="str">
        <f t="shared" ref="J3558:K3558" si="3558">SUBSTITUTE(H3558, ",", "")</f>
        <v>0</v>
      </c>
      <c r="K3558" s="5" t="str">
        <f t="shared" si="3558"/>
        <v>Rp0</v>
      </c>
      <c r="L3558" s="5" t="str">
        <f t="shared" si="3"/>
        <v>0</v>
      </c>
    </row>
    <row r="3559">
      <c r="A3559" s="6" t="s">
        <v>4895</v>
      </c>
      <c r="B3559" s="7" t="str">
        <f>HYPERLINK("https://shopee.co.id/SUMMER-TIME-Serum-for-Oily-Acne-Prone-Skin-i.140759088.2200840687", "https://shopee.co.id/SUMMER-TIME-Serum-for-Oily-Acne-Prone-Skin-i.140759088.2200840687")</f>
        <v>https://shopee.co.id/SUMMER-TIME-Serum-for-Oily-Acne-Prone-Skin-i.140759088.2200840687</v>
      </c>
      <c r="C3559" s="6" t="s">
        <v>4893</v>
      </c>
      <c r="D3559" s="6" t="s">
        <v>4894</v>
      </c>
      <c r="E3559" s="6" t="s">
        <v>12</v>
      </c>
      <c r="F3559" s="6" t="s">
        <v>13</v>
      </c>
      <c r="G3559" s="6" t="s">
        <v>296</v>
      </c>
      <c r="H3559" s="8" t="s">
        <v>3981</v>
      </c>
      <c r="I3559" s="9">
        <v>0.0</v>
      </c>
      <c r="J3559" s="5" t="str">
        <f t="shared" ref="J3559:K3559" si="3559">SUBSTITUTE(H3559, ",", "")</f>
        <v>0</v>
      </c>
      <c r="K3559" s="5" t="str">
        <f t="shared" si="3559"/>
        <v>Rp0</v>
      </c>
      <c r="L3559" s="5" t="str">
        <f t="shared" si="3"/>
        <v>0</v>
      </c>
    </row>
    <row r="3560">
      <c r="A3560" s="6" t="s">
        <v>4896</v>
      </c>
      <c r="B3560" s="7" t="str">
        <f>HYPERLINK("https://shopee.co.id/Swissvita-Brightening-Serum-VitaBtech-i.29252724.1068177805", "https://shopee.co.id/Swissvita-Brightening-Serum-VitaBtech-i.29252724.1068177805")</f>
        <v>https://shopee.co.id/Swissvita-Brightening-Serum-VitaBtech-i.29252724.1068177805</v>
      </c>
      <c r="C3560" s="6" t="s">
        <v>2536</v>
      </c>
      <c r="D3560" s="6" t="s">
        <v>2537</v>
      </c>
      <c r="E3560" s="6" t="s">
        <v>12</v>
      </c>
      <c r="F3560" s="6" t="s">
        <v>13</v>
      </c>
      <c r="G3560" s="6" t="s">
        <v>61</v>
      </c>
      <c r="H3560" s="8" t="s">
        <v>3981</v>
      </c>
      <c r="I3560" s="9">
        <v>0.0</v>
      </c>
      <c r="J3560" s="5" t="str">
        <f t="shared" ref="J3560:K3560" si="3560">SUBSTITUTE(H3560, ",", "")</f>
        <v>0</v>
      </c>
      <c r="K3560" s="5" t="str">
        <f t="shared" si="3560"/>
        <v>Rp0</v>
      </c>
      <c r="L3560" s="5" t="str">
        <f t="shared" si="3"/>
        <v>0</v>
      </c>
    </row>
    <row r="3561">
      <c r="A3561" s="6" t="s">
        <v>4897</v>
      </c>
      <c r="B3561" s="7" t="str">
        <f>HYPERLINK("https://shopee.co.id/Swissvita-Dark-Spot-Correcting-Serum-VitaBtech-i.29252724.390512881", "https://shopee.co.id/Swissvita-Dark-Spot-Correcting-Serum-VitaBtech-i.29252724.390512881")</f>
        <v>https://shopee.co.id/Swissvita-Dark-Spot-Correcting-Serum-VitaBtech-i.29252724.390512881</v>
      </c>
      <c r="C3561" s="6" t="s">
        <v>2536</v>
      </c>
      <c r="D3561" s="6" t="s">
        <v>2537</v>
      </c>
      <c r="E3561" s="6" t="s">
        <v>12</v>
      </c>
      <c r="F3561" s="6" t="s">
        <v>13</v>
      </c>
      <c r="G3561" s="6" t="s">
        <v>61</v>
      </c>
      <c r="H3561" s="8" t="s">
        <v>3981</v>
      </c>
      <c r="I3561" s="9">
        <v>0.0</v>
      </c>
      <c r="J3561" s="5" t="str">
        <f t="shared" ref="J3561:K3561" si="3561">SUBSTITUTE(H3561, ",", "")</f>
        <v>0</v>
      </c>
      <c r="K3561" s="5" t="str">
        <f t="shared" si="3561"/>
        <v>Rp0</v>
      </c>
      <c r="L3561" s="5" t="str">
        <f t="shared" si="3"/>
        <v>0</v>
      </c>
    </row>
    <row r="3562">
      <c r="A3562" s="6" t="s">
        <v>4898</v>
      </c>
      <c r="B3562" s="7" t="str">
        <f>HYPERLINK("https://shopee.co.id/Swissvita-Mandelic-Acid-Complex-Serum-AHA--i.29252724.7368049384", "https://shopee.co.id/Swissvita-Mandelic-Acid-Complex-Serum-AHA--i.29252724.7368049384")</f>
        <v>https://shopee.co.id/Swissvita-Mandelic-Acid-Complex-Serum-AHA--i.29252724.7368049384</v>
      </c>
      <c r="C3562" s="6" t="s">
        <v>2536</v>
      </c>
      <c r="D3562" s="6" t="s">
        <v>2537</v>
      </c>
      <c r="E3562" s="6" t="s">
        <v>12</v>
      </c>
      <c r="F3562" s="6" t="s">
        <v>13</v>
      </c>
      <c r="G3562" s="6" t="s">
        <v>61</v>
      </c>
      <c r="H3562" s="8" t="s">
        <v>3981</v>
      </c>
      <c r="I3562" s="9">
        <v>0.0</v>
      </c>
      <c r="J3562" s="5" t="str">
        <f t="shared" ref="J3562:K3562" si="3562">SUBSTITUTE(H3562, ",", "")</f>
        <v>0</v>
      </c>
      <c r="K3562" s="5" t="str">
        <f t="shared" si="3562"/>
        <v>Rp0</v>
      </c>
      <c r="L3562" s="5" t="str">
        <f t="shared" si="3"/>
        <v>0</v>
      </c>
    </row>
    <row r="3563">
      <c r="A3563" s="6" t="s">
        <v>4899</v>
      </c>
      <c r="B3563" s="7" t="str">
        <f>HYPERLINK("https://shopee.co.id/Swissvita-Skin-Serum-VitaBtech-i.29252724.1067013033", "https://shopee.co.id/Swissvita-Skin-Serum-VitaBtech-i.29252724.1067013033")</f>
        <v>https://shopee.co.id/Swissvita-Skin-Serum-VitaBtech-i.29252724.1067013033</v>
      </c>
      <c r="C3563" s="6" t="s">
        <v>2536</v>
      </c>
      <c r="D3563" s="6" t="s">
        <v>2537</v>
      </c>
      <c r="E3563" s="6" t="s">
        <v>12</v>
      </c>
      <c r="F3563" s="6" t="s">
        <v>13</v>
      </c>
      <c r="G3563" s="6" t="s">
        <v>61</v>
      </c>
      <c r="H3563" s="8" t="s">
        <v>3981</v>
      </c>
      <c r="I3563" s="9">
        <v>0.0</v>
      </c>
      <c r="J3563" s="5" t="str">
        <f t="shared" ref="J3563:K3563" si="3563">SUBSTITUTE(H3563, ",", "")</f>
        <v>0</v>
      </c>
      <c r="K3563" s="5" t="str">
        <f t="shared" si="3563"/>
        <v>Rp0</v>
      </c>
      <c r="L3563" s="5" t="str">
        <f t="shared" si="3"/>
        <v>0</v>
      </c>
    </row>
    <row r="3564">
      <c r="A3564" s="6" t="s">
        <v>4900</v>
      </c>
      <c r="B3564" s="7" t="str">
        <f>HYPERLINK("https://shopee.co.id/TERRA-BEAUTE-Acne-Soother-Serum-i.68111.8056504562", "https://shopee.co.id/TERRA-BEAUTE-Acne-Soother-Serum-i.68111.8056504562")</f>
        <v>https://shopee.co.id/TERRA-BEAUTE-Acne-Soother-Serum-i.68111.8056504562</v>
      </c>
      <c r="C3564" s="6" t="s">
        <v>4608</v>
      </c>
      <c r="D3564" s="6" t="s">
        <v>441</v>
      </c>
      <c r="E3564" s="6" t="s">
        <v>12</v>
      </c>
      <c r="F3564" s="6" t="s">
        <v>13</v>
      </c>
      <c r="G3564" s="6" t="s">
        <v>130</v>
      </c>
      <c r="H3564" s="8" t="s">
        <v>3981</v>
      </c>
      <c r="I3564" s="9">
        <v>0.0</v>
      </c>
      <c r="J3564" s="5" t="str">
        <f t="shared" ref="J3564:K3564" si="3564">SUBSTITUTE(H3564, ",", "")</f>
        <v>0</v>
      </c>
      <c r="K3564" s="5" t="str">
        <f t="shared" si="3564"/>
        <v>Rp0</v>
      </c>
      <c r="L3564" s="5" t="str">
        <f t="shared" si="3"/>
        <v>0</v>
      </c>
    </row>
    <row r="3565">
      <c r="A3565" s="6" t="s">
        <v>4901</v>
      </c>
      <c r="B3565" s="7" t="str">
        <f>HYPERLINK("https://shopee.co.id/THANK-YOU-FARMER-TRUE-WATER-DEEP-SERUM-60-ml-i.53497038.5934055078", "https://shopee.co.id/THANK-YOU-FARMER-TRUE-WATER-DEEP-SERUM-60-ml-i.53497038.5934055078")</f>
        <v>https://shopee.co.id/THANK-YOU-FARMER-TRUE-WATER-DEEP-SERUM-60-ml-i.53497038.5934055078</v>
      </c>
      <c r="C3565" s="6" t="s">
        <v>2961</v>
      </c>
      <c r="D3565" s="6" t="s">
        <v>907</v>
      </c>
      <c r="E3565" s="6" t="s">
        <v>12</v>
      </c>
      <c r="F3565" s="6" t="s">
        <v>13</v>
      </c>
      <c r="G3565" s="6" t="s">
        <v>61</v>
      </c>
      <c r="H3565" s="8" t="s">
        <v>3981</v>
      </c>
      <c r="I3565" s="9">
        <v>0.0</v>
      </c>
      <c r="J3565" s="5" t="str">
        <f t="shared" ref="J3565:K3565" si="3565">SUBSTITUTE(H3565, ",", "")</f>
        <v>0</v>
      </c>
      <c r="K3565" s="5" t="str">
        <f t="shared" si="3565"/>
        <v>Rp0</v>
      </c>
      <c r="L3565" s="5" t="str">
        <f t="shared" si="3"/>
        <v>0</v>
      </c>
    </row>
    <row r="3566">
      <c r="A3566" s="6" t="s">
        <v>4902</v>
      </c>
      <c r="B3566" s="7" t="str">
        <f>HYPERLINK("https://shopee.co.id/The-Aubree-Brightening-Serum-Concentrate-30ml-i.136011044.2922912051", "https://shopee.co.id/The-Aubree-Brightening-Serum-Concentrate-30ml-i.136011044.2922912051")</f>
        <v>https://shopee.co.id/The-Aubree-Brightening-Serum-Concentrate-30ml-i.136011044.2922912051</v>
      </c>
      <c r="C3566" s="6" t="s">
        <v>772</v>
      </c>
      <c r="D3566" s="6" t="s">
        <v>632</v>
      </c>
      <c r="E3566" s="6" t="s">
        <v>12</v>
      </c>
      <c r="F3566" s="6" t="s">
        <v>13</v>
      </c>
      <c r="G3566" s="6" t="s">
        <v>21</v>
      </c>
      <c r="H3566" s="8" t="s">
        <v>3981</v>
      </c>
      <c r="I3566" s="9">
        <v>0.0</v>
      </c>
      <c r="J3566" s="5" t="str">
        <f t="shared" ref="J3566:K3566" si="3566">SUBSTITUTE(H3566, ",", "")</f>
        <v>0</v>
      </c>
      <c r="K3566" s="5" t="str">
        <f t="shared" si="3566"/>
        <v>Rp0</v>
      </c>
      <c r="L3566" s="5" t="str">
        <f t="shared" si="3"/>
        <v>0</v>
      </c>
    </row>
    <row r="3567">
      <c r="A3567" s="6" t="s">
        <v>4903</v>
      </c>
      <c r="B3567" s="7" t="str">
        <f>HYPERLINK("https://shopee.co.id/The-Aubree-Centella-Herb-Serum-30-mL-i.65323877.4894822083", "https://shopee.co.id/The-Aubree-Centella-Herb-Serum-30-mL-i.65323877.4894822083")</f>
        <v>https://shopee.co.id/The-Aubree-Centella-Herb-Serum-30-mL-i.65323877.4894822083</v>
      </c>
      <c r="C3567" s="6" t="s">
        <v>772</v>
      </c>
      <c r="D3567" s="6" t="s">
        <v>1600</v>
      </c>
      <c r="E3567" s="6" t="s">
        <v>12</v>
      </c>
      <c r="F3567" s="6" t="s">
        <v>13</v>
      </c>
      <c r="G3567" s="6" t="s">
        <v>296</v>
      </c>
      <c r="H3567" s="8" t="s">
        <v>3981</v>
      </c>
      <c r="I3567" s="9">
        <v>0.0</v>
      </c>
      <c r="J3567" s="5" t="str">
        <f t="shared" ref="J3567:K3567" si="3567">SUBSTITUTE(H3567, ",", "")</f>
        <v>0</v>
      </c>
      <c r="K3567" s="5" t="str">
        <f t="shared" si="3567"/>
        <v>Rp0</v>
      </c>
      <c r="L3567" s="5" t="str">
        <f t="shared" si="3"/>
        <v>0</v>
      </c>
    </row>
    <row r="3568">
      <c r="A3568" s="6" t="s">
        <v>1501</v>
      </c>
      <c r="B3568" s="7" t="str">
        <f>HYPERLINK("https://shopee.co.id/The-Aubree-Ginseng-Renewing-First-Serum-30-ml-i.10689.3866239801", "https://shopee.co.id/The-Aubree-Ginseng-Renewing-First-Serum-30-ml-i.10689.3866239801")</f>
        <v>https://shopee.co.id/The-Aubree-Ginseng-Renewing-First-Serum-30-ml-i.10689.3866239801</v>
      </c>
      <c r="C3568" s="6" t="s">
        <v>772</v>
      </c>
      <c r="D3568" s="6" t="s">
        <v>745</v>
      </c>
      <c r="E3568" s="6" t="s">
        <v>12</v>
      </c>
      <c r="F3568" s="6" t="s">
        <v>13</v>
      </c>
      <c r="G3568" s="6" t="s">
        <v>61</v>
      </c>
      <c r="H3568" s="8" t="s">
        <v>3981</v>
      </c>
      <c r="I3568" s="9">
        <v>0.0</v>
      </c>
      <c r="J3568" s="5" t="str">
        <f t="shared" ref="J3568:K3568" si="3568">SUBSTITUTE(H3568, ",", "")</f>
        <v>0</v>
      </c>
      <c r="K3568" s="5" t="str">
        <f t="shared" si="3568"/>
        <v>Rp0</v>
      </c>
      <c r="L3568" s="5" t="str">
        <f t="shared" si="3"/>
        <v>0</v>
      </c>
    </row>
    <row r="3569">
      <c r="A3569" s="6" t="s">
        <v>4904</v>
      </c>
      <c r="B3569" s="7" t="str">
        <f>HYPERLINK("https://shopee.co.id/THE-BATH-BOX-Centella-Essence-Jerawat-Sensitif-Redness-Iritasi--i.52581685.7733771157", "https://shopee.co.id/THE-BATH-BOX-Centella-Essence-Jerawat-Sensitif-Redness-Iritasi--i.52581685.7733771157")</f>
        <v>https://shopee.co.id/THE-BATH-BOX-Centella-Essence-Jerawat-Sensitif-Redness-Iritasi--i.52581685.7733771157</v>
      </c>
      <c r="C3569" s="6" t="s">
        <v>613</v>
      </c>
      <c r="D3569" s="6" t="s">
        <v>614</v>
      </c>
      <c r="E3569" s="6" t="s">
        <v>12</v>
      </c>
      <c r="F3569" s="6" t="s">
        <v>13</v>
      </c>
      <c r="G3569" s="6" t="s">
        <v>61</v>
      </c>
      <c r="H3569" s="8" t="s">
        <v>3981</v>
      </c>
      <c r="I3569" s="9">
        <v>0.0</v>
      </c>
      <c r="J3569" s="5" t="str">
        <f t="shared" ref="J3569:K3569" si="3569">SUBSTITUTE(H3569, ",", "")</f>
        <v>0</v>
      </c>
      <c r="K3569" s="5" t="str">
        <f t="shared" si="3569"/>
        <v>Rp0</v>
      </c>
      <c r="L3569" s="5" t="str">
        <f t="shared" si="3"/>
        <v>0</v>
      </c>
    </row>
    <row r="3570">
      <c r="A3570" s="6" t="s">
        <v>4905</v>
      </c>
      <c r="B3570" s="7" t="str">
        <f>HYPERLINK("https://shopee.co.id/THE-BATH-BOX-Centella-Facial-Treatment-Essence-100ml-i.68111.9317930668", "https://shopee.co.id/THE-BATH-BOX-Centella-Facial-Treatment-Essence-100ml-i.68111.9317930668")</f>
        <v>https://shopee.co.id/THE-BATH-BOX-Centella-Facial-Treatment-Essence-100ml-i.68111.9317930668</v>
      </c>
      <c r="C3570" s="6" t="s">
        <v>613</v>
      </c>
      <c r="D3570" s="6" t="s">
        <v>441</v>
      </c>
      <c r="E3570" s="6" t="s">
        <v>12</v>
      </c>
      <c r="F3570" s="6" t="s">
        <v>13</v>
      </c>
      <c r="G3570" s="6" t="s">
        <v>130</v>
      </c>
      <c r="H3570" s="8" t="s">
        <v>3981</v>
      </c>
      <c r="I3570" s="9">
        <v>0.0</v>
      </c>
      <c r="J3570" s="5" t="str">
        <f t="shared" ref="J3570:K3570" si="3570">SUBSTITUTE(H3570, ",", "")</f>
        <v>0</v>
      </c>
      <c r="K3570" s="5" t="str">
        <f t="shared" si="3570"/>
        <v>Rp0</v>
      </c>
      <c r="L3570" s="5" t="str">
        <f t="shared" si="3"/>
        <v>0</v>
      </c>
    </row>
    <row r="3571">
      <c r="A3571" s="6" t="s">
        <v>4906</v>
      </c>
      <c r="B3571" s="7" t="str">
        <f>HYPERLINK("https://shopee.co.id/THE-BATH-BOX-Delicate-Dream-Serum-sensistif-iritasi-bruntusan-30ml-i.52581685.5300414365", "https://shopee.co.id/THE-BATH-BOX-Delicate-Dream-Serum-sensistif-iritasi-bruntusan-30ml-i.52581685.5300414365")</f>
        <v>https://shopee.co.id/THE-BATH-BOX-Delicate-Dream-Serum-sensistif-iritasi-bruntusan-30ml-i.52581685.5300414365</v>
      </c>
      <c r="C3571" s="6" t="s">
        <v>613</v>
      </c>
      <c r="D3571" s="6" t="s">
        <v>614</v>
      </c>
      <c r="E3571" s="6" t="s">
        <v>12</v>
      </c>
      <c r="F3571" s="6" t="s">
        <v>13</v>
      </c>
      <c r="G3571" s="6" t="s">
        <v>61</v>
      </c>
      <c r="H3571" s="8" t="s">
        <v>3981</v>
      </c>
      <c r="I3571" s="9">
        <v>0.0</v>
      </c>
      <c r="J3571" s="5" t="str">
        <f t="shared" ref="J3571:K3571" si="3571">SUBSTITUTE(H3571, ",", "")</f>
        <v>0</v>
      </c>
      <c r="K3571" s="5" t="str">
        <f t="shared" si="3571"/>
        <v>Rp0</v>
      </c>
      <c r="L3571" s="5" t="str">
        <f t="shared" si="3"/>
        <v>0</v>
      </c>
    </row>
    <row r="3572">
      <c r="A3572" s="6" t="s">
        <v>4907</v>
      </c>
      <c r="B3572" s="7" t="str">
        <f>HYPERLINK("https://shopee.co.id/The-Bath-Box-Galacto-Facial-Treatment-Essence-100ml-i.825870.1614328684", "https://shopee.co.id/The-Bath-Box-Galacto-Facial-Treatment-Essence-100ml-i.825870.1614328684")</f>
        <v>https://shopee.co.id/The-Bath-Box-Galacto-Facial-Treatment-Essence-100ml-i.825870.1614328684</v>
      </c>
      <c r="C3572" s="6" t="s">
        <v>613</v>
      </c>
      <c r="D3572" s="6" t="s">
        <v>1184</v>
      </c>
      <c r="E3572" s="6" t="s">
        <v>12</v>
      </c>
      <c r="F3572" s="6" t="s">
        <v>13</v>
      </c>
      <c r="G3572" s="6" t="s">
        <v>21</v>
      </c>
      <c r="H3572" s="8" t="s">
        <v>3981</v>
      </c>
      <c r="I3572" s="9">
        <v>0.0</v>
      </c>
      <c r="J3572" s="5" t="str">
        <f t="shared" ref="J3572:K3572" si="3572">SUBSTITUTE(H3572, ",", "")</f>
        <v>0</v>
      </c>
      <c r="K3572" s="5" t="str">
        <f t="shared" si="3572"/>
        <v>Rp0</v>
      </c>
      <c r="L3572" s="5" t="str">
        <f t="shared" si="3"/>
        <v>0</v>
      </c>
    </row>
    <row r="3573">
      <c r="A3573" s="6" t="s">
        <v>4908</v>
      </c>
      <c r="B3573" s="7" t="str">
        <f>HYPERLINK("https://shopee.co.id/THE-BATH-BOX-Peptide-Probiotic-Anti-Aging-Facial-Serum-30ml-i.68111.9017913156", "https://shopee.co.id/THE-BATH-BOX-Peptide-Probiotic-Anti-Aging-Facial-Serum-30ml-i.68111.9017913156")</f>
        <v>https://shopee.co.id/THE-BATH-BOX-Peptide-Probiotic-Anti-Aging-Facial-Serum-30ml-i.68111.9017913156</v>
      </c>
      <c r="C3573" s="6" t="s">
        <v>613</v>
      </c>
      <c r="D3573" s="6" t="s">
        <v>441</v>
      </c>
      <c r="E3573" s="6" t="s">
        <v>12</v>
      </c>
      <c r="F3573" s="6" t="s">
        <v>13</v>
      </c>
      <c r="G3573" s="6" t="s">
        <v>130</v>
      </c>
      <c r="H3573" s="8" t="s">
        <v>3981</v>
      </c>
      <c r="I3573" s="9">
        <v>0.0</v>
      </c>
      <c r="J3573" s="5" t="str">
        <f t="shared" ref="J3573:K3573" si="3573">SUBSTITUTE(H3573, ",", "")</f>
        <v>0</v>
      </c>
      <c r="K3573" s="5" t="str">
        <f t="shared" si="3573"/>
        <v>Rp0</v>
      </c>
      <c r="L3573" s="5" t="str">
        <f t="shared" si="3"/>
        <v>0</v>
      </c>
    </row>
    <row r="3574">
      <c r="A3574" s="6" t="s">
        <v>4909</v>
      </c>
      <c r="B3574" s="7" t="str">
        <f>HYPERLINK("https://shopee.co.id/The-Bath-Box-Peptide-Probiotic-Serum-i.17081863.9246319915", "https://shopee.co.id/The-Bath-Box-Peptide-Probiotic-Serum-i.17081863.9246319915")</f>
        <v>https://shopee.co.id/The-Bath-Box-Peptide-Probiotic-Serum-i.17081863.9246319915</v>
      </c>
      <c r="C3574" s="6" t="s">
        <v>613</v>
      </c>
      <c r="D3574" s="6" t="s">
        <v>2497</v>
      </c>
      <c r="E3574" s="6" t="s">
        <v>12</v>
      </c>
      <c r="F3574" s="6" t="s">
        <v>13</v>
      </c>
      <c r="G3574" s="6" t="s">
        <v>21</v>
      </c>
      <c r="H3574" s="8" t="s">
        <v>3981</v>
      </c>
      <c r="I3574" s="9">
        <v>0.0</v>
      </c>
      <c r="J3574" s="5" t="str">
        <f t="shared" ref="J3574:K3574" si="3574">SUBSTITUTE(H3574, ",", "")</f>
        <v>0</v>
      </c>
      <c r="K3574" s="5" t="str">
        <f t="shared" si="3574"/>
        <v>Rp0</v>
      </c>
      <c r="L3574" s="5" t="str">
        <f t="shared" si="3"/>
        <v>0</v>
      </c>
    </row>
    <row r="3575">
      <c r="A3575" s="6" t="s">
        <v>4910</v>
      </c>
      <c r="B3575" s="7" t="str">
        <f>HYPERLINK("https://shopee.co.id/THE-BATH-BOX-Rose-Hydrating-Serum-In-Jar-i.68111.6279989968", "https://shopee.co.id/THE-BATH-BOX-Rose-Hydrating-Serum-In-Jar-i.68111.6279989968")</f>
        <v>https://shopee.co.id/THE-BATH-BOX-Rose-Hydrating-Serum-In-Jar-i.68111.6279989968</v>
      </c>
      <c r="C3575" s="6" t="s">
        <v>613</v>
      </c>
      <c r="D3575" s="6" t="s">
        <v>441</v>
      </c>
      <c r="E3575" s="6" t="s">
        <v>12</v>
      </c>
      <c r="F3575" s="6" t="s">
        <v>13</v>
      </c>
      <c r="G3575" s="6" t="s">
        <v>130</v>
      </c>
      <c r="H3575" s="8" t="s">
        <v>3981</v>
      </c>
      <c r="I3575" s="9">
        <v>0.0</v>
      </c>
      <c r="J3575" s="5" t="str">
        <f t="shared" ref="J3575:K3575" si="3575">SUBSTITUTE(H3575, ",", "")</f>
        <v>0</v>
      </c>
      <c r="K3575" s="5" t="str">
        <f t="shared" si="3575"/>
        <v>Rp0</v>
      </c>
      <c r="L3575" s="5" t="str">
        <f t="shared" si="3"/>
        <v>0</v>
      </c>
    </row>
    <row r="3576">
      <c r="A3576" s="6" t="s">
        <v>4911</v>
      </c>
      <c r="B3576" s="7" t="str">
        <f>HYPERLINK("https://shopee.co.id/The-Bath-Box-Rose-Hydrating-Serum-in-Jar-50gr-i.825870.5541622131", "https://shopee.co.id/The-Bath-Box-Rose-Hydrating-Serum-in-Jar-50gr-i.825870.5541622131")</f>
        <v>https://shopee.co.id/The-Bath-Box-Rose-Hydrating-Serum-in-Jar-50gr-i.825870.5541622131</v>
      </c>
      <c r="C3576" s="6" t="s">
        <v>613</v>
      </c>
      <c r="D3576" s="6" t="s">
        <v>1184</v>
      </c>
      <c r="E3576" s="6" t="s">
        <v>12</v>
      </c>
      <c r="F3576" s="6" t="s">
        <v>13</v>
      </c>
      <c r="G3576" s="6" t="s">
        <v>21</v>
      </c>
      <c r="H3576" s="8" t="s">
        <v>3981</v>
      </c>
      <c r="I3576" s="9">
        <v>0.0</v>
      </c>
      <c r="J3576" s="5" t="str">
        <f t="shared" ref="J3576:K3576" si="3576">SUBSTITUTE(H3576, ",", "")</f>
        <v>0</v>
      </c>
      <c r="K3576" s="5" t="str">
        <f t="shared" si="3576"/>
        <v>Rp0</v>
      </c>
      <c r="L3576" s="5" t="str">
        <f t="shared" si="3"/>
        <v>0</v>
      </c>
    </row>
    <row r="3577">
      <c r="A3577" s="6" t="s">
        <v>4912</v>
      </c>
      <c r="B3577" s="7" t="str">
        <f>HYPERLINK("https://shopee.co.id/The-Face-Serum-Temulawak-20ml-i.277377659.6540160453", "https://shopee.co.id/The-Face-Serum-Temulawak-20ml-i.277377659.6540160453")</f>
        <v>https://shopee.co.id/The-Face-Serum-Temulawak-20ml-i.277377659.6540160453</v>
      </c>
      <c r="C3577" s="6" t="s">
        <v>3975</v>
      </c>
      <c r="D3577" s="6" t="s">
        <v>2549</v>
      </c>
      <c r="E3577" s="6" t="s">
        <v>12</v>
      </c>
      <c r="F3577" s="6" t="s">
        <v>13</v>
      </c>
      <c r="G3577" s="6" t="s">
        <v>532</v>
      </c>
      <c r="H3577" s="8" t="s">
        <v>3981</v>
      </c>
      <c r="I3577" s="9">
        <v>0.0</v>
      </c>
      <c r="J3577" s="5" t="str">
        <f t="shared" ref="J3577:K3577" si="3577">SUBSTITUTE(H3577, ",", "")</f>
        <v>0</v>
      </c>
      <c r="K3577" s="5" t="str">
        <f t="shared" si="3577"/>
        <v>Rp0</v>
      </c>
      <c r="L3577" s="5" t="str">
        <f t="shared" si="3"/>
        <v>0</v>
      </c>
    </row>
    <row r="3578">
      <c r="A3578" s="6" t="s">
        <v>4913</v>
      </c>
      <c r="B3578" s="7" t="str">
        <f>HYPERLINK("https://shopee.co.id/THE-LAB-BY-BLANC-DOUX-Oligo-Hyaluronic-Acid-Set-toner-200ml-cream-50ml-ampoule-30ml--i.240712269.10223359249", "https://shopee.co.id/THE-LAB-BY-BLANC-DOUX-Oligo-Hyaluronic-Acid-Set-toner-200ml-cream-50ml-ampoule-30ml--i.240712269.10223359249")</f>
        <v>https://shopee.co.id/THE-LAB-BY-BLANC-DOUX-Oligo-Hyaluronic-Acid-Set-toner-200ml-cream-50ml-ampoule-30ml--i.240712269.10223359249</v>
      </c>
      <c r="C3578" s="6" t="s">
        <v>2835</v>
      </c>
      <c r="D3578" s="6" t="s">
        <v>762</v>
      </c>
      <c r="E3578" s="6" t="s">
        <v>12</v>
      </c>
      <c r="F3578" s="6" t="s">
        <v>13</v>
      </c>
      <c r="G3578" s="6" t="s">
        <v>98</v>
      </c>
      <c r="H3578" s="8" t="s">
        <v>3981</v>
      </c>
      <c r="I3578" s="9">
        <v>0.0</v>
      </c>
      <c r="J3578" s="5" t="str">
        <f t="shared" ref="J3578:K3578" si="3578">SUBSTITUTE(H3578, ",", "")</f>
        <v>0</v>
      </c>
      <c r="K3578" s="5" t="str">
        <f t="shared" si="3578"/>
        <v>Rp0</v>
      </c>
      <c r="L3578" s="5" t="str">
        <f t="shared" si="3"/>
        <v>0</v>
      </c>
    </row>
    <row r="3579">
      <c r="A3579" s="6" t="s">
        <v>4914</v>
      </c>
      <c r="B3579" s="7" t="str">
        <f>HYPERLINK("https://shopee.co.id/THE-LAB-BY-BLANC-DOUX-Oligo-Hyaluronic-Acid-Sun-Essence-40ml-i.240712269.9220970519", "https://shopee.co.id/THE-LAB-BY-BLANC-DOUX-Oligo-Hyaluronic-Acid-Sun-Essence-40ml-i.240712269.9220970519")</f>
        <v>https://shopee.co.id/THE-LAB-BY-BLANC-DOUX-Oligo-Hyaluronic-Acid-Sun-Essence-40ml-i.240712269.9220970519</v>
      </c>
      <c r="C3579" s="6" t="s">
        <v>2835</v>
      </c>
      <c r="D3579" s="6" t="s">
        <v>762</v>
      </c>
      <c r="E3579" s="6" t="s">
        <v>12</v>
      </c>
      <c r="F3579" s="6" t="s">
        <v>13</v>
      </c>
      <c r="G3579" s="6" t="s">
        <v>98</v>
      </c>
      <c r="H3579" s="8" t="s">
        <v>3981</v>
      </c>
      <c r="I3579" s="9">
        <v>0.0</v>
      </c>
      <c r="J3579" s="5" t="str">
        <f t="shared" ref="J3579:K3579" si="3579">SUBSTITUTE(H3579, ",", "")</f>
        <v>0</v>
      </c>
      <c r="K3579" s="5" t="str">
        <f t="shared" si="3579"/>
        <v>Rp0</v>
      </c>
      <c r="L3579" s="5" t="str">
        <f t="shared" si="3"/>
        <v>0</v>
      </c>
    </row>
    <row r="3580">
      <c r="A3580" s="6" t="s">
        <v>4915</v>
      </c>
      <c r="B3580" s="7" t="str">
        <f>HYPERLINK("https://shopee.co.id/The-Ordinary-Ascorbic-Acid-8-Alpha-Arbutin-2-30ml-i.825870.7507371145", "https://shopee.co.id/The-Ordinary-Ascorbic-Acid-8-Alpha-Arbutin-2-30ml-i.825870.7507371145")</f>
        <v>https://shopee.co.id/The-Ordinary-Ascorbic-Acid-8-Alpha-Arbutin-2-30ml-i.825870.7507371145</v>
      </c>
      <c r="C3580" s="6" t="s">
        <v>1245</v>
      </c>
      <c r="D3580" s="6" t="s">
        <v>1184</v>
      </c>
      <c r="E3580" s="6" t="s">
        <v>12</v>
      </c>
      <c r="F3580" s="6" t="s">
        <v>13</v>
      </c>
      <c r="G3580" s="6" t="s">
        <v>98</v>
      </c>
      <c r="H3580" s="8" t="s">
        <v>3981</v>
      </c>
      <c r="I3580" s="9">
        <v>0.0</v>
      </c>
      <c r="J3580" s="5" t="str">
        <f t="shared" ref="J3580:K3580" si="3580">SUBSTITUTE(H3580, ",", "")</f>
        <v>0</v>
      </c>
      <c r="K3580" s="5" t="str">
        <f t="shared" si="3580"/>
        <v>Rp0</v>
      </c>
      <c r="L3580" s="5" t="str">
        <f t="shared" si="3"/>
        <v>0</v>
      </c>
    </row>
    <row r="3581">
      <c r="A3581" s="6" t="s">
        <v>4916</v>
      </c>
      <c r="B3581" s="7" t="str">
        <f>HYPERLINK("https://shopee.co.id/The-Ordinary-Buffet-30ml-i.825870.6216313512", "https://shopee.co.id/The-Ordinary-Buffet-30ml-i.825870.6216313512")</f>
        <v>https://shopee.co.id/The-Ordinary-Buffet-30ml-i.825870.6216313512</v>
      </c>
      <c r="C3581" s="6" t="s">
        <v>1245</v>
      </c>
      <c r="D3581" s="6" t="s">
        <v>1184</v>
      </c>
      <c r="E3581" s="6" t="s">
        <v>12</v>
      </c>
      <c r="F3581" s="6" t="s">
        <v>13</v>
      </c>
      <c r="G3581" s="6" t="s">
        <v>98</v>
      </c>
      <c r="H3581" s="8" t="s">
        <v>3981</v>
      </c>
      <c r="I3581" s="9">
        <v>0.0</v>
      </c>
      <c r="J3581" s="5" t="str">
        <f t="shared" ref="J3581:K3581" si="3581">SUBSTITUTE(H3581, ",", "")</f>
        <v>0</v>
      </c>
      <c r="K3581" s="5" t="str">
        <f t="shared" si="3581"/>
        <v>Rp0</v>
      </c>
      <c r="L3581" s="5" t="str">
        <f t="shared" si="3"/>
        <v>0</v>
      </c>
    </row>
    <row r="3582">
      <c r="A3582" s="6" t="s">
        <v>4917</v>
      </c>
      <c r="B3582" s="7" t="str">
        <f>HYPERLINK("https://shopee.co.id/The-Ordinary-Caffeine-Solution-5-EGCG-30ml-i.136011044.7359227021", "https://shopee.co.id/The-Ordinary-Caffeine-Solution-5-EGCG-30ml-i.136011044.7359227021")</f>
        <v>https://shopee.co.id/The-Ordinary-Caffeine-Solution-5-EGCG-30ml-i.136011044.7359227021</v>
      </c>
      <c r="C3582" s="6" t="s">
        <v>1245</v>
      </c>
      <c r="D3582" s="6" t="s">
        <v>632</v>
      </c>
      <c r="E3582" s="6" t="s">
        <v>12</v>
      </c>
      <c r="F3582" s="6" t="s">
        <v>13</v>
      </c>
      <c r="G3582" s="6" t="s">
        <v>21</v>
      </c>
      <c r="H3582" s="8" t="s">
        <v>3981</v>
      </c>
      <c r="I3582" s="9">
        <v>0.0</v>
      </c>
      <c r="J3582" s="5" t="str">
        <f t="shared" ref="J3582:K3582" si="3582">SUBSTITUTE(H3582, ",", "")</f>
        <v>0</v>
      </c>
      <c r="K3582" s="5" t="str">
        <f t="shared" si="3582"/>
        <v>Rp0</v>
      </c>
      <c r="L3582" s="5" t="str">
        <f t="shared" si="3"/>
        <v>0</v>
      </c>
    </row>
    <row r="3583">
      <c r="A3583" s="6" t="s">
        <v>4918</v>
      </c>
      <c r="B3583" s="7" t="str">
        <f>HYPERLINK("https://shopee.co.id/The-Ordinary-Hyaluronic-Acid-2-B5-i.136011044.6870608963", "https://shopee.co.id/The-Ordinary-Hyaluronic-Acid-2-B5-i.136011044.6870608963")</f>
        <v>https://shopee.co.id/The-Ordinary-Hyaluronic-Acid-2-B5-i.136011044.6870608963</v>
      </c>
      <c r="C3583" s="6" t="s">
        <v>1245</v>
      </c>
      <c r="D3583" s="6" t="s">
        <v>632</v>
      </c>
      <c r="E3583" s="6" t="s">
        <v>12</v>
      </c>
      <c r="F3583" s="6" t="s">
        <v>13</v>
      </c>
      <c r="G3583" s="6" t="s">
        <v>21</v>
      </c>
      <c r="H3583" s="8" t="s">
        <v>3981</v>
      </c>
      <c r="I3583" s="9">
        <v>0.0</v>
      </c>
      <c r="J3583" s="5" t="str">
        <f t="shared" ref="J3583:K3583" si="3583">SUBSTITUTE(H3583, ",", "")</f>
        <v>0</v>
      </c>
      <c r="K3583" s="5" t="str">
        <f t="shared" si="3583"/>
        <v>Rp0</v>
      </c>
      <c r="L3583" s="5" t="str">
        <f t="shared" si="3"/>
        <v>0</v>
      </c>
    </row>
    <row r="3584">
      <c r="A3584" s="6" t="s">
        <v>3083</v>
      </c>
      <c r="B3584" s="7" t="str">
        <f>HYPERLINK("https://shopee.co.id/The-Ordinary-Hyaluronic-Acid-2-B5-30ml-i.825870.323307578", "https://shopee.co.id/The-Ordinary-Hyaluronic-Acid-2-B5-30ml-i.825870.323307578")</f>
        <v>https://shopee.co.id/The-Ordinary-Hyaluronic-Acid-2-B5-30ml-i.825870.323307578</v>
      </c>
      <c r="C3584" s="6" t="s">
        <v>1245</v>
      </c>
      <c r="D3584" s="6" t="s">
        <v>1184</v>
      </c>
      <c r="E3584" s="6" t="s">
        <v>12</v>
      </c>
      <c r="F3584" s="6" t="s">
        <v>13</v>
      </c>
      <c r="G3584" s="6" t="s">
        <v>21</v>
      </c>
      <c r="H3584" s="8" t="s">
        <v>3981</v>
      </c>
      <c r="I3584" s="9">
        <v>0.0</v>
      </c>
      <c r="J3584" s="5" t="str">
        <f t="shared" ref="J3584:K3584" si="3584">SUBSTITUTE(H3584, ",", "")</f>
        <v>0</v>
      </c>
      <c r="K3584" s="5" t="str">
        <f t="shared" si="3584"/>
        <v>Rp0</v>
      </c>
      <c r="L3584" s="5" t="str">
        <f t="shared" si="3"/>
        <v>0</v>
      </c>
    </row>
    <row r="3585">
      <c r="A3585" s="6" t="s">
        <v>1977</v>
      </c>
      <c r="B3585" s="7" t="str">
        <f>HYPERLINK("https://shopee.co.id/THE-ORDINARY-Niacinamide-10-Zinc-1-30ml-i.270965687.5538484076", "https://shopee.co.id/THE-ORDINARY-Niacinamide-10-Zinc-1-30ml-i.270965687.5538484076")</f>
        <v>https://shopee.co.id/THE-ORDINARY-Niacinamide-10-Zinc-1-30ml-i.270965687.5538484076</v>
      </c>
      <c r="C3585" s="6" t="s">
        <v>1245</v>
      </c>
      <c r="D3585" s="6" t="s">
        <v>379</v>
      </c>
      <c r="E3585" s="6" t="s">
        <v>12</v>
      </c>
      <c r="F3585" s="6" t="s">
        <v>13</v>
      </c>
      <c r="G3585" s="6" t="s">
        <v>380</v>
      </c>
      <c r="H3585" s="8" t="s">
        <v>3981</v>
      </c>
      <c r="I3585" s="9">
        <v>0.0</v>
      </c>
      <c r="J3585" s="5" t="str">
        <f t="shared" ref="J3585:K3585" si="3585">SUBSTITUTE(H3585, ",", "")</f>
        <v>0</v>
      </c>
      <c r="K3585" s="5" t="str">
        <f t="shared" si="3585"/>
        <v>Rp0</v>
      </c>
      <c r="L3585" s="5" t="str">
        <f t="shared" si="3"/>
        <v>0</v>
      </c>
    </row>
    <row r="3586">
      <c r="A3586" s="6" t="s">
        <v>4919</v>
      </c>
      <c r="B3586" s="7" t="str">
        <f>HYPERLINK("https://shopee.co.id/The-Ordinary-Retinol-1-in-Squalane-30ml-i.825870.4609100613", "https://shopee.co.id/The-Ordinary-Retinol-1-in-Squalane-30ml-i.825870.4609100613")</f>
        <v>https://shopee.co.id/The-Ordinary-Retinol-1-in-Squalane-30ml-i.825870.4609100613</v>
      </c>
      <c r="C3586" s="6" t="s">
        <v>1245</v>
      </c>
      <c r="D3586" s="6" t="s">
        <v>1184</v>
      </c>
      <c r="E3586" s="6" t="s">
        <v>12</v>
      </c>
      <c r="F3586" s="6" t="s">
        <v>13</v>
      </c>
      <c r="G3586" s="6" t="s">
        <v>98</v>
      </c>
      <c r="H3586" s="8" t="s">
        <v>3981</v>
      </c>
      <c r="I3586" s="9">
        <v>0.0</v>
      </c>
      <c r="J3586" s="5" t="str">
        <f t="shared" ref="J3586:K3586" si="3586">SUBSTITUTE(H3586, ",", "")</f>
        <v>0</v>
      </c>
      <c r="K3586" s="5" t="str">
        <f t="shared" si="3586"/>
        <v>Rp0</v>
      </c>
      <c r="L3586" s="5" t="str">
        <f t="shared" si="3"/>
        <v>0</v>
      </c>
    </row>
    <row r="3587">
      <c r="A3587" s="6" t="s">
        <v>4920</v>
      </c>
      <c r="B3587" s="7" t="str">
        <f>HYPERLINK("https://shopee.co.id/The-Ordinary-Vit-C-Suspension-23-AHA-Spheres-2-30ml-i.825870.8816190166", "https://shopee.co.id/The-Ordinary-Vit-C-Suspension-23-AHA-Spheres-2-30ml-i.825870.8816190166")</f>
        <v>https://shopee.co.id/The-Ordinary-Vit-C-Suspension-23-AHA-Spheres-2-30ml-i.825870.8816190166</v>
      </c>
      <c r="C3587" s="6" t="s">
        <v>1245</v>
      </c>
      <c r="D3587" s="6" t="s">
        <v>1184</v>
      </c>
      <c r="E3587" s="6" t="s">
        <v>12</v>
      </c>
      <c r="F3587" s="6" t="s">
        <v>13</v>
      </c>
      <c r="G3587" s="6" t="s">
        <v>21</v>
      </c>
      <c r="H3587" s="8" t="s">
        <v>3981</v>
      </c>
      <c r="I3587" s="9">
        <v>0.0</v>
      </c>
      <c r="J3587" s="5" t="str">
        <f t="shared" ref="J3587:K3587" si="3587">SUBSTITUTE(H3587, ",", "")</f>
        <v>0</v>
      </c>
      <c r="K3587" s="5" t="str">
        <f t="shared" si="3587"/>
        <v>Rp0</v>
      </c>
      <c r="L3587" s="5" t="str">
        <f t="shared" si="3"/>
        <v>0</v>
      </c>
    </row>
    <row r="3588">
      <c r="A3588" s="6" t="s">
        <v>4921</v>
      </c>
      <c r="B3588" s="7" t="str">
        <f>HYPERLINK("https://shopee.co.id/The-Ordinary-Vitamin-C-Suspension-30-In-Silicone-30ml-i.825870.1022986712", "https://shopee.co.id/The-Ordinary-Vitamin-C-Suspension-30-In-Silicone-30ml-i.825870.1022986712")</f>
        <v>https://shopee.co.id/The-Ordinary-Vitamin-C-Suspension-30-In-Silicone-30ml-i.825870.1022986712</v>
      </c>
      <c r="C3588" s="6" t="s">
        <v>1245</v>
      </c>
      <c r="D3588" s="6" t="s">
        <v>1184</v>
      </c>
      <c r="E3588" s="6" t="s">
        <v>12</v>
      </c>
      <c r="F3588" s="6" t="s">
        <v>13</v>
      </c>
      <c r="G3588" s="6" t="s">
        <v>98</v>
      </c>
      <c r="H3588" s="8" t="s">
        <v>3981</v>
      </c>
      <c r="I3588" s="9">
        <v>0.0</v>
      </c>
      <c r="J3588" s="5" t="str">
        <f t="shared" ref="J3588:K3588" si="3588">SUBSTITUTE(H3588, ",", "")</f>
        <v>0</v>
      </c>
      <c r="K3588" s="5" t="str">
        <f t="shared" si="3588"/>
        <v>Rp0</v>
      </c>
      <c r="L3588" s="5" t="str">
        <f t="shared" si="3"/>
        <v>0</v>
      </c>
    </row>
    <row r="3589">
      <c r="A3589" s="6" t="s">
        <v>4922</v>
      </c>
      <c r="B3589" s="7" t="str">
        <f>HYPERLINK("https://shopee.co.id/The-Potions-Centela-Asiatic-Water-Essence-20Ml-i.186214521.6186052995", "https://shopee.co.id/The-Potions-Centela-Asiatic-Water-Essence-20Ml-i.186214521.6186052995")</f>
        <v>https://shopee.co.id/The-Potions-Centela-Asiatic-Water-Essence-20Ml-i.186214521.6186052995</v>
      </c>
      <c r="C3589" s="6" t="s">
        <v>2245</v>
      </c>
      <c r="D3589" s="6" t="s">
        <v>2293</v>
      </c>
      <c r="E3589" s="6" t="s">
        <v>12</v>
      </c>
      <c r="F3589" s="6" t="s">
        <v>13</v>
      </c>
      <c r="G3589" s="6" t="s">
        <v>61</v>
      </c>
      <c r="H3589" s="8" t="s">
        <v>3981</v>
      </c>
      <c r="I3589" s="9">
        <v>0.0</v>
      </c>
      <c r="J3589" s="5" t="str">
        <f t="shared" ref="J3589:K3589" si="3589">SUBSTITUTE(H3589, ",", "")</f>
        <v>0</v>
      </c>
      <c r="K3589" s="5" t="str">
        <f t="shared" si="3589"/>
        <v>Rp0</v>
      </c>
      <c r="L3589" s="5" t="str">
        <f t="shared" si="3"/>
        <v>0</v>
      </c>
    </row>
    <row r="3590">
      <c r="A3590" s="6" t="s">
        <v>4923</v>
      </c>
      <c r="B3590" s="7" t="str">
        <f>HYPERLINK("https://shopee.co.id/The-Potions-Jojoba-Oil-Serum-20ml-i.825870.6186358739", "https://shopee.co.id/The-Potions-Jojoba-Oil-Serum-20ml-i.825870.6186358739")</f>
        <v>https://shopee.co.id/The-Potions-Jojoba-Oil-Serum-20ml-i.825870.6186358739</v>
      </c>
      <c r="C3590" s="6" t="s">
        <v>2245</v>
      </c>
      <c r="D3590" s="6" t="s">
        <v>1184</v>
      </c>
      <c r="E3590" s="6" t="s">
        <v>12</v>
      </c>
      <c r="F3590" s="6" t="s">
        <v>13</v>
      </c>
      <c r="G3590" s="6" t="s">
        <v>21</v>
      </c>
      <c r="H3590" s="8" t="s">
        <v>3981</v>
      </c>
      <c r="I3590" s="9">
        <v>0.0</v>
      </c>
      <c r="J3590" s="5" t="str">
        <f t="shared" ref="J3590:K3590" si="3590">SUBSTITUTE(H3590, ",", "")</f>
        <v>0</v>
      </c>
      <c r="K3590" s="5" t="str">
        <f t="shared" si="3590"/>
        <v>Rp0</v>
      </c>
      <c r="L3590" s="5" t="str">
        <f t="shared" si="3"/>
        <v>0</v>
      </c>
    </row>
    <row r="3591">
      <c r="A3591" s="6" t="s">
        <v>4924</v>
      </c>
      <c r="B3591" s="7" t="str">
        <f>HYPERLINK("https://shopee.co.id/The-Potions-Jojoba-Oil-Serum-20Ml-i.186214521.5486049618", "https://shopee.co.id/The-Potions-Jojoba-Oil-Serum-20Ml-i.186214521.5486049618")</f>
        <v>https://shopee.co.id/The-Potions-Jojoba-Oil-Serum-20Ml-i.186214521.5486049618</v>
      </c>
      <c r="C3591" s="6" t="s">
        <v>2245</v>
      </c>
      <c r="D3591" s="6" t="s">
        <v>2293</v>
      </c>
      <c r="E3591" s="6" t="s">
        <v>12</v>
      </c>
      <c r="F3591" s="6" t="s">
        <v>13</v>
      </c>
      <c r="G3591" s="6" t="s">
        <v>61</v>
      </c>
      <c r="H3591" s="8" t="s">
        <v>3981</v>
      </c>
      <c r="I3591" s="9">
        <v>0.0</v>
      </c>
      <c r="J3591" s="5" t="str">
        <f t="shared" ref="J3591:K3591" si="3591">SUBSTITUTE(H3591, ",", "")</f>
        <v>0</v>
      </c>
      <c r="K3591" s="5" t="str">
        <f t="shared" si="3591"/>
        <v>Rp0</v>
      </c>
      <c r="L3591" s="5" t="str">
        <f t="shared" si="3"/>
        <v>0</v>
      </c>
    </row>
    <row r="3592">
      <c r="A3592" s="6" t="s">
        <v>4925</v>
      </c>
      <c r="B3592" s="7" t="str">
        <f>HYPERLINK("https://shopee.co.id/THE-POTIONS-Sample-Size-Jojoba-Oil-Serum-1ml-Individual-Pack-Maksimal-Checkout-3-pcs--i.379239733.7183923447", "https://shopee.co.id/THE-POTIONS-Sample-Size-Jojoba-Oil-Serum-1ml-Individual-Pack-Maksimal-Checkout-3-pcs--i.379239733.7183923447")</f>
        <v>https://shopee.co.id/THE-POTIONS-Sample-Size-Jojoba-Oil-Serum-1ml-Individual-Pack-Maksimal-Checkout-3-pcs--i.379239733.7183923447</v>
      </c>
      <c r="C3592" s="6" t="s">
        <v>2245</v>
      </c>
      <c r="D3592" s="6" t="s">
        <v>2246</v>
      </c>
      <c r="E3592" s="6" t="s">
        <v>12</v>
      </c>
      <c r="F3592" s="6" t="s">
        <v>13</v>
      </c>
      <c r="G3592" s="6" t="s">
        <v>130</v>
      </c>
      <c r="H3592" s="8" t="s">
        <v>3981</v>
      </c>
      <c r="I3592" s="9">
        <v>0.0</v>
      </c>
      <c r="J3592" s="5" t="str">
        <f t="shared" ref="J3592:K3592" si="3592">SUBSTITUTE(H3592, ",", "")</f>
        <v>0</v>
      </c>
      <c r="K3592" s="5" t="str">
        <f t="shared" si="3592"/>
        <v>Rp0</v>
      </c>
      <c r="L3592" s="5" t="str">
        <f t="shared" si="3"/>
        <v>0</v>
      </c>
    </row>
    <row r="3593">
      <c r="A3593" s="6" t="s">
        <v>4926</v>
      </c>
      <c r="B3593" s="7" t="str">
        <f>HYPERLINK("https://shopee.co.id/The-Saem-Snail-Essential-EX-Wrinkle-Solution-Emulsion-150ml-i.58386356.2076865089", "https://shopee.co.id/The-Saem-Snail-Essential-EX-Wrinkle-Solution-Emulsion-150ml-i.58386356.2076865089")</f>
        <v>https://shopee.co.id/The-Saem-Snail-Essential-EX-Wrinkle-Solution-Emulsion-150ml-i.58386356.2076865089</v>
      </c>
      <c r="C3593" s="6" t="s">
        <v>2339</v>
      </c>
      <c r="D3593" s="6" t="s">
        <v>2340</v>
      </c>
      <c r="E3593" s="6" t="s">
        <v>12</v>
      </c>
      <c r="F3593" s="6" t="s">
        <v>13</v>
      </c>
      <c r="G3593" s="6" t="s">
        <v>21</v>
      </c>
      <c r="H3593" s="8" t="s">
        <v>3981</v>
      </c>
      <c r="I3593" s="9">
        <v>0.0</v>
      </c>
      <c r="J3593" s="5" t="str">
        <f t="shared" ref="J3593:K3593" si="3593">SUBSTITUTE(H3593, ",", "")</f>
        <v>0</v>
      </c>
      <c r="K3593" s="5" t="str">
        <f t="shared" si="3593"/>
        <v>Rp0</v>
      </c>
      <c r="L3593" s="5" t="str">
        <f t="shared" si="3"/>
        <v>0</v>
      </c>
    </row>
    <row r="3594">
      <c r="A3594" s="6" t="s">
        <v>4927</v>
      </c>
      <c r="B3594" s="7" t="str">
        <f>HYPERLINK("https://shopee.co.id/The-Saem-Urban-Eco-Harakeke-Whitening-Essence-55Ml-i.58386356.1426520379", "https://shopee.co.id/The-Saem-Urban-Eco-Harakeke-Whitening-Essence-55Ml-i.58386356.1426520379")</f>
        <v>https://shopee.co.id/The-Saem-Urban-Eco-Harakeke-Whitening-Essence-55Ml-i.58386356.1426520379</v>
      </c>
      <c r="C3594" s="6" t="s">
        <v>2339</v>
      </c>
      <c r="D3594" s="6" t="s">
        <v>2340</v>
      </c>
      <c r="E3594" s="6" t="s">
        <v>12</v>
      </c>
      <c r="F3594" s="6" t="s">
        <v>13</v>
      </c>
      <c r="G3594" s="6" t="s">
        <v>21</v>
      </c>
      <c r="H3594" s="8" t="s">
        <v>3981</v>
      </c>
      <c r="I3594" s="9">
        <v>0.0</v>
      </c>
      <c r="J3594" s="5" t="str">
        <f t="shared" ref="J3594:K3594" si="3594">SUBSTITUTE(H3594, ",", "")</f>
        <v>0</v>
      </c>
      <c r="K3594" s="5" t="str">
        <f t="shared" si="3594"/>
        <v>Rp0</v>
      </c>
      <c r="L3594" s="5" t="str">
        <f t="shared" si="3"/>
        <v>0</v>
      </c>
    </row>
    <row r="3595">
      <c r="A3595" s="6" t="s">
        <v>3960</v>
      </c>
      <c r="B3595" s="7" t="str">
        <f>HYPERLINK("https://shopee.co.id/Theraskin-Serum-Pore-Minimizer-8Gr-i.175375997.7213118276", "https://shopee.co.id/Theraskin-Serum-Pore-Minimizer-8Gr-i.175375997.7213118276")</f>
        <v>https://shopee.co.id/Theraskin-Serum-Pore-Minimizer-8Gr-i.175375997.7213118276</v>
      </c>
      <c r="C3595" s="6" t="s">
        <v>3961</v>
      </c>
      <c r="D3595" s="6" t="s">
        <v>2123</v>
      </c>
      <c r="E3595" s="6" t="s">
        <v>12</v>
      </c>
      <c r="F3595" s="6" t="s">
        <v>13</v>
      </c>
      <c r="G3595" s="6" t="s">
        <v>36</v>
      </c>
      <c r="H3595" s="8" t="s">
        <v>3981</v>
      </c>
      <c r="I3595" s="9">
        <v>0.0</v>
      </c>
      <c r="J3595" s="5" t="str">
        <f t="shared" ref="J3595:K3595" si="3595">SUBSTITUTE(H3595, ",", "")</f>
        <v>0</v>
      </c>
      <c r="K3595" s="5" t="str">
        <f t="shared" si="3595"/>
        <v>Rp0</v>
      </c>
      <c r="L3595" s="5" t="str">
        <f t="shared" si="3"/>
        <v>0</v>
      </c>
    </row>
    <row r="3596">
      <c r="A3596" s="6" t="s">
        <v>4928</v>
      </c>
      <c r="B3596" s="7" t="str">
        <f>HYPERLINK("https://shopee.co.id/Tomato-Aloe-Snail-White-Acne-Sleep-Serum-Pagi-Malam-Pemutih-Wajah-Obat-Jerawat-Memudarkan-Flek-i.40233008.2221627824", "https://shopee.co.id/Tomato-Aloe-Snail-White-Acne-Sleep-Serum-Pagi-Malam-Pemutih-Wajah-Obat-Jerawat-Memudarkan-Flek-i.40233008.2221627824")</f>
        <v>https://shopee.co.id/Tomato-Aloe-Snail-White-Acne-Sleep-Serum-Pagi-Malam-Pemutih-Wajah-Obat-Jerawat-Memudarkan-Flek-i.40233008.2221627824</v>
      </c>
      <c r="C3596" s="6" t="s">
        <v>4929</v>
      </c>
      <c r="D3596" s="6" t="s">
        <v>3651</v>
      </c>
      <c r="E3596" s="6" t="s">
        <v>12</v>
      </c>
      <c r="F3596" s="6" t="s">
        <v>13</v>
      </c>
      <c r="G3596" s="6" t="s">
        <v>85</v>
      </c>
      <c r="H3596" s="8" t="s">
        <v>3981</v>
      </c>
      <c r="I3596" s="9">
        <v>0.0</v>
      </c>
      <c r="J3596" s="5" t="str">
        <f t="shared" ref="J3596:K3596" si="3596">SUBSTITUTE(H3596, ",", "")</f>
        <v>0</v>
      </c>
      <c r="K3596" s="5" t="str">
        <f t="shared" si="3596"/>
        <v>Rp0</v>
      </c>
      <c r="L3596" s="5" t="str">
        <f t="shared" si="3"/>
        <v>0</v>
      </c>
    </row>
    <row r="3597">
      <c r="A3597" s="6" t="s">
        <v>4930</v>
      </c>
      <c r="B3597" s="7" t="str">
        <f>HYPERLINK("https://shopee.co.id/Tomato-Collagen-White-Serum-Pagi-Malam-Pemutih-wajah-dengan-kolagen-wajah-lebih-mulus-flek-pudar-i.40233008.2221571248", "https://shopee.co.id/Tomato-Collagen-White-Serum-Pagi-Malam-Pemutih-wajah-dengan-kolagen-wajah-lebih-mulus-flek-pudar-i.40233008.2221571248")</f>
        <v>https://shopee.co.id/Tomato-Collagen-White-Serum-Pagi-Malam-Pemutih-wajah-dengan-kolagen-wajah-lebih-mulus-flek-pudar-i.40233008.2221571248</v>
      </c>
      <c r="C3597" s="6" t="s">
        <v>3650</v>
      </c>
      <c r="D3597" s="6" t="s">
        <v>3651</v>
      </c>
      <c r="E3597" s="6" t="s">
        <v>12</v>
      </c>
      <c r="F3597" s="6" t="s">
        <v>13</v>
      </c>
      <c r="G3597" s="6" t="s">
        <v>85</v>
      </c>
      <c r="H3597" s="8" t="s">
        <v>3981</v>
      </c>
      <c r="I3597" s="9">
        <v>0.0</v>
      </c>
      <c r="J3597" s="5" t="str">
        <f t="shared" ref="J3597:K3597" si="3597">SUBSTITUTE(H3597, ",", "")</f>
        <v>0</v>
      </c>
      <c r="K3597" s="5" t="str">
        <f t="shared" si="3597"/>
        <v>Rp0</v>
      </c>
      <c r="L3597" s="5" t="str">
        <f t="shared" si="3"/>
        <v>0</v>
      </c>
    </row>
    <row r="3598">
      <c r="A3598" s="6" t="s">
        <v>4931</v>
      </c>
      <c r="B3598" s="7" t="str">
        <f>HYPERLINK("https://shopee.co.id/Trilogy-Age-Proof-Nutrient-Plus-Firming-Serum-30ml-i.825870.1997428759", "https://shopee.co.id/Trilogy-Age-Proof-Nutrient-Plus-Firming-Serum-30ml-i.825870.1997428759")</f>
        <v>https://shopee.co.id/Trilogy-Age-Proof-Nutrient-Plus-Firming-Serum-30ml-i.825870.1997428759</v>
      </c>
      <c r="C3598" s="6" t="s">
        <v>906</v>
      </c>
      <c r="D3598" s="6" t="s">
        <v>1184</v>
      </c>
      <c r="E3598" s="6" t="s">
        <v>12</v>
      </c>
      <c r="F3598" s="6" t="s">
        <v>13</v>
      </c>
      <c r="G3598" s="6" t="s">
        <v>21</v>
      </c>
      <c r="H3598" s="8" t="s">
        <v>3981</v>
      </c>
      <c r="I3598" s="9">
        <v>0.0</v>
      </c>
      <c r="J3598" s="5" t="str">
        <f t="shared" ref="J3598:K3598" si="3598">SUBSTITUTE(H3598, ",", "")</f>
        <v>0</v>
      </c>
      <c r="K3598" s="5" t="str">
        <f t="shared" si="3598"/>
        <v>Rp0</v>
      </c>
      <c r="L3598" s="5" t="str">
        <f t="shared" si="3"/>
        <v>0</v>
      </c>
    </row>
    <row r="3599">
      <c r="A3599" s="6" t="s">
        <v>4932</v>
      </c>
      <c r="B3599" s="7" t="str">
        <f>HYPERLINK("https://shopee.co.id/Trilogy-Rosapane-Radiance-Serum-30ml-Tester-For-Sale-i.53497038.6580091249", "https://shopee.co.id/Trilogy-Rosapane-Radiance-Serum-30ml-Tester-For-Sale-i.53497038.6580091249")</f>
        <v>https://shopee.co.id/Trilogy-Rosapane-Radiance-Serum-30ml-Tester-For-Sale-i.53497038.6580091249</v>
      </c>
      <c r="C3599" s="6" t="s">
        <v>906</v>
      </c>
      <c r="D3599" s="6" t="s">
        <v>907</v>
      </c>
      <c r="E3599" s="6" t="s">
        <v>12</v>
      </c>
      <c r="F3599" s="6" t="s">
        <v>13</v>
      </c>
      <c r="G3599" s="6" t="s">
        <v>61</v>
      </c>
      <c r="H3599" s="8" t="s">
        <v>3981</v>
      </c>
      <c r="I3599" s="9">
        <v>0.0</v>
      </c>
      <c r="J3599" s="5" t="str">
        <f t="shared" ref="J3599:K3599" si="3599">SUBSTITUTE(H3599, ",", "")</f>
        <v>0</v>
      </c>
      <c r="K3599" s="5" t="str">
        <f t="shared" si="3599"/>
        <v>Rp0</v>
      </c>
      <c r="L3599" s="5" t="str">
        <f t="shared" si="3"/>
        <v>0</v>
      </c>
    </row>
    <row r="3600">
      <c r="A3600" s="6" t="s">
        <v>4933</v>
      </c>
      <c r="B3600" s="7" t="str">
        <f>HYPERLINK("https://shopee.co.id/Troiareuke-Acsen-Selemix-Serum-50Ml-i.267449546.5636155765", "https://shopee.co.id/Troiareuke-Acsen-Selemix-Serum-50Ml-i.267449546.5636155765")</f>
        <v>https://shopee.co.id/Troiareuke-Acsen-Selemix-Serum-50Ml-i.267449546.5636155765</v>
      </c>
      <c r="C3600" s="6" t="s">
        <v>3112</v>
      </c>
      <c r="D3600" s="6" t="s">
        <v>3113</v>
      </c>
      <c r="E3600" s="6" t="s">
        <v>12</v>
      </c>
      <c r="F3600" s="6" t="s">
        <v>13</v>
      </c>
      <c r="G3600" s="6" t="s">
        <v>469</v>
      </c>
      <c r="H3600" s="8" t="s">
        <v>3981</v>
      </c>
      <c r="I3600" s="9">
        <v>0.0</v>
      </c>
      <c r="J3600" s="5" t="str">
        <f t="shared" ref="J3600:K3600" si="3600">SUBSTITUTE(H3600, ",", "")</f>
        <v>0</v>
      </c>
      <c r="K3600" s="5" t="str">
        <f t="shared" si="3600"/>
        <v>Rp0</v>
      </c>
      <c r="L3600" s="5" t="str">
        <f t="shared" si="3"/>
        <v>0</v>
      </c>
    </row>
    <row r="3601">
      <c r="A3601" s="6" t="s">
        <v>4934</v>
      </c>
      <c r="B3601" s="7" t="str">
        <f>HYPERLINK("https://shopee.co.id/Troiareuke-Acsen-Uv-Protector-Essence-50Ml-i.267449546.7035655304", "https://shopee.co.id/Troiareuke-Acsen-Uv-Protector-Essence-50Ml-i.267449546.7035655304")</f>
        <v>https://shopee.co.id/Troiareuke-Acsen-Uv-Protector-Essence-50Ml-i.267449546.7035655304</v>
      </c>
      <c r="C3601" s="6" t="s">
        <v>3112</v>
      </c>
      <c r="D3601" s="6" t="s">
        <v>3113</v>
      </c>
      <c r="E3601" s="6" t="s">
        <v>12</v>
      </c>
      <c r="F3601" s="6" t="s">
        <v>13</v>
      </c>
      <c r="G3601" s="6" t="s">
        <v>469</v>
      </c>
      <c r="H3601" s="8" t="s">
        <v>3981</v>
      </c>
      <c r="I3601" s="9">
        <v>0.0</v>
      </c>
      <c r="J3601" s="5" t="str">
        <f t="shared" ref="J3601:K3601" si="3601">SUBSTITUTE(H3601, ",", "")</f>
        <v>0</v>
      </c>
      <c r="K3601" s="5" t="str">
        <f t="shared" si="3601"/>
        <v>Rp0</v>
      </c>
      <c r="L3601" s="5" t="str">
        <f t="shared" si="3"/>
        <v>0</v>
      </c>
    </row>
    <row r="3602">
      <c r="A3602" s="6" t="s">
        <v>4935</v>
      </c>
      <c r="B3602" s="7" t="str">
        <f>HYPERLINK("https://shopee.co.id/Troiareuke-Formula-Ampoule-i.267449546.5335623469", "https://shopee.co.id/Troiareuke-Formula-Ampoule-i.267449546.5335623469")</f>
        <v>https://shopee.co.id/Troiareuke-Formula-Ampoule-i.267449546.5335623469</v>
      </c>
      <c r="C3602" s="6" t="s">
        <v>3112</v>
      </c>
      <c r="D3602" s="6" t="s">
        <v>3113</v>
      </c>
      <c r="E3602" s="6" t="s">
        <v>12</v>
      </c>
      <c r="F3602" s="6" t="s">
        <v>13</v>
      </c>
      <c r="G3602" s="6" t="s">
        <v>469</v>
      </c>
      <c r="H3602" s="8" t="s">
        <v>3981</v>
      </c>
      <c r="I3602" s="9">
        <v>0.0</v>
      </c>
      <c r="J3602" s="5" t="str">
        <f t="shared" ref="J3602:K3602" si="3602">SUBSTITUTE(H3602, ",", "")</f>
        <v>0</v>
      </c>
      <c r="K3602" s="5" t="str">
        <f t="shared" si="3602"/>
        <v>Rp0</v>
      </c>
      <c r="L3602" s="5" t="str">
        <f t="shared" si="3"/>
        <v>0</v>
      </c>
    </row>
    <row r="3603">
      <c r="A3603" s="6" t="s">
        <v>4936</v>
      </c>
      <c r="B3603" s="7" t="str">
        <f>HYPERLINK("https://shopee.co.id/True-to-Skin-Bakuchiol-Anti-Aging-Serum-20ml-i.825870.6486330434", "https://shopee.co.id/True-to-Skin-Bakuchiol-Anti-Aging-Serum-20ml-i.825870.6486330434")</f>
        <v>https://shopee.co.id/True-to-Skin-Bakuchiol-Anti-Aging-Serum-20ml-i.825870.6486330434</v>
      </c>
      <c r="C3603" s="6" t="s">
        <v>666</v>
      </c>
      <c r="D3603" s="6" t="s">
        <v>1184</v>
      </c>
      <c r="E3603" s="6" t="s">
        <v>12</v>
      </c>
      <c r="F3603" s="6" t="s">
        <v>13</v>
      </c>
      <c r="G3603" s="6" t="s">
        <v>21</v>
      </c>
      <c r="H3603" s="8" t="s">
        <v>3981</v>
      </c>
      <c r="I3603" s="9">
        <v>0.0</v>
      </c>
      <c r="J3603" s="5" t="str">
        <f t="shared" ref="J3603:K3603" si="3603">SUBSTITUTE(H3603, ",", "")</f>
        <v>0</v>
      </c>
      <c r="K3603" s="5" t="str">
        <f t="shared" si="3603"/>
        <v>Rp0</v>
      </c>
      <c r="L3603" s="5" t="str">
        <f t="shared" si="3"/>
        <v>0</v>
      </c>
    </row>
    <row r="3604">
      <c r="A3604" s="6" t="s">
        <v>4937</v>
      </c>
      <c r="B3604" s="7" t="str">
        <f>HYPERLINK("https://shopee.co.id/True-to-Skin-Hyaluronic-Acid-Hydrating-Serum-20ml-i.825870.4786331964", "https://shopee.co.id/True-to-Skin-Hyaluronic-Acid-Hydrating-Serum-20ml-i.825870.4786331964")</f>
        <v>https://shopee.co.id/True-to-Skin-Hyaluronic-Acid-Hydrating-Serum-20ml-i.825870.4786331964</v>
      </c>
      <c r="C3604" s="6" t="s">
        <v>666</v>
      </c>
      <c r="D3604" s="6" t="s">
        <v>1184</v>
      </c>
      <c r="E3604" s="6" t="s">
        <v>12</v>
      </c>
      <c r="F3604" s="6" t="s">
        <v>13</v>
      </c>
      <c r="G3604" s="6" t="s">
        <v>21</v>
      </c>
      <c r="H3604" s="8" t="s">
        <v>3981</v>
      </c>
      <c r="I3604" s="9">
        <v>0.0</v>
      </c>
      <c r="J3604" s="5" t="str">
        <f t="shared" ref="J3604:K3604" si="3604">SUBSTITUTE(H3604, ",", "")</f>
        <v>0</v>
      </c>
      <c r="K3604" s="5" t="str">
        <f t="shared" si="3604"/>
        <v>Rp0</v>
      </c>
      <c r="L3604" s="5" t="str">
        <f t="shared" si="3"/>
        <v>0</v>
      </c>
    </row>
    <row r="3605">
      <c r="A3605" s="6" t="s">
        <v>4938</v>
      </c>
      <c r="B3605" s="7" t="str">
        <f>HYPERLINK("https://shopee.co.id/True-to-Skin-Niacinamide-Brightening-Serum-20ml-i.825870.9044408690", "https://shopee.co.id/True-to-Skin-Niacinamide-Brightening-Serum-20ml-i.825870.9044408690")</f>
        <v>https://shopee.co.id/True-to-Skin-Niacinamide-Brightening-Serum-20ml-i.825870.9044408690</v>
      </c>
      <c r="C3605" s="6" t="s">
        <v>666</v>
      </c>
      <c r="D3605" s="6" t="s">
        <v>1184</v>
      </c>
      <c r="E3605" s="6" t="s">
        <v>12</v>
      </c>
      <c r="F3605" s="6" t="s">
        <v>13</v>
      </c>
      <c r="G3605" s="6" t="s">
        <v>21</v>
      </c>
      <c r="H3605" s="8" t="s">
        <v>3981</v>
      </c>
      <c r="I3605" s="9">
        <v>0.0</v>
      </c>
      <c r="J3605" s="5" t="str">
        <f t="shared" ref="J3605:K3605" si="3605">SUBSTITUTE(H3605, ",", "")</f>
        <v>0</v>
      </c>
      <c r="K3605" s="5" t="str">
        <f t="shared" si="3605"/>
        <v>Rp0</v>
      </c>
      <c r="L3605" s="5" t="str">
        <f t="shared" si="3"/>
        <v>0</v>
      </c>
    </row>
    <row r="3606">
      <c r="A3606" s="6" t="s">
        <v>4939</v>
      </c>
      <c r="B3606" s="7" t="str">
        <f>HYPERLINK("https://shopee.co.id/TRUEVE-Niacinamide-10-Ceramide-Brightening-Serum-30ml-i.270965687.9622969222", "https://shopee.co.id/TRUEVE-Niacinamide-10-Ceramide-Brightening-Serum-30ml-i.270965687.9622969222")</f>
        <v>https://shopee.co.id/TRUEVE-Niacinamide-10-Ceramide-Brightening-Serum-30ml-i.270965687.9622969222</v>
      </c>
      <c r="C3606" s="6" t="s">
        <v>34</v>
      </c>
      <c r="D3606" s="6" t="s">
        <v>379</v>
      </c>
      <c r="E3606" s="6" t="s">
        <v>12</v>
      </c>
      <c r="F3606" s="6" t="s">
        <v>13</v>
      </c>
      <c r="G3606" s="6" t="s">
        <v>380</v>
      </c>
      <c r="H3606" s="8" t="s">
        <v>3981</v>
      </c>
      <c r="I3606" s="9">
        <v>0.0</v>
      </c>
      <c r="J3606" s="5" t="str">
        <f t="shared" ref="J3606:K3606" si="3606">SUBSTITUTE(H3606, ",", "")</f>
        <v>0</v>
      </c>
      <c r="K3606" s="5" t="str">
        <f t="shared" si="3606"/>
        <v>Rp0</v>
      </c>
      <c r="L3606" s="5" t="str">
        <f t="shared" si="3"/>
        <v>0</v>
      </c>
    </row>
    <row r="3607">
      <c r="A3607" s="6" t="s">
        <v>4940</v>
      </c>
      <c r="B3607" s="7" t="str">
        <f>HYPERLINK("https://shopee.co.id/Tuesbelle-ELSHE-SKIN-Radiant-Supple-Serum-20ml-Radiant-Skin-Serum-20ml-Active-Rejuvinating-Night-Serum-Retinol-20ml-Smoothing-Serum-For-Acne-Skin-New-20ml-i.36872574.1955425065", "https://shopee.co.id/Tuesbelle-ELSHE-SKIN-Radiant-Supple-Serum-20ml-Radiant-Skin-Serum-20ml-Active-Rejuvinating-Night-Serum-Retinol-20ml-Smoothing-Serum-For-Acne-Skin-New-20ml-i.36872574.1955425065")</f>
        <v>https://shopee.co.id/Tuesbelle-ELSHE-SKIN-Radiant-Supple-Serum-20ml-Radiant-Skin-Serum-20ml-Active-Rejuvinating-Night-Serum-Retinol-20ml-Smoothing-Serum-For-Acne-Skin-New-20ml-i.36872574.1955425065</v>
      </c>
      <c r="C3607" s="6" t="s">
        <v>135</v>
      </c>
      <c r="D3607" s="6" t="s">
        <v>969</v>
      </c>
      <c r="E3607" s="6" t="s">
        <v>12</v>
      </c>
      <c r="F3607" s="6" t="s">
        <v>13</v>
      </c>
      <c r="G3607" s="6" t="s">
        <v>115</v>
      </c>
      <c r="H3607" s="8" t="s">
        <v>3981</v>
      </c>
      <c r="I3607" s="9">
        <v>0.0</v>
      </c>
      <c r="J3607" s="5" t="str">
        <f t="shared" ref="J3607:K3607" si="3607">SUBSTITUTE(H3607, ",", "")</f>
        <v>0</v>
      </c>
      <c r="K3607" s="5" t="str">
        <f t="shared" si="3607"/>
        <v>Rp0</v>
      </c>
      <c r="L3607" s="5" t="str">
        <f t="shared" si="3"/>
        <v>0</v>
      </c>
    </row>
    <row r="3608">
      <c r="A3608" s="6" t="s">
        <v>4941</v>
      </c>
      <c r="B3608" s="7" t="str">
        <f>HYPERLINK("https://shopee.co.id/Tuesbelle-KEEP-COOL-Soothe-Bamboo-Serum-50ml-i.36872574.6771119257", "https://shopee.co.id/Tuesbelle-KEEP-COOL-Soothe-Bamboo-Serum-50ml-i.36872574.6771119257")</f>
        <v>https://shopee.co.id/Tuesbelle-KEEP-COOL-Soothe-Bamboo-Serum-50ml-i.36872574.6771119257</v>
      </c>
      <c r="C3608" s="6" t="s">
        <v>1202</v>
      </c>
      <c r="D3608" s="6" t="s">
        <v>969</v>
      </c>
      <c r="E3608" s="6" t="s">
        <v>12</v>
      </c>
      <c r="F3608" s="6" t="s">
        <v>13</v>
      </c>
      <c r="G3608" s="6" t="s">
        <v>115</v>
      </c>
      <c r="H3608" s="8" t="s">
        <v>3981</v>
      </c>
      <c r="I3608" s="9">
        <v>0.0</v>
      </c>
      <c r="J3608" s="5" t="str">
        <f t="shared" ref="J3608:K3608" si="3608">SUBSTITUTE(H3608, ",", "")</f>
        <v>0</v>
      </c>
      <c r="K3608" s="5" t="str">
        <f t="shared" si="3608"/>
        <v>Rp0</v>
      </c>
      <c r="L3608" s="5" t="str">
        <f t="shared" si="3"/>
        <v>0</v>
      </c>
    </row>
    <row r="3609">
      <c r="A3609" s="6" t="s">
        <v>4942</v>
      </c>
      <c r="B3609" s="7" t="str">
        <f>HYPERLINK("https://shopee.co.id/Tuesbelle-NPURE-Cica-Essence-20ml-i.36872574.7691298931", "https://shopee.co.id/Tuesbelle-NPURE-Cica-Essence-20ml-i.36872574.7691298931")</f>
        <v>https://shopee.co.id/Tuesbelle-NPURE-Cica-Essence-20ml-i.36872574.7691298931</v>
      </c>
      <c r="C3609" s="6" t="s">
        <v>266</v>
      </c>
      <c r="D3609" s="6" t="s">
        <v>969</v>
      </c>
      <c r="E3609" s="6" t="s">
        <v>12</v>
      </c>
      <c r="F3609" s="6" t="s">
        <v>13</v>
      </c>
      <c r="G3609" s="6" t="s">
        <v>115</v>
      </c>
      <c r="H3609" s="8" t="s">
        <v>3981</v>
      </c>
      <c r="I3609" s="9">
        <v>0.0</v>
      </c>
      <c r="J3609" s="5" t="str">
        <f t="shared" ref="J3609:K3609" si="3609">SUBSTITUTE(H3609, ",", "")</f>
        <v>0</v>
      </c>
      <c r="K3609" s="5" t="str">
        <f t="shared" si="3609"/>
        <v>Rp0</v>
      </c>
      <c r="L3609" s="5" t="str">
        <f t="shared" si="3"/>
        <v>0</v>
      </c>
    </row>
    <row r="3610">
      <c r="A3610" s="6" t="s">
        <v>4943</v>
      </c>
      <c r="B3610" s="7" t="str">
        <f>HYPERLINK("https://shopee.co.id/Tuesbelle-PURITO-Centella-Green-Level-Buffet-Serum-60ml-i.36872574.7652906710", "https://shopee.co.id/Tuesbelle-PURITO-Centella-Green-Level-Buffet-Serum-60ml-i.36872574.7652906710")</f>
        <v>https://shopee.co.id/Tuesbelle-PURITO-Centella-Green-Level-Buffet-Serum-60ml-i.36872574.7652906710</v>
      </c>
      <c r="C3610" s="6" t="s">
        <v>1993</v>
      </c>
      <c r="D3610" s="6" t="s">
        <v>969</v>
      </c>
      <c r="E3610" s="6" t="s">
        <v>12</v>
      </c>
      <c r="F3610" s="6" t="s">
        <v>13</v>
      </c>
      <c r="G3610" s="6" t="s">
        <v>115</v>
      </c>
      <c r="H3610" s="8" t="s">
        <v>3981</v>
      </c>
      <c r="I3610" s="9">
        <v>0.0</v>
      </c>
      <c r="J3610" s="5" t="str">
        <f t="shared" ref="J3610:K3610" si="3610">SUBSTITUTE(H3610, ",", "")</f>
        <v>0</v>
      </c>
      <c r="K3610" s="5" t="str">
        <f t="shared" si="3610"/>
        <v>Rp0</v>
      </c>
      <c r="L3610" s="5" t="str">
        <f t="shared" si="3"/>
        <v>0</v>
      </c>
    </row>
    <row r="3611">
      <c r="A3611" s="6" t="s">
        <v>4944</v>
      </c>
      <c r="B3611" s="7" t="str">
        <f>HYPERLINK("https://shopee.co.id/Uriage-Thermale-Water-Serum-i.79492424.4808592915", "https://shopee.co.id/Uriage-Thermale-Water-Serum-i.79492424.4808592915")</f>
        <v>https://shopee.co.id/Uriage-Thermale-Water-Serum-i.79492424.4808592915</v>
      </c>
      <c r="C3611" s="6" t="s">
        <v>4807</v>
      </c>
      <c r="D3611" s="6" t="s">
        <v>3456</v>
      </c>
      <c r="E3611" s="6" t="s">
        <v>12</v>
      </c>
      <c r="F3611" s="6" t="s">
        <v>13</v>
      </c>
      <c r="G3611" s="6" t="s">
        <v>469</v>
      </c>
      <c r="H3611" s="8" t="s">
        <v>3981</v>
      </c>
      <c r="I3611" s="9">
        <v>0.0</v>
      </c>
      <c r="J3611" s="5" t="str">
        <f t="shared" ref="J3611:K3611" si="3611">SUBSTITUTE(H3611, ",", "")</f>
        <v>0</v>
      </c>
      <c r="K3611" s="5" t="str">
        <f t="shared" si="3611"/>
        <v>Rp0</v>
      </c>
      <c r="L3611" s="5" t="str">
        <f t="shared" si="3"/>
        <v>0</v>
      </c>
    </row>
    <row r="3612">
      <c r="A3612" s="6" t="s">
        <v>4945</v>
      </c>
      <c r="B3612" s="7" t="str">
        <f>HYPERLINK("https://shopee.co.id/Utama-Spice-Balancing-Face-Serum-30ml-i.53018304.2939121596", "https://shopee.co.id/Utama-Spice-Balancing-Face-Serum-30ml-i.53018304.2939121596")</f>
        <v>https://shopee.co.id/Utama-Spice-Balancing-Face-Serum-30ml-i.53018304.2939121596</v>
      </c>
      <c r="C3612" s="6" t="s">
        <v>2926</v>
      </c>
      <c r="D3612" s="6" t="s">
        <v>2927</v>
      </c>
      <c r="E3612" s="6" t="s">
        <v>12</v>
      </c>
      <c r="F3612" s="6" t="s">
        <v>13</v>
      </c>
      <c r="G3612" s="6" t="s">
        <v>2928</v>
      </c>
      <c r="H3612" s="8" t="s">
        <v>3981</v>
      </c>
      <c r="I3612" s="9">
        <v>0.0</v>
      </c>
      <c r="J3612" s="5" t="str">
        <f t="shared" ref="J3612:K3612" si="3612">SUBSTITUTE(H3612, ",", "")</f>
        <v>0</v>
      </c>
      <c r="K3612" s="5" t="str">
        <f t="shared" si="3612"/>
        <v>Rp0</v>
      </c>
      <c r="L3612" s="5" t="str">
        <f t="shared" si="3"/>
        <v>0</v>
      </c>
    </row>
    <row r="3613">
      <c r="A3613" s="6" t="s">
        <v>4946</v>
      </c>
      <c r="B3613" s="7" t="str">
        <f>HYPERLINK("https://shopee.co.id/Utama-Spice-Immortelle-Face-Serum-30ml-i.53018304.5944888395", "https://shopee.co.id/Utama-Spice-Immortelle-Face-Serum-30ml-i.53018304.5944888395")</f>
        <v>https://shopee.co.id/Utama-Spice-Immortelle-Face-Serum-30ml-i.53018304.5944888395</v>
      </c>
      <c r="C3613" s="6" t="s">
        <v>2926</v>
      </c>
      <c r="D3613" s="6" t="s">
        <v>2927</v>
      </c>
      <c r="E3613" s="6" t="s">
        <v>12</v>
      </c>
      <c r="F3613" s="6" t="s">
        <v>13</v>
      </c>
      <c r="G3613" s="6" t="s">
        <v>2928</v>
      </c>
      <c r="H3613" s="8" t="s">
        <v>3981</v>
      </c>
      <c r="I3613" s="9">
        <v>0.0</v>
      </c>
      <c r="J3613" s="5" t="str">
        <f t="shared" ref="J3613:K3613" si="3613">SUBSTITUTE(H3613, ",", "")</f>
        <v>0</v>
      </c>
      <c r="K3613" s="5" t="str">
        <f t="shared" si="3613"/>
        <v>Rp0</v>
      </c>
      <c r="L3613" s="5" t="str">
        <f t="shared" si="3"/>
        <v>0</v>
      </c>
    </row>
    <row r="3614">
      <c r="A3614" s="6" t="s">
        <v>4947</v>
      </c>
      <c r="B3614" s="7" t="str">
        <f>HYPERLINK("https://shopee.co.id/Utama-Spice-Oily-Face-Serum-30ml-i.53018304.5644887184", "https://shopee.co.id/Utama-Spice-Oily-Face-Serum-30ml-i.53018304.5644887184")</f>
        <v>https://shopee.co.id/Utama-Spice-Oily-Face-Serum-30ml-i.53018304.5644887184</v>
      </c>
      <c r="C3614" s="6" t="s">
        <v>2926</v>
      </c>
      <c r="D3614" s="6" t="s">
        <v>2927</v>
      </c>
      <c r="E3614" s="6" t="s">
        <v>12</v>
      </c>
      <c r="F3614" s="6" t="s">
        <v>13</v>
      </c>
      <c r="G3614" s="6" t="s">
        <v>2928</v>
      </c>
      <c r="H3614" s="8" t="s">
        <v>3981</v>
      </c>
      <c r="I3614" s="9">
        <v>0.0</v>
      </c>
      <c r="J3614" s="5" t="str">
        <f t="shared" ref="J3614:K3614" si="3614">SUBSTITUTE(H3614, ",", "")</f>
        <v>0</v>
      </c>
      <c r="K3614" s="5" t="str">
        <f t="shared" si="3614"/>
        <v>Rp0</v>
      </c>
      <c r="L3614" s="5" t="str">
        <f t="shared" si="3"/>
        <v>0</v>
      </c>
    </row>
    <row r="3615">
      <c r="A3615" s="6" t="s">
        <v>4948</v>
      </c>
      <c r="B3615" s="7" t="str">
        <f>HYPERLINK("https://shopee.co.id/Utama-Spice-Rosehip-Oil-30-ml-i.53018304.1652615636", "https://shopee.co.id/Utama-Spice-Rosehip-Oil-30-ml-i.53018304.1652615636")</f>
        <v>https://shopee.co.id/Utama-Spice-Rosehip-Oil-30-ml-i.53018304.1652615636</v>
      </c>
      <c r="C3615" s="6" t="s">
        <v>2926</v>
      </c>
      <c r="D3615" s="6" t="s">
        <v>2927</v>
      </c>
      <c r="E3615" s="6" t="s">
        <v>12</v>
      </c>
      <c r="F3615" s="6" t="s">
        <v>13</v>
      </c>
      <c r="G3615" s="6" t="s">
        <v>2928</v>
      </c>
      <c r="H3615" s="8" t="s">
        <v>3981</v>
      </c>
      <c r="I3615" s="9">
        <v>0.0</v>
      </c>
      <c r="J3615" s="5" t="str">
        <f t="shared" ref="J3615:K3615" si="3615">SUBSTITUTE(H3615, ",", "")</f>
        <v>0</v>
      </c>
      <c r="K3615" s="5" t="str">
        <f t="shared" si="3615"/>
        <v>Rp0</v>
      </c>
      <c r="L3615" s="5" t="str">
        <f t="shared" si="3"/>
        <v>0</v>
      </c>
    </row>
    <row r="3616">
      <c r="A3616" s="6" t="s">
        <v>4949</v>
      </c>
      <c r="B3616" s="7" t="str">
        <f>HYPERLINK("https://shopee.co.id/Utama-Spice-Sensitive-Face-Serum-30ml-i.53018304.6244904747", "https://shopee.co.id/Utama-Spice-Sensitive-Face-Serum-30ml-i.53018304.6244904747")</f>
        <v>https://shopee.co.id/Utama-Spice-Sensitive-Face-Serum-30ml-i.53018304.6244904747</v>
      </c>
      <c r="C3616" s="6" t="s">
        <v>2926</v>
      </c>
      <c r="D3616" s="6" t="s">
        <v>2927</v>
      </c>
      <c r="E3616" s="6" t="s">
        <v>12</v>
      </c>
      <c r="F3616" s="6" t="s">
        <v>13</v>
      </c>
      <c r="G3616" s="6" t="s">
        <v>2928</v>
      </c>
      <c r="H3616" s="8" t="s">
        <v>3981</v>
      </c>
      <c r="I3616" s="9">
        <v>0.0</v>
      </c>
      <c r="J3616" s="5" t="str">
        <f t="shared" ref="J3616:K3616" si="3616">SUBSTITUTE(H3616, ",", "")</f>
        <v>0</v>
      </c>
      <c r="K3616" s="5" t="str">
        <f t="shared" si="3616"/>
        <v>Rp0</v>
      </c>
      <c r="L3616" s="5" t="str">
        <f t="shared" si="3"/>
        <v>0</v>
      </c>
    </row>
    <row r="3617">
      <c r="A3617" s="6" t="s">
        <v>4950</v>
      </c>
      <c r="B3617" s="7" t="str">
        <f>HYPERLINK("https://shopee.co.id/V-Natural-Whitening-Serum-Temulawak-i.185943783.7467566013", "https://shopee.co.id/V-Natural-Whitening-Serum-Temulawak-i.185943783.7467566013")</f>
        <v>https://shopee.co.id/V-Natural-Whitening-Serum-Temulawak-i.185943783.7467566013</v>
      </c>
      <c r="C3617" s="6" t="s">
        <v>4951</v>
      </c>
      <c r="D3617" s="6" t="s">
        <v>3429</v>
      </c>
      <c r="E3617" s="6" t="s">
        <v>12</v>
      </c>
      <c r="F3617" s="6" t="s">
        <v>13</v>
      </c>
      <c r="G3617" s="6" t="s">
        <v>36</v>
      </c>
      <c r="H3617" s="8" t="s">
        <v>3981</v>
      </c>
      <c r="I3617" s="9">
        <v>0.0</v>
      </c>
      <c r="J3617" s="5" t="str">
        <f t="shared" ref="J3617:K3617" si="3617">SUBSTITUTE(H3617, ",", "")</f>
        <v>0</v>
      </c>
      <c r="K3617" s="5" t="str">
        <f t="shared" si="3617"/>
        <v>Rp0</v>
      </c>
      <c r="L3617" s="5" t="str">
        <f t="shared" si="3"/>
        <v>0</v>
      </c>
    </row>
    <row r="3618">
      <c r="A3618" s="6" t="s">
        <v>4952</v>
      </c>
      <c r="B3618" s="7" t="str">
        <f>HYPERLINK("https://shopee.co.id/V-Natural-Whitening-Serum-Temulawak-Serum-Wajah-Pemutih-Wajah-i.114789399.6212024157", "https://shopee.co.id/V-Natural-Whitening-Serum-Temulawak-Serum-Wajah-Pemutih-Wajah-i.114789399.6212024157")</f>
        <v>https://shopee.co.id/V-Natural-Whitening-Serum-Temulawak-Serum-Wajah-Pemutih-Wajah-i.114789399.6212024157</v>
      </c>
      <c r="C3618" s="6" t="s">
        <v>2499</v>
      </c>
      <c r="D3618" s="6" t="s">
        <v>2531</v>
      </c>
      <c r="E3618" s="6" t="s">
        <v>12</v>
      </c>
      <c r="F3618" s="6" t="s">
        <v>13</v>
      </c>
      <c r="G3618" s="6" t="s">
        <v>36</v>
      </c>
      <c r="H3618" s="8" t="s">
        <v>3981</v>
      </c>
      <c r="I3618" s="9">
        <v>0.0</v>
      </c>
      <c r="J3618" s="5" t="str">
        <f t="shared" ref="J3618:K3618" si="3618">SUBSTITUTE(H3618, ",", "")</f>
        <v>0</v>
      </c>
      <c r="K3618" s="5" t="str">
        <f t="shared" si="3618"/>
        <v>Rp0</v>
      </c>
      <c r="L3618" s="5" t="str">
        <f t="shared" si="3"/>
        <v>0</v>
      </c>
    </row>
    <row r="3619">
      <c r="A3619" s="6" t="s">
        <v>4953</v>
      </c>
      <c r="B3619" s="7" t="str">
        <f>HYPERLINK("https://shopee.co.id/V-Natural-Whitening-Serum-Temulawak-20Ml-Serum-Pemutih-Serum-Temulawak-Whitening-Serum-i.175375997.4808970587", "https://shopee.co.id/V-Natural-Whitening-Serum-Temulawak-20Ml-Serum-Pemutih-Serum-Temulawak-Whitening-Serum-i.175375997.4808970587")</f>
        <v>https://shopee.co.id/V-Natural-Whitening-Serum-Temulawak-20Ml-Serum-Pemutih-Serum-Temulawak-Whitening-Serum-i.175375997.4808970587</v>
      </c>
      <c r="C3619" s="6" t="s">
        <v>2499</v>
      </c>
      <c r="D3619" s="6" t="s">
        <v>2123</v>
      </c>
      <c r="E3619" s="6" t="s">
        <v>12</v>
      </c>
      <c r="F3619" s="6" t="s">
        <v>13</v>
      </c>
      <c r="G3619" s="6" t="s">
        <v>36</v>
      </c>
      <c r="H3619" s="8" t="s">
        <v>3981</v>
      </c>
      <c r="I3619" s="9">
        <v>0.0</v>
      </c>
      <c r="J3619" s="5" t="str">
        <f t="shared" ref="J3619:K3619" si="3619">SUBSTITUTE(H3619, ",", "")</f>
        <v>0</v>
      </c>
      <c r="K3619" s="5" t="str">
        <f t="shared" si="3619"/>
        <v>Rp0</v>
      </c>
      <c r="L3619" s="5" t="str">
        <f t="shared" si="3"/>
        <v>0</v>
      </c>
    </row>
    <row r="3620">
      <c r="A3620" s="6" t="s">
        <v>4954</v>
      </c>
      <c r="B3620" s="7" t="str">
        <f>HYPERLINK("https://shopee.co.id/Valenno-Masker-Papaya-80gr-i.25224721.304732266", "https://shopee.co.id/Valenno-Masker-Papaya-80gr-i.25224721.304732266")</f>
        <v>https://shopee.co.id/Valenno-Masker-Papaya-80gr-i.25224721.304732266</v>
      </c>
      <c r="C3620" s="6" t="s">
        <v>4955</v>
      </c>
      <c r="D3620" s="6" t="s">
        <v>4956</v>
      </c>
      <c r="E3620" s="6" t="s">
        <v>12</v>
      </c>
      <c r="F3620" s="6" t="s">
        <v>13</v>
      </c>
      <c r="G3620" s="6" t="s">
        <v>61</v>
      </c>
      <c r="H3620" s="8" t="s">
        <v>3981</v>
      </c>
      <c r="I3620" s="9">
        <v>0.0</v>
      </c>
      <c r="J3620" s="5" t="str">
        <f t="shared" ref="J3620:K3620" si="3620">SUBSTITUTE(H3620, ",", "")</f>
        <v>0</v>
      </c>
      <c r="K3620" s="5" t="str">
        <f t="shared" si="3620"/>
        <v>Rp0</v>
      </c>
      <c r="L3620" s="5" t="str">
        <f t="shared" si="3"/>
        <v>0</v>
      </c>
    </row>
    <row r="3621">
      <c r="A3621" s="6" t="s">
        <v>4957</v>
      </c>
      <c r="B3621" s="7" t="str">
        <f>HYPERLINK("https://shopee.co.id/Valenno-Serum-Anti-Aging-Brightening-20-ML-i.25224721.3006194405", "https://shopee.co.id/Valenno-Serum-Anti-Aging-Brightening-20-ML-i.25224721.3006194405")</f>
        <v>https://shopee.co.id/Valenno-Serum-Anti-Aging-Brightening-20-ML-i.25224721.3006194405</v>
      </c>
      <c r="C3621" s="6" t="s">
        <v>4958</v>
      </c>
      <c r="D3621" s="6" t="s">
        <v>4956</v>
      </c>
      <c r="E3621" s="6" t="s">
        <v>12</v>
      </c>
      <c r="F3621" s="6" t="s">
        <v>13</v>
      </c>
      <c r="G3621" s="6" t="s">
        <v>61</v>
      </c>
      <c r="H3621" s="8" t="s">
        <v>3981</v>
      </c>
      <c r="I3621" s="9">
        <v>0.0</v>
      </c>
      <c r="J3621" s="5" t="str">
        <f t="shared" ref="J3621:K3621" si="3621">SUBSTITUTE(H3621, ",", "")</f>
        <v>0</v>
      </c>
      <c r="K3621" s="5" t="str">
        <f t="shared" si="3621"/>
        <v>Rp0</v>
      </c>
      <c r="L3621" s="5" t="str">
        <f t="shared" si="3"/>
        <v>0</v>
      </c>
    </row>
    <row r="3622">
      <c r="A3622" s="6" t="s">
        <v>4959</v>
      </c>
      <c r="B3622" s="7" t="str">
        <f>HYPERLINK("https://shopee.co.id/VIENNA-BEAUTY-BRIGHTENING-TREATMENT-WATER-30ML-SACHET-i.8463767.3218732527", "https://shopee.co.id/VIENNA-BEAUTY-BRIGHTENING-TREATMENT-WATER-30ML-SACHET-i.8463767.3218732527")</f>
        <v>https://shopee.co.id/VIENNA-BEAUTY-BRIGHTENING-TREATMENT-WATER-30ML-SACHET-i.8463767.3218732527</v>
      </c>
      <c r="C3622" s="6" t="s">
        <v>3453</v>
      </c>
      <c r="D3622" s="6" t="s">
        <v>3454</v>
      </c>
      <c r="E3622" s="6" t="s">
        <v>12</v>
      </c>
      <c r="F3622" s="6" t="s">
        <v>13</v>
      </c>
      <c r="G3622" s="6" t="s">
        <v>36</v>
      </c>
      <c r="H3622" s="8" t="s">
        <v>3981</v>
      </c>
      <c r="I3622" s="9">
        <v>0.0</v>
      </c>
      <c r="J3622" s="5" t="str">
        <f t="shared" ref="J3622:K3622" si="3622">SUBSTITUTE(H3622, ",", "")</f>
        <v>0</v>
      </c>
      <c r="K3622" s="5" t="str">
        <f t="shared" si="3622"/>
        <v>Rp0</v>
      </c>
      <c r="L3622" s="5" t="str">
        <f t="shared" si="3"/>
        <v>0</v>
      </c>
    </row>
    <row r="3623">
      <c r="A3623" s="6" t="s">
        <v>4960</v>
      </c>
      <c r="B3623" s="7" t="str">
        <f>HYPERLINK("https://shopee.co.id/VIENNA-BEAUTY-FACE-SERUM-ACNE-ELIXIR-7ML-SACHET-i.8463767.4133489558", "https://shopee.co.id/VIENNA-BEAUTY-FACE-SERUM-ACNE-ELIXIR-7ML-SACHET-i.8463767.4133489558")</f>
        <v>https://shopee.co.id/VIENNA-BEAUTY-FACE-SERUM-ACNE-ELIXIR-7ML-SACHET-i.8463767.4133489558</v>
      </c>
      <c r="C3623" s="6" t="s">
        <v>3453</v>
      </c>
      <c r="D3623" s="6" t="s">
        <v>3454</v>
      </c>
      <c r="E3623" s="6" t="s">
        <v>12</v>
      </c>
      <c r="F3623" s="6" t="s">
        <v>13</v>
      </c>
      <c r="G3623" s="6" t="s">
        <v>36</v>
      </c>
      <c r="H3623" s="8" t="s">
        <v>3981</v>
      </c>
      <c r="I3623" s="9">
        <v>0.0</v>
      </c>
      <c r="J3623" s="5" t="str">
        <f t="shared" ref="J3623:K3623" si="3623">SUBSTITUTE(H3623, ",", "")</f>
        <v>0</v>
      </c>
      <c r="K3623" s="5" t="str">
        <f t="shared" si="3623"/>
        <v>Rp0</v>
      </c>
      <c r="L3623" s="5" t="str">
        <f t="shared" si="3"/>
        <v>0</v>
      </c>
    </row>
    <row r="3624">
      <c r="A3624" s="6" t="s">
        <v>4961</v>
      </c>
      <c r="B3624" s="7" t="str">
        <f>HYPERLINK("https://shopee.co.id/VIENNA-BEAUTY-FACE-SERUM-BRIGHTENING-7ML-SACHET-i.8463767.3218775795", "https://shopee.co.id/VIENNA-BEAUTY-FACE-SERUM-BRIGHTENING-7ML-SACHET-i.8463767.3218775795")</f>
        <v>https://shopee.co.id/VIENNA-BEAUTY-FACE-SERUM-BRIGHTENING-7ML-SACHET-i.8463767.3218775795</v>
      </c>
      <c r="C3624" s="6" t="s">
        <v>3453</v>
      </c>
      <c r="D3624" s="6" t="s">
        <v>3454</v>
      </c>
      <c r="E3624" s="6" t="s">
        <v>12</v>
      </c>
      <c r="F3624" s="6" t="s">
        <v>13</v>
      </c>
      <c r="G3624" s="6" t="s">
        <v>36</v>
      </c>
      <c r="H3624" s="8" t="s">
        <v>3981</v>
      </c>
      <c r="I3624" s="9">
        <v>0.0</v>
      </c>
      <c r="J3624" s="5" t="str">
        <f t="shared" ref="J3624:K3624" si="3624">SUBSTITUTE(H3624, ",", "")</f>
        <v>0</v>
      </c>
      <c r="K3624" s="5" t="str">
        <f t="shared" si="3624"/>
        <v>Rp0</v>
      </c>
      <c r="L3624" s="5" t="str">
        <f t="shared" si="3"/>
        <v>0</v>
      </c>
    </row>
    <row r="3625">
      <c r="A3625" s="6" t="s">
        <v>4962</v>
      </c>
      <c r="B3625" s="7" t="str">
        <f>HYPERLINK("https://shopee.co.id/VIENNA-BEAUTY-FACE-SERUM-COLLAGEN-7ML-SACHET-i.8463767.7633492318", "https://shopee.co.id/VIENNA-BEAUTY-FACE-SERUM-COLLAGEN-7ML-SACHET-i.8463767.7633492318")</f>
        <v>https://shopee.co.id/VIENNA-BEAUTY-FACE-SERUM-COLLAGEN-7ML-SACHET-i.8463767.7633492318</v>
      </c>
      <c r="C3625" s="6" t="s">
        <v>3453</v>
      </c>
      <c r="D3625" s="6" t="s">
        <v>3454</v>
      </c>
      <c r="E3625" s="6" t="s">
        <v>12</v>
      </c>
      <c r="F3625" s="6" t="s">
        <v>13</v>
      </c>
      <c r="G3625" s="6" t="s">
        <v>36</v>
      </c>
      <c r="H3625" s="8" t="s">
        <v>3981</v>
      </c>
      <c r="I3625" s="9">
        <v>0.0</v>
      </c>
      <c r="J3625" s="5" t="str">
        <f t="shared" ref="J3625:K3625" si="3625">SUBSTITUTE(H3625, ",", "")</f>
        <v>0</v>
      </c>
      <c r="K3625" s="5" t="str">
        <f t="shared" si="3625"/>
        <v>Rp0</v>
      </c>
      <c r="L3625" s="5" t="str">
        <f t="shared" si="3"/>
        <v>0</v>
      </c>
    </row>
    <row r="3626">
      <c r="A3626" s="6" t="s">
        <v>4963</v>
      </c>
      <c r="B3626" s="7" t="str">
        <f>HYPERLINK("https://shopee.co.id/VIENNA-BEAUTY-FACE-SERUM-COLLAGEN-15ML-BOTTLE-i.8463767.5533499098", "https://shopee.co.id/VIENNA-BEAUTY-FACE-SERUM-COLLAGEN-15ML-BOTTLE-i.8463767.5533499098")</f>
        <v>https://shopee.co.id/VIENNA-BEAUTY-FACE-SERUM-COLLAGEN-15ML-BOTTLE-i.8463767.5533499098</v>
      </c>
      <c r="C3626" s="6" t="s">
        <v>3453</v>
      </c>
      <c r="D3626" s="6" t="s">
        <v>3454</v>
      </c>
      <c r="E3626" s="6" t="s">
        <v>12</v>
      </c>
      <c r="F3626" s="6" t="s">
        <v>13</v>
      </c>
      <c r="G3626" s="6" t="s">
        <v>36</v>
      </c>
      <c r="H3626" s="8" t="s">
        <v>3981</v>
      </c>
      <c r="I3626" s="9">
        <v>0.0</v>
      </c>
      <c r="J3626" s="5" t="str">
        <f t="shared" ref="J3626:K3626" si="3626">SUBSTITUTE(H3626, ",", "")</f>
        <v>0</v>
      </c>
      <c r="K3626" s="5" t="str">
        <f t="shared" si="3626"/>
        <v>Rp0</v>
      </c>
      <c r="L3626" s="5" t="str">
        <f t="shared" si="3"/>
        <v>0</v>
      </c>
    </row>
    <row r="3627">
      <c r="A3627" s="6" t="s">
        <v>4964</v>
      </c>
      <c r="B3627" s="7" t="str">
        <f>HYPERLINK("https://shopee.co.id/VIENNA-BEAUTY-FACE-SERUM-HYALURONIC-ACID-7ML-SACHET-i.8463767.4033489790", "https://shopee.co.id/VIENNA-BEAUTY-FACE-SERUM-HYALURONIC-ACID-7ML-SACHET-i.8463767.4033489790")</f>
        <v>https://shopee.co.id/VIENNA-BEAUTY-FACE-SERUM-HYALURONIC-ACID-7ML-SACHET-i.8463767.4033489790</v>
      </c>
      <c r="C3627" s="6" t="s">
        <v>3453</v>
      </c>
      <c r="D3627" s="6" t="s">
        <v>3454</v>
      </c>
      <c r="E3627" s="6" t="s">
        <v>12</v>
      </c>
      <c r="F3627" s="6" t="s">
        <v>13</v>
      </c>
      <c r="G3627" s="6" t="s">
        <v>36</v>
      </c>
      <c r="H3627" s="8" t="s">
        <v>3981</v>
      </c>
      <c r="I3627" s="9">
        <v>0.0</v>
      </c>
      <c r="J3627" s="5" t="str">
        <f t="shared" ref="J3627:K3627" si="3627">SUBSTITUTE(H3627, ",", "")</f>
        <v>0</v>
      </c>
      <c r="K3627" s="5" t="str">
        <f t="shared" si="3627"/>
        <v>Rp0</v>
      </c>
      <c r="L3627" s="5" t="str">
        <f t="shared" si="3"/>
        <v>0</v>
      </c>
    </row>
    <row r="3628">
      <c r="A3628" s="6" t="s">
        <v>4965</v>
      </c>
      <c r="B3628" s="7" t="str">
        <f>HYPERLINK("https://shopee.co.id/VIENNA-BEAUTY-FACE-SERUM-NIACINAMIDE-VIT-B3-7ML-SACHET-i.8463767.5533491202", "https://shopee.co.id/VIENNA-BEAUTY-FACE-SERUM-NIACINAMIDE-VIT-B3-7ML-SACHET-i.8463767.5533491202")</f>
        <v>https://shopee.co.id/VIENNA-BEAUTY-FACE-SERUM-NIACINAMIDE-VIT-B3-7ML-SACHET-i.8463767.5533491202</v>
      </c>
      <c r="C3628" s="6" t="s">
        <v>3453</v>
      </c>
      <c r="D3628" s="6" t="s">
        <v>3454</v>
      </c>
      <c r="E3628" s="6" t="s">
        <v>12</v>
      </c>
      <c r="F3628" s="6" t="s">
        <v>13</v>
      </c>
      <c r="G3628" s="6" t="s">
        <v>36</v>
      </c>
      <c r="H3628" s="8" t="s">
        <v>3981</v>
      </c>
      <c r="I3628" s="9">
        <v>0.0</v>
      </c>
      <c r="J3628" s="5" t="str">
        <f t="shared" ref="J3628:K3628" si="3628">SUBSTITUTE(H3628, ",", "")</f>
        <v>0</v>
      </c>
      <c r="K3628" s="5" t="str">
        <f t="shared" si="3628"/>
        <v>Rp0</v>
      </c>
      <c r="L3628" s="5" t="str">
        <f t="shared" si="3"/>
        <v>0</v>
      </c>
    </row>
    <row r="3629">
      <c r="A3629" s="6" t="s">
        <v>4966</v>
      </c>
      <c r="B3629" s="7" t="str">
        <f>HYPERLINK("https://shopee.co.id/VIENNA-BEAUTY-FACE-SERUM-VITAMIN-C-7ML-SACHET-i.8463767.4233490681", "https://shopee.co.id/VIENNA-BEAUTY-FACE-SERUM-VITAMIN-C-7ML-SACHET-i.8463767.4233490681")</f>
        <v>https://shopee.co.id/VIENNA-BEAUTY-FACE-SERUM-VITAMIN-C-7ML-SACHET-i.8463767.4233490681</v>
      </c>
      <c r="C3629" s="6" t="s">
        <v>3453</v>
      </c>
      <c r="D3629" s="6" t="s">
        <v>3454</v>
      </c>
      <c r="E3629" s="6" t="s">
        <v>12</v>
      </c>
      <c r="F3629" s="6" t="s">
        <v>13</v>
      </c>
      <c r="G3629" s="6" t="s">
        <v>36</v>
      </c>
      <c r="H3629" s="8" t="s">
        <v>3981</v>
      </c>
      <c r="I3629" s="9">
        <v>0.0</v>
      </c>
      <c r="J3629" s="5" t="str">
        <f t="shared" ref="J3629:K3629" si="3629">SUBSTITUTE(H3629, ",", "")</f>
        <v>0</v>
      </c>
      <c r="K3629" s="5" t="str">
        <f t="shared" si="3629"/>
        <v>Rp0</v>
      </c>
      <c r="L3629" s="5" t="str">
        <f t="shared" si="3"/>
        <v>0</v>
      </c>
    </row>
    <row r="3630">
      <c r="A3630" s="6" t="s">
        <v>4967</v>
      </c>
      <c r="B3630" s="7" t="str">
        <f>HYPERLINK("https://shopee.co.id/Votre-Peau-Brightening-Essence-50ml-i.10689.7245330939", "https://shopee.co.id/Votre-Peau-Brightening-Essence-50ml-i.10689.7245330939")</f>
        <v>https://shopee.co.id/Votre-Peau-Brightening-Essence-50ml-i.10689.7245330939</v>
      </c>
      <c r="C3630" s="6" t="s">
        <v>471</v>
      </c>
      <c r="D3630" s="6" t="s">
        <v>745</v>
      </c>
      <c r="E3630" s="6" t="s">
        <v>12</v>
      </c>
      <c r="F3630" s="6" t="s">
        <v>13</v>
      </c>
      <c r="G3630" s="6" t="s">
        <v>61</v>
      </c>
      <c r="H3630" s="8" t="s">
        <v>3981</v>
      </c>
      <c r="I3630" s="9">
        <v>0.0</v>
      </c>
      <c r="J3630" s="5" t="str">
        <f t="shared" ref="J3630:K3630" si="3630">SUBSTITUTE(H3630, ",", "")</f>
        <v>0</v>
      </c>
      <c r="K3630" s="5" t="str">
        <f t="shared" si="3630"/>
        <v>Rp0</v>
      </c>
      <c r="L3630" s="5" t="str">
        <f t="shared" si="3"/>
        <v>0</v>
      </c>
    </row>
    <row r="3631">
      <c r="A3631" s="6" t="s">
        <v>4968</v>
      </c>
      <c r="B3631" s="7" t="str">
        <f>HYPERLINK("https://shopee.co.id/Votre-Peau-Sensisoft-Vitamin-C-Serum-Bundle-i.46300234.6992688047", "https://shopee.co.id/Votre-Peau-Sensisoft-Vitamin-C-Serum-Bundle-i.46300234.6992688047")</f>
        <v>https://shopee.co.id/Votre-Peau-Sensisoft-Vitamin-C-Serum-Bundle-i.46300234.6992688047</v>
      </c>
      <c r="C3631" s="6" t="s">
        <v>471</v>
      </c>
      <c r="D3631" s="6" t="s">
        <v>472</v>
      </c>
      <c r="E3631" s="6" t="s">
        <v>12</v>
      </c>
      <c r="F3631" s="6" t="s">
        <v>13</v>
      </c>
      <c r="G3631" s="6" t="s">
        <v>98</v>
      </c>
      <c r="H3631" s="8" t="s">
        <v>3981</v>
      </c>
      <c r="I3631" s="9">
        <v>0.0</v>
      </c>
      <c r="J3631" s="5" t="str">
        <f t="shared" ref="J3631:K3631" si="3631">SUBSTITUTE(H3631, ",", "")</f>
        <v>0</v>
      </c>
      <c r="K3631" s="5" t="str">
        <f t="shared" si="3631"/>
        <v>Rp0</v>
      </c>
      <c r="L3631" s="5" t="str">
        <f t="shared" si="3"/>
        <v>0</v>
      </c>
    </row>
    <row r="3632">
      <c r="A3632" s="6" t="s">
        <v>4969</v>
      </c>
      <c r="B3632" s="7" t="str">
        <f>HYPERLINK("https://shopee.co.id/Votre-Peau-Vitamin-C-Serum-Maharis-30ml-i.10689.2177804736", "https://shopee.co.id/Votre-Peau-Vitamin-C-Serum-Maharis-30ml-i.10689.2177804736")</f>
        <v>https://shopee.co.id/Votre-Peau-Vitamin-C-Serum-Maharis-30ml-i.10689.2177804736</v>
      </c>
      <c r="C3632" s="6" t="s">
        <v>471</v>
      </c>
      <c r="D3632" s="6" t="s">
        <v>745</v>
      </c>
      <c r="E3632" s="6" t="s">
        <v>12</v>
      </c>
      <c r="F3632" s="6" t="s">
        <v>13</v>
      </c>
      <c r="G3632" s="6" t="s">
        <v>61</v>
      </c>
      <c r="H3632" s="8" t="s">
        <v>3981</v>
      </c>
      <c r="I3632" s="9">
        <v>0.0</v>
      </c>
      <c r="J3632" s="5" t="str">
        <f t="shared" ref="J3632:K3632" si="3632">SUBSTITUTE(H3632, ",", "")</f>
        <v>0</v>
      </c>
      <c r="K3632" s="5" t="str">
        <f t="shared" si="3632"/>
        <v>Rp0</v>
      </c>
      <c r="L3632" s="5" t="str">
        <f t="shared" si="3"/>
        <v>0</v>
      </c>
    </row>
    <row r="3633">
      <c r="A3633" s="6" t="s">
        <v>4970</v>
      </c>
      <c r="B3633" s="7" t="str">
        <f>HYPERLINK("https://shopee.co.id/Votre-Peau-Vitamin-C-Serum-Pour-Maharis-Clinic-30ml-i.79492424.3217647800", "https://shopee.co.id/Votre-Peau-Vitamin-C-Serum-Pour-Maharis-Clinic-30ml-i.79492424.3217647800")</f>
        <v>https://shopee.co.id/Votre-Peau-Vitamin-C-Serum-Pour-Maharis-Clinic-30ml-i.79492424.3217647800</v>
      </c>
      <c r="C3633" s="6" t="s">
        <v>471</v>
      </c>
      <c r="D3633" s="6" t="s">
        <v>3456</v>
      </c>
      <c r="E3633" s="6" t="s">
        <v>12</v>
      </c>
      <c r="F3633" s="6" t="s">
        <v>13</v>
      </c>
      <c r="G3633" s="6" t="s">
        <v>469</v>
      </c>
      <c r="H3633" s="8" t="s">
        <v>3981</v>
      </c>
      <c r="I3633" s="9">
        <v>0.0</v>
      </c>
      <c r="J3633" s="5" t="str">
        <f t="shared" ref="J3633:K3633" si="3633">SUBSTITUTE(H3633, ",", "")</f>
        <v>0</v>
      </c>
      <c r="K3633" s="5" t="str">
        <f t="shared" si="3633"/>
        <v>Rp0</v>
      </c>
      <c r="L3633" s="5" t="str">
        <f t="shared" si="3"/>
        <v>0</v>
      </c>
    </row>
    <row r="3634">
      <c r="A3634" s="6" t="s">
        <v>4971</v>
      </c>
      <c r="B3634" s="7" t="str">
        <f>HYPERLINK("https://shopee.co.id/Votre-Peau-Vitamin-C-Serum-Pour-Maharis-Clinic-30ml-Biru--i.136011044.9332951932", "https://shopee.co.id/Votre-Peau-Vitamin-C-Serum-Pour-Maharis-Clinic-30ml-Biru--i.136011044.9332951932")</f>
        <v>https://shopee.co.id/Votre-Peau-Vitamin-C-Serum-Pour-Maharis-Clinic-30ml-Biru--i.136011044.9332951932</v>
      </c>
      <c r="C3634" s="6" t="s">
        <v>471</v>
      </c>
      <c r="D3634" s="6" t="s">
        <v>632</v>
      </c>
      <c r="E3634" s="6" t="s">
        <v>12</v>
      </c>
      <c r="F3634" s="6" t="s">
        <v>13</v>
      </c>
      <c r="G3634" s="6" t="s">
        <v>21</v>
      </c>
      <c r="H3634" s="8" t="s">
        <v>3981</v>
      </c>
      <c r="I3634" s="9">
        <v>0.0</v>
      </c>
      <c r="J3634" s="5" t="str">
        <f t="shared" ref="J3634:K3634" si="3634">SUBSTITUTE(H3634, ",", "")</f>
        <v>0</v>
      </c>
      <c r="K3634" s="5" t="str">
        <f t="shared" si="3634"/>
        <v>Rp0</v>
      </c>
      <c r="L3634" s="5" t="str">
        <f t="shared" si="3"/>
        <v>0</v>
      </c>
    </row>
    <row r="3635">
      <c r="A3635" s="6" t="s">
        <v>4972</v>
      </c>
      <c r="B3635" s="7" t="str">
        <f>HYPERLINK("https://shopee.co.id/Votre-Vitamin-C-serum-30ml--i.17081863.7422676843", "https://shopee.co.id/Votre-Vitamin-C-serum-30ml--i.17081863.7422676843")</f>
        <v>https://shopee.co.id/Votre-Vitamin-C-serum-30ml--i.17081863.7422676843</v>
      </c>
      <c r="C3635" s="6" t="s">
        <v>471</v>
      </c>
      <c r="D3635" s="6" t="s">
        <v>2497</v>
      </c>
      <c r="E3635" s="6" t="s">
        <v>12</v>
      </c>
      <c r="F3635" s="6" t="s">
        <v>13</v>
      </c>
      <c r="G3635" s="6" t="s">
        <v>21</v>
      </c>
      <c r="H3635" s="8" t="s">
        <v>3981</v>
      </c>
      <c r="I3635" s="9">
        <v>0.0</v>
      </c>
      <c r="J3635" s="5" t="str">
        <f t="shared" ref="J3635:K3635" si="3635">SUBSTITUTE(H3635, ",", "")</f>
        <v>0</v>
      </c>
      <c r="K3635" s="5" t="str">
        <f t="shared" si="3635"/>
        <v>Rp0</v>
      </c>
      <c r="L3635" s="5" t="str">
        <f t="shared" si="3"/>
        <v>0</v>
      </c>
    </row>
    <row r="3636">
      <c r="A3636" s="6" t="s">
        <v>4973</v>
      </c>
      <c r="B3636" s="7" t="str">
        <f>HYPERLINK("https://shopee.co.id/Votre-Vitamin-C-serum-pour-Maharis-clinic-i.17081863.3822775736", "https://shopee.co.id/Votre-Vitamin-C-serum-pour-Maharis-clinic-i.17081863.3822775736")</f>
        <v>https://shopee.co.id/Votre-Vitamin-C-serum-pour-Maharis-clinic-i.17081863.3822775736</v>
      </c>
      <c r="C3636" s="6" t="s">
        <v>471</v>
      </c>
      <c r="D3636" s="6" t="s">
        <v>2497</v>
      </c>
      <c r="E3636" s="6" t="s">
        <v>12</v>
      </c>
      <c r="F3636" s="6" t="s">
        <v>13</v>
      </c>
      <c r="G3636" s="6" t="s">
        <v>21</v>
      </c>
      <c r="H3636" s="8" t="s">
        <v>3981</v>
      </c>
      <c r="I3636" s="9">
        <v>0.0</v>
      </c>
      <c r="J3636" s="5" t="str">
        <f t="shared" ref="J3636:K3636" si="3636">SUBSTITUTE(H3636, ",", "")</f>
        <v>0</v>
      </c>
      <c r="K3636" s="5" t="str">
        <f t="shared" si="3636"/>
        <v>Rp0</v>
      </c>
      <c r="L3636" s="5" t="str">
        <f t="shared" si="3"/>
        <v>0</v>
      </c>
    </row>
    <row r="3637">
      <c r="A3637" s="6" t="s">
        <v>4974</v>
      </c>
      <c r="B3637" s="7" t="str">
        <f>HYPERLINK("https://shopee.co.id/Wardah-C-Defense-Serum-17ml-403228--i.16735262.6967446075", "https://shopee.co.id/Wardah-C-Defense-Serum-17ml-403228--i.16735262.6967446075")</f>
        <v>https://shopee.co.id/Wardah-C-Defense-Serum-17ml-403228--i.16735262.6967446075</v>
      </c>
      <c r="C3637" s="6" t="s">
        <v>169</v>
      </c>
      <c r="D3637" s="6" t="s">
        <v>3598</v>
      </c>
      <c r="E3637" s="6" t="s">
        <v>12</v>
      </c>
      <c r="F3637" s="6" t="s">
        <v>13</v>
      </c>
      <c r="G3637" s="6" t="s">
        <v>36</v>
      </c>
      <c r="H3637" s="8" t="s">
        <v>3981</v>
      </c>
      <c r="I3637" s="9">
        <v>0.0</v>
      </c>
      <c r="J3637" s="5" t="str">
        <f t="shared" ref="J3637:K3637" si="3637">SUBSTITUTE(H3637, ",", "")</f>
        <v>0</v>
      </c>
      <c r="K3637" s="5" t="str">
        <f t="shared" si="3637"/>
        <v>Rp0</v>
      </c>
      <c r="L3637" s="5" t="str">
        <f t="shared" si="3"/>
        <v>0</v>
      </c>
    </row>
    <row r="3638">
      <c r="A3638" s="6" t="s">
        <v>4975</v>
      </c>
      <c r="B3638" s="7" t="str">
        <f>HYPERLINK("https://shopee.co.id/WARDAH-C-Defense-Serum-i.187117294.7855492547", "https://shopee.co.id/WARDAH-C-Defense-Serum-i.187117294.7855492547")</f>
        <v>https://shopee.co.id/WARDAH-C-Defense-Serum-i.187117294.7855492547</v>
      </c>
      <c r="C3638" s="6" t="s">
        <v>169</v>
      </c>
      <c r="D3638" s="6" t="s">
        <v>2366</v>
      </c>
      <c r="E3638" s="6" t="s">
        <v>12</v>
      </c>
      <c r="F3638" s="6" t="s">
        <v>13</v>
      </c>
      <c r="G3638" s="6" t="s">
        <v>469</v>
      </c>
      <c r="H3638" s="8" t="s">
        <v>3981</v>
      </c>
      <c r="I3638" s="9">
        <v>0.0</v>
      </c>
      <c r="J3638" s="5" t="str">
        <f t="shared" ref="J3638:K3638" si="3638">SUBSTITUTE(H3638, ",", "")</f>
        <v>0</v>
      </c>
      <c r="K3638" s="5" t="str">
        <f t="shared" si="3638"/>
        <v>Rp0</v>
      </c>
      <c r="L3638" s="5" t="str">
        <f t="shared" si="3"/>
        <v>0</v>
      </c>
    </row>
    <row r="3639">
      <c r="A3639" s="6" t="s">
        <v>4975</v>
      </c>
      <c r="B3639" s="7" t="str">
        <f>HYPERLINK("https://shopee.co.id/WARDAH-C-Defense-Serum-i.68111.8715956391", "https://shopee.co.id/WARDAH-C-Defense-Serum-i.68111.8715956391")</f>
        <v>https://shopee.co.id/WARDAH-C-Defense-Serum-i.68111.8715956391</v>
      </c>
      <c r="C3639" s="6" t="s">
        <v>169</v>
      </c>
      <c r="D3639" s="6" t="s">
        <v>441</v>
      </c>
      <c r="E3639" s="6" t="s">
        <v>12</v>
      </c>
      <c r="F3639" s="6" t="s">
        <v>13</v>
      </c>
      <c r="G3639" s="6" t="s">
        <v>130</v>
      </c>
      <c r="H3639" s="8" t="s">
        <v>3981</v>
      </c>
      <c r="I3639" s="9">
        <v>0.0</v>
      </c>
      <c r="J3639" s="5" t="str">
        <f t="shared" ref="J3639:K3639" si="3639">SUBSTITUTE(H3639, ",", "")</f>
        <v>0</v>
      </c>
      <c r="K3639" s="5" t="str">
        <f t="shared" si="3639"/>
        <v>Rp0</v>
      </c>
      <c r="L3639" s="5" t="str">
        <f t="shared" si="3"/>
        <v>0</v>
      </c>
    </row>
    <row r="3640">
      <c r="A3640" s="6" t="s">
        <v>4976</v>
      </c>
      <c r="B3640" s="7" t="str">
        <f>HYPERLINK("https://shopee.co.id/Wardah-C-Defense-With-Vitamin-C-Serum-17Ml-Face-Serum-Vitamin-Wajah-i.185943783.4032954043", "https://shopee.co.id/Wardah-C-Defense-With-Vitamin-C-Serum-17Ml-Face-Serum-Vitamin-Wajah-i.185943783.4032954043")</f>
        <v>https://shopee.co.id/Wardah-C-Defense-With-Vitamin-C-Serum-17Ml-Face-Serum-Vitamin-Wajah-i.185943783.4032954043</v>
      </c>
      <c r="C3640" s="6" t="s">
        <v>169</v>
      </c>
      <c r="D3640" s="6" t="s">
        <v>3429</v>
      </c>
      <c r="E3640" s="6" t="s">
        <v>12</v>
      </c>
      <c r="F3640" s="6" t="s">
        <v>13</v>
      </c>
      <c r="G3640" s="6" t="s">
        <v>36</v>
      </c>
      <c r="H3640" s="8" t="s">
        <v>3981</v>
      </c>
      <c r="I3640" s="9">
        <v>0.0</v>
      </c>
      <c r="J3640" s="5" t="str">
        <f t="shared" ref="J3640:K3640" si="3640">SUBSTITUTE(H3640, ",", "")</f>
        <v>0</v>
      </c>
      <c r="K3640" s="5" t="str">
        <f t="shared" si="3640"/>
        <v>Rp0</v>
      </c>
      <c r="L3640" s="5" t="str">
        <f t="shared" si="3"/>
        <v>0</v>
      </c>
    </row>
    <row r="3641">
      <c r="A3641" s="6" t="s">
        <v>4976</v>
      </c>
      <c r="B3641" s="7" t="str">
        <f>HYPERLINK("https://shopee.co.id/Wardah-C-Defense-With-Vitamin-C-Serum-17Ml-Face-Serum-Vitamin-Wajah-i.175375997.5913074372", "https://shopee.co.id/Wardah-C-Defense-With-Vitamin-C-Serum-17Ml-Face-Serum-Vitamin-Wajah-i.175375997.5913074372")</f>
        <v>https://shopee.co.id/Wardah-C-Defense-With-Vitamin-C-Serum-17Ml-Face-Serum-Vitamin-Wajah-i.175375997.5913074372</v>
      </c>
      <c r="C3641" s="6" t="s">
        <v>169</v>
      </c>
      <c r="D3641" s="6" t="s">
        <v>2123</v>
      </c>
      <c r="E3641" s="6" t="s">
        <v>12</v>
      </c>
      <c r="F3641" s="6" t="s">
        <v>13</v>
      </c>
      <c r="G3641" s="6" t="s">
        <v>36</v>
      </c>
      <c r="H3641" s="8" t="s">
        <v>3981</v>
      </c>
      <c r="I3641" s="9">
        <v>0.0</v>
      </c>
      <c r="J3641" s="5" t="str">
        <f t="shared" ref="J3641:K3641" si="3641">SUBSTITUTE(H3641, ",", "")</f>
        <v>0</v>
      </c>
      <c r="K3641" s="5" t="str">
        <f t="shared" si="3641"/>
        <v>Rp0</v>
      </c>
      <c r="L3641" s="5" t="str">
        <f t="shared" si="3"/>
        <v>0</v>
      </c>
    </row>
    <row r="3642">
      <c r="A3642" s="6" t="s">
        <v>4977</v>
      </c>
      <c r="B3642" s="7" t="str">
        <f>HYPERLINK("https://shopee.co.id/WARDAH-Crystallure-Supreme-Activating-Booster-Essence-i.187117294.3342820815", "https://shopee.co.id/WARDAH-Crystallure-Supreme-Activating-Booster-Essence-i.187117294.3342820815")</f>
        <v>https://shopee.co.id/WARDAH-Crystallure-Supreme-Activating-Booster-Essence-i.187117294.3342820815</v>
      </c>
      <c r="C3642" s="6" t="s">
        <v>169</v>
      </c>
      <c r="D3642" s="6" t="s">
        <v>2366</v>
      </c>
      <c r="E3642" s="6" t="s">
        <v>12</v>
      </c>
      <c r="F3642" s="6" t="s">
        <v>13</v>
      </c>
      <c r="G3642" s="6" t="s">
        <v>469</v>
      </c>
      <c r="H3642" s="8" t="s">
        <v>3981</v>
      </c>
      <c r="I3642" s="9">
        <v>0.0</v>
      </c>
      <c r="J3642" s="5" t="str">
        <f t="shared" ref="J3642:K3642" si="3642">SUBSTITUTE(H3642, ",", "")</f>
        <v>0</v>
      </c>
      <c r="K3642" s="5" t="str">
        <f t="shared" si="3642"/>
        <v>Rp0</v>
      </c>
      <c r="L3642" s="5" t="str">
        <f t="shared" si="3"/>
        <v>0</v>
      </c>
    </row>
    <row r="3643">
      <c r="A3643" s="6" t="s">
        <v>1707</v>
      </c>
      <c r="B3643" s="7" t="str">
        <f>HYPERLINK("https://shopee.co.id/WARDAH-Hydra-Rose-Micro-Gel-Serum-i.187117294.7155054979", "https://shopee.co.id/WARDAH-Hydra-Rose-Micro-Gel-Serum-i.187117294.7155054979")</f>
        <v>https://shopee.co.id/WARDAH-Hydra-Rose-Micro-Gel-Serum-i.187117294.7155054979</v>
      </c>
      <c r="C3643" s="6" t="s">
        <v>4978</v>
      </c>
      <c r="D3643" s="6" t="s">
        <v>2366</v>
      </c>
      <c r="E3643" s="6" t="s">
        <v>12</v>
      </c>
      <c r="F3643" s="6" t="s">
        <v>13</v>
      </c>
      <c r="G3643" s="6" t="s">
        <v>469</v>
      </c>
      <c r="H3643" s="8" t="s">
        <v>3981</v>
      </c>
      <c r="I3643" s="9">
        <v>0.0</v>
      </c>
      <c r="J3643" s="5" t="str">
        <f t="shared" ref="J3643:K3643" si="3643">SUBSTITUTE(H3643, ",", "")</f>
        <v>0</v>
      </c>
      <c r="K3643" s="5" t="str">
        <f t="shared" si="3643"/>
        <v>Rp0</v>
      </c>
      <c r="L3643" s="5" t="str">
        <f t="shared" si="3"/>
        <v>0</v>
      </c>
    </row>
    <row r="3644">
      <c r="A3644" s="6" t="s">
        <v>4979</v>
      </c>
      <c r="B3644" s="7" t="str">
        <f>HYPERLINK("https://shopee.co.id/Wardah-Lightening-Facial-Serum-5x5-Ml-Pc-S--i.53887195.1180103682", "https://shopee.co.id/Wardah-Lightening-Facial-Serum-5x5-Ml-Pc-S--i.53887195.1180103682")</f>
        <v>https://shopee.co.id/Wardah-Lightening-Facial-Serum-5x5-Ml-Pc-S--i.53887195.1180103682</v>
      </c>
      <c r="C3644" s="6" t="s">
        <v>169</v>
      </c>
      <c r="D3644" s="6" t="s">
        <v>1026</v>
      </c>
      <c r="E3644" s="6" t="s">
        <v>12</v>
      </c>
      <c r="F3644" s="6" t="s">
        <v>13</v>
      </c>
      <c r="G3644" s="6" t="s">
        <v>80</v>
      </c>
      <c r="H3644" s="8" t="s">
        <v>3981</v>
      </c>
      <c r="I3644" s="9">
        <v>0.0</v>
      </c>
      <c r="J3644" s="5" t="str">
        <f t="shared" ref="J3644:K3644" si="3644">SUBSTITUTE(H3644, ",", "")</f>
        <v>0</v>
      </c>
      <c r="K3644" s="5" t="str">
        <f t="shared" si="3644"/>
        <v>Rp0</v>
      </c>
      <c r="L3644" s="5" t="str">
        <f t="shared" si="3"/>
        <v>0</v>
      </c>
    </row>
    <row r="3645">
      <c r="A3645" s="6" t="s">
        <v>4980</v>
      </c>
      <c r="B3645" s="7" t="str">
        <f>HYPERLINK("https://shopee.co.id/Wardah-Lightening-Facial-Serum-5X5Ml-Face-Serum-Serum-Wajah-Vitamin-Wajah-Skin-Care-Pemutih-i.175375997.5908965126", "https://shopee.co.id/Wardah-Lightening-Facial-Serum-5X5Ml-Face-Serum-Serum-Wajah-Vitamin-Wajah-Skin-Care-Pemutih-i.175375997.5908965126")</f>
        <v>https://shopee.co.id/Wardah-Lightening-Facial-Serum-5X5Ml-Face-Serum-Serum-Wajah-Vitamin-Wajah-Skin-Care-Pemutih-i.175375997.5908965126</v>
      </c>
      <c r="C3645" s="6" t="s">
        <v>169</v>
      </c>
      <c r="D3645" s="6" t="s">
        <v>2123</v>
      </c>
      <c r="E3645" s="6" t="s">
        <v>12</v>
      </c>
      <c r="F3645" s="6" t="s">
        <v>13</v>
      </c>
      <c r="G3645" s="6" t="s">
        <v>36</v>
      </c>
      <c r="H3645" s="8" t="s">
        <v>3981</v>
      </c>
      <c r="I3645" s="9">
        <v>0.0</v>
      </c>
      <c r="J3645" s="5" t="str">
        <f t="shared" ref="J3645:K3645" si="3645">SUBSTITUTE(H3645, ",", "")</f>
        <v>0</v>
      </c>
      <c r="K3645" s="5" t="str">
        <f t="shared" si="3645"/>
        <v>Rp0</v>
      </c>
      <c r="L3645" s="5" t="str">
        <f t="shared" si="3"/>
        <v>0</v>
      </c>
    </row>
    <row r="3646">
      <c r="A3646" s="6" t="s">
        <v>4981</v>
      </c>
      <c r="B3646" s="7" t="str">
        <f>HYPERLINK("https://shopee.co.id/WARDAH-Lightening-Serum-Ampoule-i.187117294.3167530077", "https://shopee.co.id/WARDAH-Lightening-Serum-Ampoule-i.187117294.3167530077")</f>
        <v>https://shopee.co.id/WARDAH-Lightening-Serum-Ampoule-i.187117294.3167530077</v>
      </c>
      <c r="C3646" s="6" t="s">
        <v>169</v>
      </c>
      <c r="D3646" s="6" t="s">
        <v>2366</v>
      </c>
      <c r="E3646" s="6" t="s">
        <v>12</v>
      </c>
      <c r="F3646" s="6" t="s">
        <v>13</v>
      </c>
      <c r="G3646" s="6" t="s">
        <v>469</v>
      </c>
      <c r="H3646" s="8" t="s">
        <v>3981</v>
      </c>
      <c r="I3646" s="9">
        <v>0.0</v>
      </c>
      <c r="J3646" s="5" t="str">
        <f t="shared" ref="J3646:K3646" si="3646">SUBSTITUTE(H3646, ",", "")</f>
        <v>0</v>
      </c>
      <c r="K3646" s="5" t="str">
        <f t="shared" si="3646"/>
        <v>Rp0</v>
      </c>
      <c r="L3646" s="5" t="str">
        <f t="shared" si="3"/>
        <v>0</v>
      </c>
    </row>
    <row r="3647">
      <c r="A3647" s="6" t="s">
        <v>4981</v>
      </c>
      <c r="B3647" s="7" t="str">
        <f>HYPERLINK("https://shopee.co.id/WARDAH-Lightening-Serum-Ampoule-i.270965687.12815733817", "https://shopee.co.id/WARDAH-Lightening-Serum-Ampoule-i.270965687.12815733817")</f>
        <v>https://shopee.co.id/WARDAH-Lightening-Serum-Ampoule-i.270965687.12815733817</v>
      </c>
      <c r="C3647" s="6" t="s">
        <v>169</v>
      </c>
      <c r="D3647" s="6" t="s">
        <v>379</v>
      </c>
      <c r="E3647" s="6" t="s">
        <v>12</v>
      </c>
      <c r="F3647" s="6" t="s">
        <v>13</v>
      </c>
      <c r="G3647" s="6" t="s">
        <v>380</v>
      </c>
      <c r="H3647" s="8" t="s">
        <v>3981</v>
      </c>
      <c r="I3647" s="9">
        <v>0.0</v>
      </c>
      <c r="J3647" s="5" t="str">
        <f t="shared" ref="J3647:K3647" si="3647">SUBSTITUTE(H3647, ",", "")</f>
        <v>0</v>
      </c>
      <c r="K3647" s="5" t="str">
        <f t="shared" si="3647"/>
        <v>Rp0</v>
      </c>
      <c r="L3647" s="5" t="str">
        <f t="shared" si="3"/>
        <v>0</v>
      </c>
    </row>
    <row r="3648">
      <c r="A3648" s="6" t="s">
        <v>3967</v>
      </c>
      <c r="B3648" s="7" t="str">
        <f>HYPERLINK("https://shopee.co.id/Wardah-Lightening-Serum-Ampoule-8Ml-i.309940894.7386914832", "https://shopee.co.id/Wardah-Lightening-Serum-Ampoule-8Ml-i.309940894.7386914832")</f>
        <v>https://shopee.co.id/Wardah-Lightening-Serum-Ampoule-8Ml-i.309940894.7386914832</v>
      </c>
      <c r="C3648" s="6" t="s">
        <v>169</v>
      </c>
      <c r="D3648" s="6" t="s">
        <v>3621</v>
      </c>
      <c r="E3648" s="6" t="s">
        <v>12</v>
      </c>
      <c r="F3648" s="6" t="s">
        <v>13</v>
      </c>
      <c r="G3648" s="6" t="s">
        <v>296</v>
      </c>
      <c r="H3648" s="8" t="s">
        <v>3981</v>
      </c>
      <c r="I3648" s="9">
        <v>0.0</v>
      </c>
      <c r="J3648" s="5" t="str">
        <f t="shared" ref="J3648:K3648" si="3648">SUBSTITUTE(H3648, ",", "")</f>
        <v>0</v>
      </c>
      <c r="K3648" s="5" t="str">
        <f t="shared" si="3648"/>
        <v>Rp0</v>
      </c>
      <c r="L3648" s="5" t="str">
        <f t="shared" si="3"/>
        <v>0</v>
      </c>
    </row>
    <row r="3649">
      <c r="A3649" s="6" t="s">
        <v>3967</v>
      </c>
      <c r="B3649" s="7" t="str">
        <f>HYPERLINK("https://shopee.co.id/Wardah-Lightening-Serum-Ampoule-8Ml-i.353462148.9548824987", "https://shopee.co.id/Wardah-Lightening-Serum-Ampoule-8Ml-i.353462148.9548824987")</f>
        <v>https://shopee.co.id/Wardah-Lightening-Serum-Ampoule-8Ml-i.353462148.9548824987</v>
      </c>
      <c r="C3649" s="6" t="s">
        <v>169</v>
      </c>
      <c r="D3649" s="6" t="s">
        <v>4639</v>
      </c>
      <c r="E3649" s="6" t="s">
        <v>12</v>
      </c>
      <c r="F3649" s="6" t="s">
        <v>13</v>
      </c>
      <c r="G3649" s="6" t="s">
        <v>945</v>
      </c>
      <c r="H3649" s="8" t="s">
        <v>3981</v>
      </c>
      <c r="I3649" s="9">
        <v>0.0</v>
      </c>
      <c r="J3649" s="5" t="str">
        <f t="shared" ref="J3649:K3649" si="3649">SUBSTITUTE(H3649, ",", "")</f>
        <v>0</v>
      </c>
      <c r="K3649" s="5" t="str">
        <f t="shared" si="3649"/>
        <v>Rp0</v>
      </c>
      <c r="L3649" s="5" t="str">
        <f t="shared" si="3"/>
        <v>0</v>
      </c>
    </row>
    <row r="3650">
      <c r="A3650" s="6" t="s">
        <v>3967</v>
      </c>
      <c r="B3650" s="7" t="str">
        <f>HYPERLINK("https://shopee.co.id/Wardah-Lightening-Serum-Ampoule-8Ml-i.353460901.3587494401", "https://shopee.co.id/Wardah-Lightening-Serum-Ampoule-8Ml-i.353460901.3587494401")</f>
        <v>https://shopee.co.id/Wardah-Lightening-Serum-Ampoule-8Ml-i.353460901.3587494401</v>
      </c>
      <c r="C3650" s="6" t="s">
        <v>169</v>
      </c>
      <c r="D3650" s="6" t="s">
        <v>3944</v>
      </c>
      <c r="E3650" s="6" t="s">
        <v>12</v>
      </c>
      <c r="F3650" s="6" t="s">
        <v>13</v>
      </c>
      <c r="G3650" s="6" t="s">
        <v>1480</v>
      </c>
      <c r="H3650" s="8" t="s">
        <v>3981</v>
      </c>
      <c r="I3650" s="9">
        <v>0.0</v>
      </c>
      <c r="J3650" s="5" t="str">
        <f t="shared" ref="J3650:K3650" si="3650">SUBSTITUTE(H3650, ",", "")</f>
        <v>0</v>
      </c>
      <c r="K3650" s="5" t="str">
        <f t="shared" si="3650"/>
        <v>Rp0</v>
      </c>
      <c r="L3650" s="5" t="str">
        <f t="shared" si="3"/>
        <v>0</v>
      </c>
    </row>
    <row r="3651">
      <c r="A3651" s="6" t="s">
        <v>4982</v>
      </c>
      <c r="B3651" s="7" t="str">
        <f>HYPERLINK("https://shopee.co.id/Wardah-Nature-Daily-Witch-Hazel-Purifying-Serum-5x5-ml-i.24819895.5010557035", "https://shopee.co.id/Wardah-Nature-Daily-Witch-Hazel-Purifying-Serum-5x5-ml-i.24819895.5010557035")</f>
        <v>https://shopee.co.id/Wardah-Nature-Daily-Witch-Hazel-Purifying-Serum-5x5-ml-i.24819895.5010557035</v>
      </c>
      <c r="C3651" s="6" t="s">
        <v>169</v>
      </c>
      <c r="D3651" s="6" t="s">
        <v>2491</v>
      </c>
      <c r="E3651" s="6" t="s">
        <v>12</v>
      </c>
      <c r="F3651" s="6" t="s">
        <v>13</v>
      </c>
      <c r="G3651" s="6" t="s">
        <v>1085</v>
      </c>
      <c r="H3651" s="8" t="s">
        <v>3981</v>
      </c>
      <c r="I3651" s="9">
        <v>0.0</v>
      </c>
      <c r="J3651" s="5" t="str">
        <f t="shared" ref="J3651:K3651" si="3651">SUBSTITUTE(H3651, ",", "")</f>
        <v>0</v>
      </c>
      <c r="K3651" s="5" t="str">
        <f t="shared" si="3651"/>
        <v>Rp0</v>
      </c>
      <c r="L3651" s="5" t="str">
        <f t="shared" si="3"/>
        <v>0</v>
      </c>
    </row>
    <row r="3652">
      <c r="A3652" s="6" t="s">
        <v>4983</v>
      </c>
      <c r="B3652" s="7" t="str">
        <f>HYPERLINK("https://shopee.co.id/WARDAH-RENEW-A-AGING-SERUM-17ML-321617--i.16735262.1083449924", "https://shopee.co.id/WARDAH-RENEW-A-AGING-SERUM-17ML-321617--i.16735262.1083449924")</f>
        <v>https://shopee.co.id/WARDAH-RENEW-A-AGING-SERUM-17ML-321617--i.16735262.1083449924</v>
      </c>
      <c r="C3652" s="6" t="s">
        <v>169</v>
      </c>
      <c r="D3652" s="6" t="s">
        <v>3598</v>
      </c>
      <c r="E3652" s="6" t="s">
        <v>12</v>
      </c>
      <c r="F3652" s="6" t="s">
        <v>13</v>
      </c>
      <c r="G3652" s="6" t="s">
        <v>36</v>
      </c>
      <c r="H3652" s="8" t="s">
        <v>3981</v>
      </c>
      <c r="I3652" s="9">
        <v>0.0</v>
      </c>
      <c r="J3652" s="5" t="str">
        <f t="shared" ref="J3652:K3652" si="3652">SUBSTITUTE(H3652, ",", "")</f>
        <v>0</v>
      </c>
      <c r="K3652" s="5" t="str">
        <f t="shared" si="3652"/>
        <v>Rp0</v>
      </c>
      <c r="L3652" s="5" t="str">
        <f t="shared" si="3"/>
        <v>0</v>
      </c>
    </row>
    <row r="3653">
      <c r="A3653" s="6" t="s">
        <v>4984</v>
      </c>
      <c r="B3653" s="7" t="str">
        <f>HYPERLINK("https://shopee.co.id/Wardah-Renew-You-Anti-Aging-Intensive-Serum-i.53887195.885764840", "https://shopee.co.id/Wardah-Renew-You-Anti-Aging-Intensive-Serum-i.53887195.885764840")</f>
        <v>https://shopee.co.id/Wardah-Renew-You-Anti-Aging-Intensive-Serum-i.53887195.885764840</v>
      </c>
      <c r="C3653" s="6" t="s">
        <v>169</v>
      </c>
      <c r="D3653" s="6" t="s">
        <v>1026</v>
      </c>
      <c r="E3653" s="6" t="s">
        <v>12</v>
      </c>
      <c r="F3653" s="6" t="s">
        <v>13</v>
      </c>
      <c r="G3653" s="6" t="s">
        <v>80</v>
      </c>
      <c r="H3653" s="8" t="s">
        <v>3981</v>
      </c>
      <c r="I3653" s="9">
        <v>0.0</v>
      </c>
      <c r="J3653" s="5" t="str">
        <f t="shared" ref="J3653:K3653" si="3653">SUBSTITUTE(H3653, ",", "")</f>
        <v>0</v>
      </c>
      <c r="K3653" s="5" t="str">
        <f t="shared" si="3653"/>
        <v>Rp0</v>
      </c>
      <c r="L3653" s="5" t="str">
        <f t="shared" si="3"/>
        <v>0</v>
      </c>
    </row>
    <row r="3654">
      <c r="A3654" s="6" t="s">
        <v>4985</v>
      </c>
      <c r="B3654" s="7" t="str">
        <f>HYPERLINK("https://shopee.co.id/Wardah-Renew-You-Anti-Aging-Intensive-Serum-17Ml-Serum-Wajah-Anti-Aging-Kulit-Wajah-i.175375997.4008972322", "https://shopee.co.id/Wardah-Renew-You-Anti-Aging-Intensive-Serum-17Ml-Serum-Wajah-Anti-Aging-Kulit-Wajah-i.175375997.4008972322")</f>
        <v>https://shopee.co.id/Wardah-Renew-You-Anti-Aging-Intensive-Serum-17Ml-Serum-Wajah-Anti-Aging-Kulit-Wajah-i.175375997.4008972322</v>
      </c>
      <c r="C3654" s="6" t="s">
        <v>169</v>
      </c>
      <c r="D3654" s="6" t="s">
        <v>2123</v>
      </c>
      <c r="E3654" s="6" t="s">
        <v>12</v>
      </c>
      <c r="F3654" s="6" t="s">
        <v>13</v>
      </c>
      <c r="G3654" s="6" t="s">
        <v>36</v>
      </c>
      <c r="H3654" s="8" t="s">
        <v>3981</v>
      </c>
      <c r="I3654" s="9">
        <v>0.0</v>
      </c>
      <c r="J3654" s="5" t="str">
        <f t="shared" ref="J3654:K3654" si="3654">SUBSTITUTE(H3654, ",", "")</f>
        <v>0</v>
      </c>
      <c r="K3654" s="5" t="str">
        <f t="shared" si="3654"/>
        <v>Rp0</v>
      </c>
      <c r="L3654" s="5" t="str">
        <f t="shared" si="3"/>
        <v>0</v>
      </c>
    </row>
    <row r="3655">
      <c r="A3655" s="6" t="s">
        <v>4985</v>
      </c>
      <c r="B3655" s="7" t="str">
        <f>HYPERLINK("https://shopee.co.id/Wardah-Renew-You-Anti-Aging-Intensive-Serum-17Ml-Serum-Wajah-Anti-Aging-Kulit-Wajah-i.185943783.6733263718", "https://shopee.co.id/Wardah-Renew-You-Anti-Aging-Intensive-Serum-17Ml-Serum-Wajah-Anti-Aging-Kulit-Wajah-i.185943783.6733263718")</f>
        <v>https://shopee.co.id/Wardah-Renew-You-Anti-Aging-Intensive-Serum-17Ml-Serum-Wajah-Anti-Aging-Kulit-Wajah-i.185943783.6733263718</v>
      </c>
      <c r="C3655" s="6" t="s">
        <v>169</v>
      </c>
      <c r="D3655" s="6" t="s">
        <v>3429</v>
      </c>
      <c r="E3655" s="6" t="s">
        <v>12</v>
      </c>
      <c r="F3655" s="6" t="s">
        <v>13</v>
      </c>
      <c r="G3655" s="6" t="s">
        <v>36</v>
      </c>
      <c r="H3655" s="8" t="s">
        <v>3981</v>
      </c>
      <c r="I3655" s="9">
        <v>0.0</v>
      </c>
      <c r="J3655" s="5" t="str">
        <f t="shared" ref="J3655:K3655" si="3655">SUBSTITUTE(H3655, ",", "")</f>
        <v>0</v>
      </c>
      <c r="K3655" s="5" t="str">
        <f t="shared" si="3655"/>
        <v>Rp0</v>
      </c>
      <c r="L3655" s="5" t="str">
        <f t="shared" si="3"/>
        <v>0</v>
      </c>
    </row>
    <row r="3656">
      <c r="A3656" s="6" t="s">
        <v>4986</v>
      </c>
      <c r="B3656" s="7" t="str">
        <f>HYPERLINK("https://shopee.co.id/Wardah-Renew-You-Anti-Aging-Treatment-Essence-100-ML-i.114789399.5627650759", "https://shopee.co.id/Wardah-Renew-You-Anti-Aging-Treatment-Essence-100-ML-i.114789399.5627650759")</f>
        <v>https://shopee.co.id/Wardah-Renew-You-Anti-Aging-Treatment-Essence-100-ML-i.114789399.5627650759</v>
      </c>
      <c r="C3656" s="6" t="s">
        <v>169</v>
      </c>
      <c r="D3656" s="6" t="s">
        <v>2531</v>
      </c>
      <c r="E3656" s="6" t="s">
        <v>12</v>
      </c>
      <c r="F3656" s="6" t="s">
        <v>13</v>
      </c>
      <c r="G3656" s="6" t="s">
        <v>36</v>
      </c>
      <c r="H3656" s="8" t="s">
        <v>3981</v>
      </c>
      <c r="I3656" s="9">
        <v>0.0</v>
      </c>
      <c r="J3656" s="5" t="str">
        <f t="shared" ref="J3656:K3656" si="3656">SUBSTITUTE(H3656, ",", "")</f>
        <v>0</v>
      </c>
      <c r="K3656" s="5" t="str">
        <f t="shared" si="3656"/>
        <v>Rp0</v>
      </c>
      <c r="L3656" s="5" t="str">
        <f t="shared" si="3"/>
        <v>0</v>
      </c>
    </row>
    <row r="3657">
      <c r="A3657" s="6" t="s">
        <v>4987</v>
      </c>
      <c r="B3657" s="7" t="str">
        <f>HYPERLINK("https://shopee.co.id/Wardah-Renew-You-Anti-Anging-Intensive-Serum-17Ml-i.353462148.6069165852", "https://shopee.co.id/Wardah-Renew-You-Anti-Anging-Intensive-Serum-17Ml-i.353462148.6069165852")</f>
        <v>https://shopee.co.id/Wardah-Renew-You-Anti-Anging-Intensive-Serum-17Ml-i.353462148.6069165852</v>
      </c>
      <c r="C3657" s="6" t="s">
        <v>169</v>
      </c>
      <c r="D3657" s="6" t="s">
        <v>4639</v>
      </c>
      <c r="E3657" s="6" t="s">
        <v>12</v>
      </c>
      <c r="F3657" s="6" t="s">
        <v>13</v>
      </c>
      <c r="G3657" s="6" t="s">
        <v>945</v>
      </c>
      <c r="H3657" s="8" t="s">
        <v>3981</v>
      </c>
      <c r="I3657" s="9">
        <v>0.0</v>
      </c>
      <c r="J3657" s="5" t="str">
        <f t="shared" ref="J3657:K3657" si="3657">SUBSTITUTE(H3657, ",", "")</f>
        <v>0</v>
      </c>
      <c r="K3657" s="5" t="str">
        <f t="shared" si="3657"/>
        <v>Rp0</v>
      </c>
      <c r="L3657" s="5" t="str">
        <f t="shared" si="3"/>
        <v>0</v>
      </c>
    </row>
    <row r="3658">
      <c r="A3658" s="6" t="s">
        <v>4988</v>
      </c>
      <c r="B3658" s="7" t="str">
        <f>HYPERLINK("https://shopee.co.id/Wardah-Renew-You-Treatment-Essence-100ml-i.121791179.7131747782", "https://shopee.co.id/Wardah-Renew-You-Treatment-Essence-100ml-i.121791179.7131747782")</f>
        <v>https://shopee.co.id/Wardah-Renew-You-Treatment-Essence-100ml-i.121791179.7131747782</v>
      </c>
      <c r="C3658" s="6" t="s">
        <v>169</v>
      </c>
      <c r="D3658" s="6" t="s">
        <v>1733</v>
      </c>
      <c r="E3658" s="6" t="s">
        <v>12</v>
      </c>
      <c r="F3658" s="6" t="s">
        <v>13</v>
      </c>
      <c r="G3658" s="6" t="s">
        <v>36</v>
      </c>
      <c r="H3658" s="8" t="s">
        <v>3981</v>
      </c>
      <c r="I3658" s="9">
        <v>0.0</v>
      </c>
      <c r="J3658" s="5" t="str">
        <f t="shared" ref="J3658:K3658" si="3658">SUBSTITUTE(H3658, ",", "")</f>
        <v>0</v>
      </c>
      <c r="K3658" s="5" t="str">
        <f t="shared" si="3658"/>
        <v>Rp0</v>
      </c>
      <c r="L3658" s="5" t="str">
        <f t="shared" si="3"/>
        <v>0</v>
      </c>
    </row>
    <row r="3659">
      <c r="A3659" s="6" t="s">
        <v>4989</v>
      </c>
      <c r="B3659" s="7" t="str">
        <f>HYPERLINK("https://shopee.co.id/Wardah-Renew-You-Treatment-Essence-100Ml-i.175375997.6823910086", "https://shopee.co.id/Wardah-Renew-You-Treatment-Essence-100Ml-i.175375997.6823910086")</f>
        <v>https://shopee.co.id/Wardah-Renew-You-Treatment-Essence-100Ml-i.175375997.6823910086</v>
      </c>
      <c r="C3659" s="6" t="s">
        <v>169</v>
      </c>
      <c r="D3659" s="6" t="s">
        <v>2123</v>
      </c>
      <c r="E3659" s="6" t="s">
        <v>12</v>
      </c>
      <c r="F3659" s="6" t="s">
        <v>13</v>
      </c>
      <c r="G3659" s="6" t="s">
        <v>36</v>
      </c>
      <c r="H3659" s="8" t="s">
        <v>3981</v>
      </c>
      <c r="I3659" s="9">
        <v>0.0</v>
      </c>
      <c r="J3659" s="5" t="str">
        <f t="shared" ref="J3659:K3659" si="3659">SUBSTITUTE(H3659, ",", "")</f>
        <v>0</v>
      </c>
      <c r="K3659" s="5" t="str">
        <f t="shared" si="3659"/>
        <v>Rp0</v>
      </c>
      <c r="L3659" s="5" t="str">
        <f t="shared" si="3"/>
        <v>0</v>
      </c>
    </row>
    <row r="3660">
      <c r="A3660" s="6" t="s">
        <v>4988</v>
      </c>
      <c r="B3660" s="7" t="str">
        <f>HYPERLINK("https://shopee.co.id/Wardah-Renew-You-Treatment-Essence-100ml-i.24819895.7210206937", "https://shopee.co.id/Wardah-Renew-You-Treatment-Essence-100ml-i.24819895.7210206937")</f>
        <v>https://shopee.co.id/Wardah-Renew-You-Treatment-Essence-100ml-i.24819895.7210206937</v>
      </c>
      <c r="C3660" s="6" t="s">
        <v>169</v>
      </c>
      <c r="D3660" s="6" t="s">
        <v>2491</v>
      </c>
      <c r="E3660" s="6" t="s">
        <v>12</v>
      </c>
      <c r="F3660" s="6" t="s">
        <v>13</v>
      </c>
      <c r="G3660" s="6" t="s">
        <v>1085</v>
      </c>
      <c r="H3660" s="8" t="s">
        <v>3981</v>
      </c>
      <c r="I3660" s="9">
        <v>0.0</v>
      </c>
      <c r="J3660" s="5" t="str">
        <f t="shared" ref="J3660:K3660" si="3660">SUBSTITUTE(H3660, ",", "")</f>
        <v>0</v>
      </c>
      <c r="K3660" s="5" t="str">
        <f t="shared" si="3660"/>
        <v>Rp0</v>
      </c>
      <c r="L3660" s="5" t="str">
        <f t="shared" si="3"/>
        <v>0</v>
      </c>
    </row>
    <row r="3661">
      <c r="A3661" s="6" t="s">
        <v>4990</v>
      </c>
      <c r="B3661" s="7" t="str">
        <f>HYPERLINK("https://shopee.co.id/WARDAH-Renew-You-Treatment-Essence-50-ml-dan-100-ml-i.187117294.5142395653", "https://shopee.co.id/WARDAH-Renew-You-Treatment-Essence-50-ml-dan-100-ml-i.187117294.5142395653")</f>
        <v>https://shopee.co.id/WARDAH-Renew-You-Treatment-Essence-50-ml-dan-100-ml-i.187117294.5142395653</v>
      </c>
      <c r="C3661" s="6" t="s">
        <v>169</v>
      </c>
      <c r="D3661" s="6" t="s">
        <v>2366</v>
      </c>
      <c r="E3661" s="6" t="s">
        <v>12</v>
      </c>
      <c r="F3661" s="6" t="s">
        <v>13</v>
      </c>
      <c r="G3661" s="6" t="s">
        <v>469</v>
      </c>
      <c r="H3661" s="8" t="s">
        <v>3981</v>
      </c>
      <c r="I3661" s="9">
        <v>0.0</v>
      </c>
      <c r="J3661" s="5" t="str">
        <f t="shared" ref="J3661:K3661" si="3661">SUBSTITUTE(H3661, ",", "")</f>
        <v>0</v>
      </c>
      <c r="K3661" s="5" t="str">
        <f t="shared" si="3661"/>
        <v>Rp0</v>
      </c>
      <c r="L3661" s="5" t="str">
        <f t="shared" si="3"/>
        <v>0</v>
      </c>
    </row>
    <row r="3662">
      <c r="A3662" s="6" t="s">
        <v>4991</v>
      </c>
      <c r="B3662" s="7" t="str">
        <f>HYPERLINK("https://shopee.co.id/Wardah-White-Secret-Intense-Brightening-Essence-17ml-i.277377659.7552495259", "https://shopee.co.id/Wardah-White-Secret-Intense-Brightening-Essence-17ml-i.277377659.7552495259")</f>
        <v>https://shopee.co.id/Wardah-White-Secret-Intense-Brightening-Essence-17ml-i.277377659.7552495259</v>
      </c>
      <c r="C3662" s="6" t="s">
        <v>169</v>
      </c>
      <c r="D3662" s="6" t="s">
        <v>2549</v>
      </c>
      <c r="E3662" s="6" t="s">
        <v>12</v>
      </c>
      <c r="F3662" s="6" t="s">
        <v>13</v>
      </c>
      <c r="G3662" s="6" t="s">
        <v>532</v>
      </c>
      <c r="H3662" s="8" t="s">
        <v>3981</v>
      </c>
      <c r="I3662" s="9">
        <v>0.0</v>
      </c>
      <c r="J3662" s="5" t="str">
        <f t="shared" ref="J3662:K3662" si="3662">SUBSTITUTE(H3662, ",", "")</f>
        <v>0</v>
      </c>
      <c r="K3662" s="5" t="str">
        <f t="shared" si="3662"/>
        <v>Rp0</v>
      </c>
      <c r="L3662" s="5" t="str">
        <f t="shared" si="3"/>
        <v>0</v>
      </c>
    </row>
    <row r="3663">
      <c r="A3663" s="6" t="s">
        <v>4992</v>
      </c>
      <c r="B3663" s="7" t="str">
        <f>HYPERLINK("https://shopee.co.id/Wardah-White-Secret-Intense-Brightening-Essense-i.53887195.5439530096", "https://shopee.co.id/Wardah-White-Secret-Intense-Brightening-Essense-i.53887195.5439530096")</f>
        <v>https://shopee.co.id/Wardah-White-Secret-Intense-Brightening-Essense-i.53887195.5439530096</v>
      </c>
      <c r="C3663" s="6" t="s">
        <v>169</v>
      </c>
      <c r="D3663" s="6" t="s">
        <v>1026</v>
      </c>
      <c r="E3663" s="6" t="s">
        <v>12</v>
      </c>
      <c r="F3663" s="6" t="s">
        <v>13</v>
      </c>
      <c r="G3663" s="6" t="s">
        <v>80</v>
      </c>
      <c r="H3663" s="8" t="s">
        <v>3981</v>
      </c>
      <c r="I3663" s="9">
        <v>0.0</v>
      </c>
      <c r="J3663" s="5" t="str">
        <f t="shared" ref="J3663:K3663" si="3663">SUBSTITUTE(H3663, ",", "")</f>
        <v>0</v>
      </c>
      <c r="K3663" s="5" t="str">
        <f t="shared" si="3663"/>
        <v>Rp0</v>
      </c>
      <c r="L3663" s="5" t="str">
        <f t="shared" si="3"/>
        <v>0</v>
      </c>
    </row>
    <row r="3664">
      <c r="A3664" s="6" t="s">
        <v>4993</v>
      </c>
      <c r="B3664" s="7" t="str">
        <f>HYPERLINK("https://shopee.co.id/Wardah-White-Secret-Pure-Treatment-Essence-408126--i.16735262.1083483165", "https://shopee.co.id/Wardah-White-Secret-Pure-Treatment-Essence-408126--i.16735262.1083483165")</f>
        <v>https://shopee.co.id/Wardah-White-Secret-Pure-Treatment-Essence-408126--i.16735262.1083483165</v>
      </c>
      <c r="C3664" s="6" t="s">
        <v>169</v>
      </c>
      <c r="D3664" s="6" t="s">
        <v>3598</v>
      </c>
      <c r="E3664" s="6" t="s">
        <v>12</v>
      </c>
      <c r="F3664" s="6" t="s">
        <v>13</v>
      </c>
      <c r="G3664" s="6" t="s">
        <v>36</v>
      </c>
      <c r="H3664" s="8" t="s">
        <v>3981</v>
      </c>
      <c r="I3664" s="9">
        <v>0.0</v>
      </c>
      <c r="J3664" s="5" t="str">
        <f t="shared" ref="J3664:K3664" si="3664">SUBSTITUTE(H3664, ",", "")</f>
        <v>0</v>
      </c>
      <c r="K3664" s="5" t="str">
        <f t="shared" si="3664"/>
        <v>Rp0</v>
      </c>
      <c r="L3664" s="5" t="str">
        <f t="shared" si="3"/>
        <v>0</v>
      </c>
    </row>
    <row r="3665">
      <c r="A3665" s="6" t="s">
        <v>4994</v>
      </c>
      <c r="B3665" s="7" t="str">
        <f>HYPERLINK("https://shopee.co.id/WARDAH-White-Secret-Pure-Treatment-Essence-100Ml-i.187117294.4548238982", "https://shopee.co.id/WARDAH-White-Secret-Pure-Treatment-Essence-100Ml-i.187117294.4548238982")</f>
        <v>https://shopee.co.id/WARDAH-White-Secret-Pure-Treatment-Essence-100Ml-i.187117294.4548238982</v>
      </c>
      <c r="C3665" s="6" t="s">
        <v>169</v>
      </c>
      <c r="D3665" s="6" t="s">
        <v>2366</v>
      </c>
      <c r="E3665" s="6" t="s">
        <v>12</v>
      </c>
      <c r="F3665" s="6" t="s">
        <v>13</v>
      </c>
      <c r="G3665" s="6" t="s">
        <v>469</v>
      </c>
      <c r="H3665" s="8" t="s">
        <v>3981</v>
      </c>
      <c r="I3665" s="9">
        <v>0.0</v>
      </c>
      <c r="J3665" s="5" t="str">
        <f t="shared" ref="J3665:K3665" si="3665">SUBSTITUTE(H3665, ",", "")</f>
        <v>0</v>
      </c>
      <c r="K3665" s="5" t="str">
        <f t="shared" si="3665"/>
        <v>Rp0</v>
      </c>
      <c r="L3665" s="5" t="str">
        <f t="shared" si="3"/>
        <v>0</v>
      </c>
    </row>
    <row r="3666">
      <c r="A3666" s="6" t="s">
        <v>4995</v>
      </c>
      <c r="B3666" s="7" t="str">
        <f>HYPERLINK("https://shopee.co.id/Wardah-White-Secret-Pure-Treatment-Essence-50Ml-i.353462148.5392600229", "https://shopee.co.id/Wardah-White-Secret-Pure-Treatment-Essence-50Ml-i.353462148.5392600229")</f>
        <v>https://shopee.co.id/Wardah-White-Secret-Pure-Treatment-Essence-50Ml-i.353462148.5392600229</v>
      </c>
      <c r="C3666" s="6" t="s">
        <v>169</v>
      </c>
      <c r="D3666" s="6" t="s">
        <v>4639</v>
      </c>
      <c r="E3666" s="6" t="s">
        <v>12</v>
      </c>
      <c r="F3666" s="6" t="s">
        <v>13</v>
      </c>
      <c r="G3666" s="6" t="s">
        <v>945</v>
      </c>
      <c r="H3666" s="8" t="s">
        <v>3981</v>
      </c>
      <c r="I3666" s="9">
        <v>0.0</v>
      </c>
      <c r="J3666" s="5" t="str">
        <f t="shared" ref="J3666:K3666" si="3666">SUBSTITUTE(H3666, ",", "")</f>
        <v>0</v>
      </c>
      <c r="K3666" s="5" t="str">
        <f t="shared" si="3666"/>
        <v>Rp0</v>
      </c>
      <c r="L3666" s="5" t="str">
        <f t="shared" si="3"/>
        <v>0</v>
      </c>
    </row>
    <row r="3667">
      <c r="A3667" s="6" t="s">
        <v>4996</v>
      </c>
      <c r="B3667" s="7" t="str">
        <f>HYPERLINK("https://shopee.co.id/WARDAH-White-Secret-Pure-Treatment-Essence-50ml-i.187117294.5848237460", "https://shopee.co.id/WARDAH-White-Secret-Pure-Treatment-Essence-50ml-i.187117294.5848237460")</f>
        <v>https://shopee.co.id/WARDAH-White-Secret-Pure-Treatment-Essence-50ml-i.187117294.5848237460</v>
      </c>
      <c r="C3667" s="6" t="s">
        <v>169</v>
      </c>
      <c r="D3667" s="6" t="s">
        <v>2366</v>
      </c>
      <c r="E3667" s="6" t="s">
        <v>12</v>
      </c>
      <c r="F3667" s="6" t="s">
        <v>13</v>
      </c>
      <c r="G3667" s="6" t="s">
        <v>469</v>
      </c>
      <c r="H3667" s="8" t="s">
        <v>3981</v>
      </c>
      <c r="I3667" s="9">
        <v>0.0</v>
      </c>
      <c r="J3667" s="5" t="str">
        <f t="shared" ref="J3667:K3667" si="3667">SUBSTITUTE(H3667, ",", "")</f>
        <v>0</v>
      </c>
      <c r="K3667" s="5" t="str">
        <f t="shared" si="3667"/>
        <v>Rp0</v>
      </c>
      <c r="L3667" s="5" t="str">
        <f t="shared" si="3"/>
        <v>0</v>
      </c>
    </row>
    <row r="3668">
      <c r="A3668" s="6" t="s">
        <v>4997</v>
      </c>
      <c r="B3668" s="7" t="str">
        <f>HYPERLINK("https://shopee.co.id/Wardah-White-Secret-Pure-Treatment-Essence-50ml-421310--i.16735262.5048483948", "https://shopee.co.id/Wardah-White-Secret-Pure-Treatment-Essence-50ml-421310--i.16735262.5048483948")</f>
        <v>https://shopee.co.id/Wardah-White-Secret-Pure-Treatment-Essence-50ml-421310--i.16735262.5048483948</v>
      </c>
      <c r="C3668" s="6" t="s">
        <v>169</v>
      </c>
      <c r="D3668" s="6" t="s">
        <v>3598</v>
      </c>
      <c r="E3668" s="6" t="s">
        <v>12</v>
      </c>
      <c r="F3668" s="6" t="s">
        <v>13</v>
      </c>
      <c r="G3668" s="6" t="s">
        <v>36</v>
      </c>
      <c r="H3668" s="8" t="s">
        <v>3981</v>
      </c>
      <c r="I3668" s="9">
        <v>0.0</v>
      </c>
      <c r="J3668" s="5" t="str">
        <f t="shared" ref="J3668:K3668" si="3668">SUBSTITUTE(H3668, ",", "")</f>
        <v>0</v>
      </c>
      <c r="K3668" s="5" t="str">
        <f t="shared" si="3668"/>
        <v>Rp0</v>
      </c>
      <c r="L3668" s="5" t="str">
        <f t="shared" si="3"/>
        <v>0</v>
      </c>
    </row>
    <row r="3669">
      <c r="A3669" s="6" t="s">
        <v>4998</v>
      </c>
      <c r="B3669" s="7" t="str">
        <f>HYPERLINK("https://shopee.co.id/Westcare-Bounce-Glow-Serum-30ml-i.825870.4549345246", "https://shopee.co.id/Westcare-Bounce-Glow-Serum-30ml-i.825870.4549345246")</f>
        <v>https://shopee.co.id/Westcare-Bounce-Glow-Serum-30ml-i.825870.4549345246</v>
      </c>
      <c r="C3669" s="6" t="s">
        <v>1402</v>
      </c>
      <c r="D3669" s="6" t="s">
        <v>1184</v>
      </c>
      <c r="E3669" s="6" t="s">
        <v>12</v>
      </c>
      <c r="F3669" s="6" t="s">
        <v>13</v>
      </c>
      <c r="G3669" s="6" t="s">
        <v>21</v>
      </c>
      <c r="H3669" s="8" t="s">
        <v>3981</v>
      </c>
      <c r="I3669" s="9">
        <v>0.0</v>
      </c>
      <c r="J3669" s="5" t="str">
        <f t="shared" ref="J3669:K3669" si="3669">SUBSTITUTE(H3669, ",", "")</f>
        <v>0</v>
      </c>
      <c r="K3669" s="5" t="str">
        <f t="shared" si="3669"/>
        <v>Rp0</v>
      </c>
      <c r="L3669" s="5" t="str">
        <f t="shared" si="3"/>
        <v>0</v>
      </c>
    </row>
    <row r="3670">
      <c r="A3670" s="6" t="s">
        <v>4999</v>
      </c>
      <c r="B3670" s="7" t="str">
        <f>HYPERLINK("https://shopee.co.id/WESTCARE-Bounce-and-Glow-Serum-i.187117294.6668500916", "https://shopee.co.id/WESTCARE-Bounce-and-Glow-Serum-i.187117294.6668500916")</f>
        <v>https://shopee.co.id/WESTCARE-Bounce-and-Glow-Serum-i.187117294.6668500916</v>
      </c>
      <c r="C3670" s="6" t="s">
        <v>1402</v>
      </c>
      <c r="D3670" s="6" t="s">
        <v>2366</v>
      </c>
      <c r="E3670" s="6" t="s">
        <v>12</v>
      </c>
      <c r="F3670" s="6" t="s">
        <v>13</v>
      </c>
      <c r="G3670" s="6" t="s">
        <v>469</v>
      </c>
      <c r="H3670" s="8" t="s">
        <v>3981</v>
      </c>
      <c r="I3670" s="9">
        <v>0.0</v>
      </c>
      <c r="J3670" s="5" t="str">
        <f t="shared" ref="J3670:K3670" si="3670">SUBSTITUTE(H3670, ",", "")</f>
        <v>0</v>
      </c>
      <c r="K3670" s="5" t="str">
        <f t="shared" si="3670"/>
        <v>Rp0</v>
      </c>
      <c r="L3670" s="5" t="str">
        <f t="shared" si="3"/>
        <v>0</v>
      </c>
    </row>
    <row r="3671">
      <c r="A3671" s="6" t="s">
        <v>5000</v>
      </c>
      <c r="B3671" s="7" t="str">
        <f>HYPERLINK("https://shopee.co.id/White-Esther-Temulawak-Whitening-Face-Serumoriginal-Face-Serum-Temulawak-White-Esther-20Ml-i.53887195.3935369816", "https://shopee.co.id/White-Esther-Temulawak-Whitening-Face-Serumoriginal-Face-Serum-Temulawak-White-Esther-20Ml-i.53887195.3935369816")</f>
        <v>https://shopee.co.id/White-Esther-Temulawak-Whitening-Face-Serumoriginal-Face-Serum-Temulawak-White-Esther-20Ml-i.53887195.3935369816</v>
      </c>
      <c r="C3671" s="6" t="s">
        <v>5001</v>
      </c>
      <c r="D3671" s="6" t="s">
        <v>1026</v>
      </c>
      <c r="E3671" s="6" t="s">
        <v>12</v>
      </c>
      <c r="F3671" s="6" t="s">
        <v>13</v>
      </c>
      <c r="G3671" s="6" t="s">
        <v>80</v>
      </c>
      <c r="H3671" s="8" t="s">
        <v>3981</v>
      </c>
      <c r="I3671" s="9">
        <v>0.0</v>
      </c>
      <c r="J3671" s="5" t="str">
        <f t="shared" ref="J3671:K3671" si="3671">SUBSTITUTE(H3671, ",", "")</f>
        <v>0</v>
      </c>
      <c r="K3671" s="5" t="str">
        <f t="shared" si="3671"/>
        <v>Rp0</v>
      </c>
      <c r="L3671" s="5" t="str">
        <f t="shared" si="3"/>
        <v>0</v>
      </c>
    </row>
    <row r="3672">
      <c r="A3672" s="6" t="s">
        <v>5002</v>
      </c>
      <c r="B3672" s="7" t="str">
        <f>HYPERLINK("https://shopee.co.id/White-Secret-Intense-Brightening-Twin-Pack-i.59763733.6257961046", "https://shopee.co.id/White-Secret-Intense-Brightening-Twin-Pack-i.59763733.6257961046")</f>
        <v>https://shopee.co.id/White-Secret-Intense-Brightening-Twin-Pack-i.59763733.6257961046</v>
      </c>
      <c r="C3672" s="6" t="s">
        <v>169</v>
      </c>
      <c r="D3672" s="6" t="s">
        <v>170</v>
      </c>
      <c r="E3672" s="6" t="s">
        <v>12</v>
      </c>
      <c r="F3672" s="6" t="s">
        <v>13</v>
      </c>
      <c r="G3672" s="6" t="s">
        <v>98</v>
      </c>
      <c r="H3672" s="8" t="s">
        <v>3981</v>
      </c>
      <c r="I3672" s="9">
        <v>0.0</v>
      </c>
      <c r="J3672" s="5" t="str">
        <f t="shared" ref="J3672:K3672" si="3672">SUBSTITUTE(H3672, ",", "")</f>
        <v>0</v>
      </c>
      <c r="K3672" s="5" t="str">
        <f t="shared" si="3672"/>
        <v>Rp0</v>
      </c>
      <c r="L3672" s="5" t="str">
        <f t="shared" si="3"/>
        <v>0</v>
      </c>
    </row>
    <row r="3673">
      <c r="A3673" s="6" t="s">
        <v>5003</v>
      </c>
      <c r="B3673" s="7" t="str">
        <f>HYPERLINK("https://shopee.co.id/White-Story-Acne-Soothing-Serum-Bundling-5--i.405973920.8463228273", "https://shopee.co.id/White-Story-Acne-Soothing-Serum-Bundling-5--i.405973920.8463228273")</f>
        <v>https://shopee.co.id/White-Story-Acne-Soothing-Serum-Bundling-5--i.405973920.8463228273</v>
      </c>
      <c r="C3673" s="6" t="s">
        <v>55</v>
      </c>
      <c r="D3673" s="6" t="s">
        <v>56</v>
      </c>
      <c r="E3673" s="6" t="s">
        <v>12</v>
      </c>
      <c r="F3673" s="6" t="s">
        <v>13</v>
      </c>
      <c r="G3673" s="6" t="s">
        <v>36</v>
      </c>
      <c r="H3673" s="8" t="s">
        <v>3981</v>
      </c>
      <c r="I3673" s="9">
        <v>0.0</v>
      </c>
      <c r="J3673" s="5" t="str">
        <f t="shared" ref="J3673:K3673" si="3673">SUBSTITUTE(H3673, ",", "")</f>
        <v>0</v>
      </c>
      <c r="K3673" s="5" t="str">
        <f t="shared" si="3673"/>
        <v>Rp0</v>
      </c>
      <c r="L3673" s="5" t="str">
        <f t="shared" si="3"/>
        <v>0</v>
      </c>
    </row>
    <row r="3674">
      <c r="A3674" s="6" t="s">
        <v>144</v>
      </c>
      <c r="B3674" s="7" t="str">
        <f>HYPERLINK("https://shopee.co.id/Whitelab-Acne-Calming-Serum-i.110573301.9615709152", "https://shopee.co.id/Whitelab-Acne-Calming-Serum-i.110573301.9615709152")</f>
        <v>https://shopee.co.id/Whitelab-Acne-Calming-Serum-i.110573301.9615709152</v>
      </c>
      <c r="C3674" s="6" t="s">
        <v>59</v>
      </c>
      <c r="D3674" s="6" t="s">
        <v>227</v>
      </c>
      <c r="E3674" s="6" t="s">
        <v>12</v>
      </c>
      <c r="F3674" s="6" t="s">
        <v>13</v>
      </c>
      <c r="G3674" s="6" t="s">
        <v>61</v>
      </c>
      <c r="H3674" s="8" t="s">
        <v>3981</v>
      </c>
      <c r="I3674" s="9">
        <v>0.0</v>
      </c>
      <c r="J3674" s="5" t="str">
        <f t="shared" ref="J3674:K3674" si="3674">SUBSTITUTE(H3674, ",", "")</f>
        <v>0</v>
      </c>
      <c r="K3674" s="5" t="str">
        <f t="shared" si="3674"/>
        <v>Rp0</v>
      </c>
      <c r="L3674" s="5" t="str">
        <f t="shared" si="3"/>
        <v>0</v>
      </c>
    </row>
    <row r="3675">
      <c r="A3675" s="6" t="s">
        <v>5004</v>
      </c>
      <c r="B3675" s="7" t="str">
        <f>HYPERLINK("https://shopee.co.id/WHITELAB-ACNE-SERUM-i.187117294.6570294738", "https://shopee.co.id/WHITELAB-ACNE-SERUM-i.187117294.6570294738")</f>
        <v>https://shopee.co.id/WHITELAB-ACNE-SERUM-i.187117294.6570294738</v>
      </c>
      <c r="C3675" s="6" t="s">
        <v>59</v>
      </c>
      <c r="D3675" s="6" t="s">
        <v>2366</v>
      </c>
      <c r="E3675" s="6" t="s">
        <v>12</v>
      </c>
      <c r="F3675" s="6" t="s">
        <v>13</v>
      </c>
      <c r="G3675" s="6" t="s">
        <v>469</v>
      </c>
      <c r="H3675" s="8" t="s">
        <v>3981</v>
      </c>
      <c r="I3675" s="9">
        <v>0.0</v>
      </c>
      <c r="J3675" s="5" t="str">
        <f t="shared" ref="J3675:K3675" si="3675">SUBSTITUTE(H3675, ",", "")</f>
        <v>0</v>
      </c>
      <c r="K3675" s="5" t="str">
        <f t="shared" si="3675"/>
        <v>Rp0</v>
      </c>
      <c r="L3675" s="5" t="str">
        <f t="shared" si="3"/>
        <v>0</v>
      </c>
    </row>
    <row r="3676">
      <c r="A3676" s="6" t="s">
        <v>5005</v>
      </c>
      <c r="B3676" s="7" t="str">
        <f>HYPERLINK("https://shopee.co.id/Whitelab-Brightening-Body-Serum-Brightening-Face-Serum-i.201071840.3513228147", "https://shopee.co.id/Whitelab-Brightening-Body-Serum-Brightening-Face-Serum-i.201071840.3513228147")</f>
        <v>https://shopee.co.id/Whitelab-Brightening-Body-Serum-Brightening-Face-Serum-i.201071840.3513228147</v>
      </c>
      <c r="C3676" s="6" t="s">
        <v>59</v>
      </c>
      <c r="D3676" s="6" t="s">
        <v>60</v>
      </c>
      <c r="E3676" s="6" t="s">
        <v>12</v>
      </c>
      <c r="F3676" s="6" t="s">
        <v>13</v>
      </c>
      <c r="G3676" s="6" t="s">
        <v>61</v>
      </c>
      <c r="H3676" s="8" t="s">
        <v>3981</v>
      </c>
      <c r="I3676" s="9">
        <v>0.0</v>
      </c>
      <c r="J3676" s="5" t="str">
        <f t="shared" ref="J3676:K3676" si="3676">SUBSTITUTE(H3676, ",", "")</f>
        <v>0</v>
      </c>
      <c r="K3676" s="5" t="str">
        <f t="shared" si="3676"/>
        <v>Rp0</v>
      </c>
      <c r="L3676" s="5" t="str">
        <f t="shared" si="3"/>
        <v>0</v>
      </c>
    </row>
    <row r="3677">
      <c r="A3677" s="6" t="s">
        <v>5006</v>
      </c>
      <c r="B3677" s="7" t="str">
        <f>HYPERLINK("https://shopee.co.id/Whitelab-Brightening-Face-Serum-Hydrating-Face-Essence-i.201071840.8470496700", "https://shopee.co.id/Whitelab-Brightening-Face-Serum-Hydrating-Face-Essence-i.201071840.8470496700")</f>
        <v>https://shopee.co.id/Whitelab-Brightening-Face-Serum-Hydrating-Face-Essence-i.201071840.8470496700</v>
      </c>
      <c r="C3677" s="6" t="s">
        <v>59</v>
      </c>
      <c r="D3677" s="6" t="s">
        <v>60</v>
      </c>
      <c r="E3677" s="6" t="s">
        <v>12</v>
      </c>
      <c r="F3677" s="6" t="s">
        <v>13</v>
      </c>
      <c r="G3677" s="6" t="s">
        <v>61</v>
      </c>
      <c r="H3677" s="8" t="s">
        <v>3981</v>
      </c>
      <c r="I3677" s="9">
        <v>0.0</v>
      </c>
      <c r="J3677" s="5" t="str">
        <f t="shared" ref="J3677:K3677" si="3677">SUBSTITUTE(H3677, ",", "")</f>
        <v>0</v>
      </c>
      <c r="K3677" s="5" t="str">
        <f t="shared" si="3677"/>
        <v>Rp0</v>
      </c>
      <c r="L3677" s="5" t="str">
        <f t="shared" si="3"/>
        <v>0</v>
      </c>
    </row>
    <row r="3678">
      <c r="A3678" s="6" t="s">
        <v>5007</v>
      </c>
      <c r="B3678" s="7" t="str">
        <f>HYPERLINK("https://shopee.co.id/Whitelab-Brightening-Night-Cream-Brightening-Face-Serum-i.201071840.4413131860", "https://shopee.co.id/Whitelab-Brightening-Night-Cream-Brightening-Face-Serum-i.201071840.4413131860")</f>
        <v>https://shopee.co.id/Whitelab-Brightening-Night-Cream-Brightening-Face-Serum-i.201071840.4413131860</v>
      </c>
      <c r="C3678" s="6" t="s">
        <v>59</v>
      </c>
      <c r="D3678" s="6" t="s">
        <v>60</v>
      </c>
      <c r="E3678" s="6" t="s">
        <v>12</v>
      </c>
      <c r="F3678" s="6" t="s">
        <v>13</v>
      </c>
      <c r="G3678" s="6" t="s">
        <v>61</v>
      </c>
      <c r="H3678" s="8" t="s">
        <v>3981</v>
      </c>
      <c r="I3678" s="9">
        <v>0.0</v>
      </c>
      <c r="J3678" s="5" t="str">
        <f t="shared" ref="J3678:K3678" si="3678">SUBSTITUTE(H3678, ",", "")</f>
        <v>0</v>
      </c>
      <c r="K3678" s="5" t="str">
        <f t="shared" si="3678"/>
        <v>Rp0</v>
      </c>
      <c r="L3678" s="5" t="str">
        <f t="shared" si="3"/>
        <v>0</v>
      </c>
    </row>
    <row r="3679">
      <c r="A3679" s="6" t="s">
        <v>5008</v>
      </c>
      <c r="B3679" s="7" t="str">
        <f>HYPERLINK("https://shopee.co.id/Whitelab-Granactive-Retinoid-Intensive-Care-Serum-15ml-i.825870.4983139783", "https://shopee.co.id/Whitelab-Granactive-Retinoid-Intensive-Care-Serum-15ml-i.825870.4983139783")</f>
        <v>https://shopee.co.id/Whitelab-Granactive-Retinoid-Intensive-Care-Serum-15ml-i.825870.4983139783</v>
      </c>
      <c r="C3679" s="6" t="s">
        <v>59</v>
      </c>
      <c r="D3679" s="6" t="s">
        <v>1184</v>
      </c>
      <c r="E3679" s="6" t="s">
        <v>12</v>
      </c>
      <c r="F3679" s="6" t="s">
        <v>13</v>
      </c>
      <c r="G3679" s="6" t="s">
        <v>21</v>
      </c>
      <c r="H3679" s="8" t="s">
        <v>3981</v>
      </c>
      <c r="I3679" s="9">
        <v>0.0</v>
      </c>
      <c r="J3679" s="5" t="str">
        <f t="shared" ref="J3679:K3679" si="3679">SUBSTITUTE(H3679, ",", "")</f>
        <v>0</v>
      </c>
      <c r="K3679" s="5" t="str">
        <f t="shared" si="3679"/>
        <v>Rp0</v>
      </c>
      <c r="L3679" s="5" t="str">
        <f t="shared" si="3"/>
        <v>0</v>
      </c>
    </row>
    <row r="3680">
      <c r="A3680" s="6" t="s">
        <v>5009</v>
      </c>
      <c r="B3680" s="7" t="str">
        <f>HYPERLINK("https://shopee.co.id/Whitelab-Underarm-Cream-Brightening-Face-Serum-i.201071840.7813133288", "https://shopee.co.id/Whitelab-Underarm-Cream-Brightening-Face-Serum-i.201071840.7813133288")</f>
        <v>https://shopee.co.id/Whitelab-Underarm-Cream-Brightening-Face-Serum-i.201071840.7813133288</v>
      </c>
      <c r="C3680" s="6" t="s">
        <v>59</v>
      </c>
      <c r="D3680" s="6" t="s">
        <v>60</v>
      </c>
      <c r="E3680" s="6" t="s">
        <v>12</v>
      </c>
      <c r="F3680" s="6" t="s">
        <v>13</v>
      </c>
      <c r="G3680" s="6" t="s">
        <v>61</v>
      </c>
      <c r="H3680" s="8" t="s">
        <v>3981</v>
      </c>
      <c r="I3680" s="9">
        <v>0.0</v>
      </c>
      <c r="J3680" s="5" t="str">
        <f t="shared" ref="J3680:K3680" si="3680">SUBSTITUTE(H3680, ",", "")</f>
        <v>0</v>
      </c>
      <c r="K3680" s="5" t="str">
        <f t="shared" si="3680"/>
        <v>Rp0</v>
      </c>
      <c r="L3680" s="5" t="str">
        <f t="shared" si="3"/>
        <v>0</v>
      </c>
    </row>
    <row r="3681">
      <c r="A3681" s="6" t="s">
        <v>5010</v>
      </c>
      <c r="B3681" s="7" t="str">
        <f>HYPERLINK("https://shopee.co.id/Whitening-Gold-Serum-By-Ms-Glow-Beauty-100-Original-Mencerahkan-Kulit-Mengatasi-Flek-Hitam-Ampuh-i.270327756.11644116954", "https://shopee.co.id/Whitening-Gold-Serum-By-Ms-Glow-Beauty-100-Original-Mencerahkan-Kulit-Mengatasi-Flek-Hitam-Ampuh-i.270327756.11644116954")</f>
        <v>https://shopee.co.id/Whitening-Gold-Serum-By-Ms-Glow-Beauty-100-Original-Mencerahkan-Kulit-Mengatasi-Flek-Hitam-Ampuh-i.270327756.11644116954</v>
      </c>
      <c r="C3681" s="6" t="s">
        <v>96</v>
      </c>
      <c r="D3681" s="6" t="s">
        <v>3813</v>
      </c>
      <c r="E3681" s="6" t="s">
        <v>12</v>
      </c>
      <c r="F3681" s="6" t="s">
        <v>13</v>
      </c>
      <c r="G3681" s="6" t="s">
        <v>350</v>
      </c>
      <c r="H3681" s="8" t="s">
        <v>3981</v>
      </c>
      <c r="I3681" s="9">
        <v>0.0</v>
      </c>
      <c r="J3681" s="5" t="str">
        <f t="shared" ref="J3681:K3681" si="3681">SUBSTITUTE(H3681, ",", "")</f>
        <v>0</v>
      </c>
      <c r="K3681" s="5" t="str">
        <f t="shared" si="3681"/>
        <v>Rp0</v>
      </c>
      <c r="L3681" s="5" t="str">
        <f t="shared" si="3"/>
        <v>0</v>
      </c>
    </row>
    <row r="3682">
      <c r="A3682" s="6" t="s">
        <v>5011</v>
      </c>
      <c r="B3682" s="7" t="str">
        <f>HYPERLINK("https://shopee.co.id/Whitening-Serum-Glowing-Mellydia-BPOM-Resmi-Bersertifikasi-Halal-Original-i.66671865.1306699999", "https://shopee.co.id/Whitening-Serum-Glowing-Mellydia-BPOM-Resmi-Bersertifikasi-Halal-Original-i.66671865.1306699999")</f>
        <v>https://shopee.co.id/Whitening-Serum-Glowing-Mellydia-BPOM-Resmi-Bersertifikasi-Halal-Original-i.66671865.1306699999</v>
      </c>
      <c r="C3682" s="6" t="s">
        <v>2723</v>
      </c>
      <c r="D3682" s="6" t="s">
        <v>2724</v>
      </c>
      <c r="E3682" s="6" t="s">
        <v>12</v>
      </c>
      <c r="F3682" s="6" t="s">
        <v>13</v>
      </c>
      <c r="G3682" s="6" t="s">
        <v>115</v>
      </c>
      <c r="H3682" s="8" t="s">
        <v>3981</v>
      </c>
      <c r="I3682" s="9">
        <v>0.0</v>
      </c>
      <c r="J3682" s="5" t="str">
        <f t="shared" ref="J3682:K3682" si="3682">SUBSTITUTE(H3682, ",", "")</f>
        <v>0</v>
      </c>
      <c r="K3682" s="5" t="str">
        <f t="shared" si="3682"/>
        <v>Rp0</v>
      </c>
      <c r="L3682" s="5" t="str">
        <f t="shared" si="3"/>
        <v>0</v>
      </c>
    </row>
    <row r="3683">
      <c r="A3683" s="6" t="s">
        <v>5012</v>
      </c>
      <c r="B3683" s="7" t="str">
        <f>HYPERLINK("https://shopee.co.id/Whitesther-Special-Whitening-Serum-20-Ml-White-Esther-Ester-i.53887195.6439517117", "https://shopee.co.id/Whitesther-Special-Whitening-Serum-20-Ml-White-Esther-Ester-i.53887195.6439517117")</f>
        <v>https://shopee.co.id/Whitesther-Special-Whitening-Serum-20-Ml-White-Esther-Ester-i.53887195.6439517117</v>
      </c>
      <c r="C3683" s="6" t="s">
        <v>5001</v>
      </c>
      <c r="D3683" s="6" t="s">
        <v>1026</v>
      </c>
      <c r="E3683" s="6" t="s">
        <v>12</v>
      </c>
      <c r="F3683" s="6" t="s">
        <v>13</v>
      </c>
      <c r="G3683" s="6" t="s">
        <v>80</v>
      </c>
      <c r="H3683" s="8" t="s">
        <v>3981</v>
      </c>
      <c r="I3683" s="9">
        <v>0.0</v>
      </c>
      <c r="J3683" s="5" t="str">
        <f t="shared" ref="J3683:K3683" si="3683">SUBSTITUTE(H3683, ",", "")</f>
        <v>0</v>
      </c>
      <c r="K3683" s="5" t="str">
        <f t="shared" si="3683"/>
        <v>Rp0</v>
      </c>
      <c r="L3683" s="5" t="str">
        <f t="shared" si="3"/>
        <v>0</v>
      </c>
    </row>
    <row r="3684">
      <c r="A3684" s="6" t="s">
        <v>5013</v>
      </c>
      <c r="B3684" s="7" t="str">
        <f>HYPERLINK("https://shopee.co.id/YOU-Golden-Age-Refining-Skin-Renewal-Activator-Serum-20ml-i.53887195.8809456867", "https://shopee.co.id/YOU-Golden-Age-Refining-Skin-Renewal-Activator-Serum-20ml-i.53887195.8809456867")</f>
        <v>https://shopee.co.id/YOU-Golden-Age-Refining-Skin-Renewal-Activator-Serum-20ml-i.53887195.8809456867</v>
      </c>
      <c r="C3684" s="6" t="s">
        <v>128</v>
      </c>
      <c r="D3684" s="6" t="s">
        <v>1026</v>
      </c>
      <c r="E3684" s="6" t="s">
        <v>12</v>
      </c>
      <c r="F3684" s="6" t="s">
        <v>13</v>
      </c>
      <c r="G3684" s="6" t="s">
        <v>80</v>
      </c>
      <c r="H3684" s="8" t="s">
        <v>3981</v>
      </c>
      <c r="I3684" s="9">
        <v>0.0</v>
      </c>
      <c r="J3684" s="5" t="str">
        <f t="shared" ref="J3684:K3684" si="3684">SUBSTITUTE(H3684, ",", "")</f>
        <v>0</v>
      </c>
      <c r="K3684" s="5" t="str">
        <f t="shared" si="3684"/>
        <v>Rp0</v>
      </c>
      <c r="L3684" s="5" t="str">
        <f t="shared" si="3"/>
        <v>0</v>
      </c>
    </row>
    <row r="3685">
      <c r="A3685" s="6" t="s">
        <v>5014</v>
      </c>
      <c r="B3685" s="7" t="str">
        <f>HYPERLINK("https://shopee.co.id/YOU-The-Radiance-White-Nourishing-Serum-20ml-GLAMFIX-by-Y-O-U-Beauty-i.339731539.11420494154", "https://shopee.co.id/YOU-The-Radiance-White-Nourishing-Serum-20ml-GLAMFIX-by-Y-O-U-Beauty-i.339731539.11420494154")</f>
        <v>https://shopee.co.id/YOU-The-Radiance-White-Nourishing-Serum-20ml-GLAMFIX-by-Y-O-U-Beauty-i.339731539.11420494154</v>
      </c>
      <c r="C3685" s="6" t="s">
        <v>128</v>
      </c>
      <c r="D3685" s="6" t="s">
        <v>5015</v>
      </c>
      <c r="E3685" s="6" t="s">
        <v>12</v>
      </c>
      <c r="F3685" s="6" t="s">
        <v>13</v>
      </c>
      <c r="G3685" s="6" t="s">
        <v>241</v>
      </c>
      <c r="H3685" s="8" t="s">
        <v>3981</v>
      </c>
      <c r="I3685" s="9">
        <v>0.0</v>
      </c>
      <c r="J3685" s="5" t="str">
        <f t="shared" ref="J3685:K3685" si="3685">SUBSTITUTE(H3685, ",", "")</f>
        <v>0</v>
      </c>
      <c r="K3685" s="5" t="str">
        <f t="shared" si="3685"/>
        <v>Rp0</v>
      </c>
      <c r="L3685" s="5" t="str">
        <f t="shared" si="3"/>
        <v>0</v>
      </c>
    </row>
    <row r="3686">
      <c r="A3686" s="6" t="s">
        <v>5016</v>
      </c>
      <c r="B3686" s="7" t="str">
        <f>HYPERLINK("https://shopee.co.id/Youthderma-Intense-Brightening-Serum-i.444798403.8659310408", "https://shopee.co.id/Youthderma-Intense-Brightening-Serum-i.444798403.8659310408")</f>
        <v>https://shopee.co.id/Youthderma-Intense-Brightening-Serum-i.444798403.8659310408</v>
      </c>
      <c r="C3686" s="6" t="s">
        <v>5017</v>
      </c>
      <c r="D3686" s="6" t="s">
        <v>5018</v>
      </c>
      <c r="E3686" s="6" t="s">
        <v>12</v>
      </c>
      <c r="F3686" s="6" t="s">
        <v>13</v>
      </c>
      <c r="G3686" s="6" t="s">
        <v>80</v>
      </c>
      <c r="H3686" s="8" t="s">
        <v>3981</v>
      </c>
      <c r="I3686" s="9">
        <v>0.0</v>
      </c>
      <c r="J3686" s="5" t="str">
        <f t="shared" ref="J3686:K3686" si="3686">SUBSTITUTE(H3686, ",", "")</f>
        <v>0</v>
      </c>
      <c r="K3686" s="5" t="str">
        <f t="shared" si="3686"/>
        <v>Rp0</v>
      </c>
      <c r="L3686" s="5" t="str">
        <f t="shared" si="3"/>
        <v>0</v>
      </c>
    </row>
    <row r="3687">
      <c r="A3687" s="6" t="s">
        <v>5019</v>
      </c>
      <c r="B3687" s="7" t="str">
        <f>HYPERLINK("https://shopee.co.id/YUJA-BRIGHTENING-NIGHT-SERUM-100-NIACINAMIDE-i.231467354.5789394716", "https://shopee.co.id/YUJA-BRIGHTENING-NIGHT-SERUM-100-NIACINAMIDE-i.231467354.5789394716")</f>
        <v>https://shopee.co.id/YUJA-BRIGHTENING-NIGHT-SERUM-100-NIACINAMIDE-i.231467354.5789394716</v>
      </c>
      <c r="C3687" s="6" t="s">
        <v>2878</v>
      </c>
      <c r="D3687" s="6" t="s">
        <v>2879</v>
      </c>
      <c r="E3687" s="6" t="s">
        <v>12</v>
      </c>
      <c r="F3687" s="6" t="s">
        <v>13</v>
      </c>
      <c r="G3687" s="6" t="s">
        <v>532</v>
      </c>
      <c r="H3687" s="8" t="s">
        <v>3981</v>
      </c>
      <c r="I3687" s="9">
        <v>0.0</v>
      </c>
      <c r="J3687" s="5" t="str">
        <f t="shared" ref="J3687:K3687" si="3687">SUBSTITUTE(H3687, ",", "")</f>
        <v>0</v>
      </c>
      <c r="K3687" s="5" t="str">
        <f t="shared" si="3687"/>
        <v>Rp0</v>
      </c>
      <c r="L3687" s="5" t="str">
        <f t="shared" si="3"/>
        <v>0</v>
      </c>
    </row>
    <row r="3688">
      <c r="A3688" s="6" t="s">
        <v>5020</v>
      </c>
      <c r="B3688" s="7" t="str">
        <f>HYPERLINK("https://shopee.co.id/Yves-Rocher-Lifting-Night-Care-50-ml-i.70687187.6096461899", "https://shopee.co.id/Yves-Rocher-Lifting-Night-Care-50-ml-i.70687187.6096461899")</f>
        <v>https://shopee.co.id/Yves-Rocher-Lifting-Night-Care-50-ml-i.70687187.6096461899</v>
      </c>
      <c r="C3688" s="6" t="s">
        <v>1672</v>
      </c>
      <c r="D3688" s="6" t="s">
        <v>1673</v>
      </c>
      <c r="E3688" s="6" t="s">
        <v>12</v>
      </c>
      <c r="F3688" s="6" t="s">
        <v>13</v>
      </c>
      <c r="G3688" s="6" t="s">
        <v>61</v>
      </c>
      <c r="H3688" s="8" t="s">
        <v>3981</v>
      </c>
      <c r="I3688" s="9">
        <v>0.0</v>
      </c>
      <c r="J3688" s="5" t="str">
        <f t="shared" ref="J3688:K3688" si="3688">SUBSTITUTE(H3688, ",", "")</f>
        <v>0</v>
      </c>
      <c r="K3688" s="5" t="str">
        <f t="shared" si="3688"/>
        <v>Rp0</v>
      </c>
      <c r="L3688" s="5" t="str">
        <f t="shared" si="3"/>
        <v>0</v>
      </c>
    </row>
    <row r="3689">
      <c r="A3689" s="6" t="s">
        <v>5021</v>
      </c>
      <c r="B3689" s="7" t="str">
        <f>HYPERLINK("https://shopee.co.id/Yves-Rocher-Repair-Anti-Breakage-Serum-100-ml-i.70687187.7318425727", "https://shopee.co.id/Yves-Rocher-Repair-Anti-Breakage-Serum-100-ml-i.70687187.7318425727")</f>
        <v>https://shopee.co.id/Yves-Rocher-Repair-Anti-Breakage-Serum-100-ml-i.70687187.7318425727</v>
      </c>
      <c r="C3689" s="6" t="s">
        <v>1672</v>
      </c>
      <c r="D3689" s="6" t="s">
        <v>1673</v>
      </c>
      <c r="E3689" s="6" t="s">
        <v>12</v>
      </c>
      <c r="F3689" s="6" t="s">
        <v>13</v>
      </c>
      <c r="G3689" s="6" t="s">
        <v>61</v>
      </c>
      <c r="H3689" s="8" t="s">
        <v>3981</v>
      </c>
      <c r="I3689" s="9">
        <v>0.0</v>
      </c>
      <c r="J3689" s="11" t="str">
        <f t="shared" ref="J3689:K3689" si="3689">SUBSTITUTE(H3689, ",", "")</f>
        <v>0</v>
      </c>
      <c r="K3689" s="5" t="str">
        <f t="shared" si="3689"/>
        <v>Rp0</v>
      </c>
      <c r="L3689" s="5" t="str">
        <f t="shared" si="3"/>
        <v>0</v>
      </c>
    </row>
    <row r="3690">
      <c r="A3690" s="6" t="s">
        <v>5022</v>
      </c>
      <c r="B3690" s="7" t="str">
        <f>HYPERLINK("https://shopee.co.id/Yves-Rocher-White-Botanical-Youth-Essence-30-ml-i.70687187.1800384046", "https://shopee.co.id/Yves-Rocher-White-Botanical-Youth-Essence-30-ml-i.70687187.1800384046")</f>
        <v>https://shopee.co.id/Yves-Rocher-White-Botanical-Youth-Essence-30-ml-i.70687187.1800384046</v>
      </c>
      <c r="C3690" s="6" t="s">
        <v>1672</v>
      </c>
      <c r="D3690" s="6" t="s">
        <v>1673</v>
      </c>
      <c r="E3690" s="6" t="s">
        <v>12</v>
      </c>
      <c r="F3690" s="6" t="s">
        <v>13</v>
      </c>
      <c r="G3690" s="6" t="s">
        <v>61</v>
      </c>
      <c r="H3690" s="8" t="s">
        <v>3981</v>
      </c>
      <c r="I3690" s="9">
        <v>0.0</v>
      </c>
      <c r="J3690" s="5" t="str">
        <f t="shared" ref="J3690:K3690" si="3690">SUBSTITUTE(H3690, ",", "")</f>
        <v>0</v>
      </c>
      <c r="K3690" s="5" t="str">
        <f t="shared" si="3690"/>
        <v>Rp0</v>
      </c>
      <c r="L3690" s="5" t="str">
        <f t="shared" si="3"/>
        <v>0</v>
      </c>
    </row>
    <row r="3691">
      <c r="A3691" s="6" t="s">
        <v>5023</v>
      </c>
      <c r="B3691" s="7" t="str">
        <f>HYPERLINK("https://shopee.co.id/Zalfa-Natural-Crystal-Youth-Antiaging-Ampoule-30-ml-i.182704428.4904332093", "https://shopee.co.id/Zalfa-Natural-Crystal-Youth-Antiaging-Ampoule-30-ml-i.182704428.4904332093")</f>
        <v>https://shopee.co.id/Zalfa-Natural-Crystal-Youth-Antiaging-Ampoule-30-ml-i.182704428.4904332093</v>
      </c>
      <c r="C3691" s="6" t="s">
        <v>3071</v>
      </c>
      <c r="D3691" s="6" t="s">
        <v>3072</v>
      </c>
      <c r="E3691" s="6" t="s">
        <v>12</v>
      </c>
      <c r="F3691" s="6" t="s">
        <v>13</v>
      </c>
      <c r="G3691" s="6" t="s">
        <v>1085</v>
      </c>
      <c r="H3691" s="8" t="s">
        <v>3981</v>
      </c>
      <c r="I3691" s="9">
        <v>0.0</v>
      </c>
      <c r="J3691" s="5" t="str">
        <f t="shared" ref="J3691:K3691" si="3691">SUBSTITUTE(H3691, ",", "")</f>
        <v>0</v>
      </c>
      <c r="K3691" s="5" t="str">
        <f t="shared" si="3691"/>
        <v>Rp0</v>
      </c>
      <c r="L3691" s="5" t="str">
        <f t="shared" si="3"/>
        <v>0</v>
      </c>
    </row>
    <row r="3692">
      <c r="A3692" s="6" t="s">
        <v>5024</v>
      </c>
      <c r="B3692" s="7" t="str">
        <f>HYPERLINK("https://shopee.co.id/Zalfa-Natural-Dewy-Glow-Essence-Treatment-Collagen-Infusion-60-ml-i.182704428.7380425782", "https://shopee.co.id/Zalfa-Natural-Dewy-Glow-Essence-Treatment-Collagen-Infusion-60-ml-i.182704428.7380425782")</f>
        <v>https://shopee.co.id/Zalfa-Natural-Dewy-Glow-Essence-Treatment-Collagen-Infusion-60-ml-i.182704428.7380425782</v>
      </c>
      <c r="C3692" s="6" t="s">
        <v>5025</v>
      </c>
      <c r="D3692" s="6" t="s">
        <v>3072</v>
      </c>
      <c r="E3692" s="6" t="s">
        <v>12</v>
      </c>
      <c r="F3692" s="6" t="s">
        <v>13</v>
      </c>
      <c r="G3692" s="6" t="s">
        <v>1085</v>
      </c>
      <c r="H3692" s="8" t="s">
        <v>3981</v>
      </c>
      <c r="I3692" s="9">
        <v>0.0</v>
      </c>
      <c r="J3692" s="5" t="str">
        <f t="shared" ref="J3692:K3692" si="3692">SUBSTITUTE(H3692, ",", "")</f>
        <v>0</v>
      </c>
      <c r="K3692" s="5" t="str">
        <f t="shared" si="3692"/>
        <v>Rp0</v>
      </c>
      <c r="L3692" s="5" t="str">
        <f t="shared" si="3"/>
        <v>0</v>
      </c>
    </row>
    <row r="3693">
      <c r="A3693" s="6" t="s">
        <v>5026</v>
      </c>
      <c r="B3693" s="7" t="str">
        <f>HYPERLINK("https://shopee.co.id/Zalfa-Natural-Lightening-Concentrate-Intensive-Serum-30-ml-i.182704428.3705693412", "https://shopee.co.id/Zalfa-Natural-Lightening-Concentrate-Intensive-Serum-30-ml-i.182704428.3705693412")</f>
        <v>https://shopee.co.id/Zalfa-Natural-Lightening-Concentrate-Intensive-Serum-30-ml-i.182704428.3705693412</v>
      </c>
      <c r="C3693" s="6" t="s">
        <v>3071</v>
      </c>
      <c r="D3693" s="6" t="s">
        <v>3072</v>
      </c>
      <c r="E3693" s="6" t="s">
        <v>12</v>
      </c>
      <c r="F3693" s="6" t="s">
        <v>13</v>
      </c>
      <c r="G3693" s="6" t="s">
        <v>1085</v>
      </c>
      <c r="H3693" s="8" t="s">
        <v>3981</v>
      </c>
      <c r="I3693" s="9">
        <v>0.0</v>
      </c>
      <c r="J3693" s="5" t="str">
        <f t="shared" ref="J3693:K3693" si="3693">SUBSTITUTE(H3693, ",", "")</f>
        <v>0</v>
      </c>
      <c r="K3693" s="5" t="str">
        <f t="shared" si="3693"/>
        <v>Rp0</v>
      </c>
      <c r="L3693" s="5" t="str">
        <f t="shared" si="3"/>
        <v>0</v>
      </c>
    </row>
  </sheetData>
  <autoFilter ref="$A$1:$I$3693">
    <sortState ref="A1:I3693">
      <sortCondition descending="1" ref="I1:I3693"/>
      <sortCondition descending="1" ref="H1:H3693"/>
    </sortState>
  </autoFilter>
  <customSheetViews>
    <customSheetView guid="{11878D48-0F7D-42C3-B639-9F320F28948E}" filter="1" showAutoFilter="1">
      <autoFilter ref="$A$1:$I$3693"/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1" max="1" width="57.13"/>
    <col customWidth="1" min="2" max="2" width="28.25"/>
    <col customWidth="1" min="3" max="3" width="14.0"/>
    <col customWidth="1" min="4" max="4" width="30.63"/>
    <col customWidth="1" min="7" max="7" width="24.88"/>
    <col customWidth="1" min="9" max="9" width="17.88"/>
  </cols>
  <sheetData>
    <row r="1">
      <c r="A1" s="3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2" t="s">
        <v>7</v>
      </c>
      <c r="I1" s="12" t="s">
        <v>8</v>
      </c>
    </row>
    <row r="2">
      <c r="A2" s="8" t="s">
        <v>9</v>
      </c>
      <c r="B2" s="13" t="str">
        <f>HYPERLINK("https://shopee.co.id/Bening-s-Diamond-Serum-Serum-Super-Whitening-i.190390143.4524100696", "https://shopee.co.id/Bening-s-Diamond-Serum-Serum-Super-Whitening-i.190390143.4524100696")</f>
        <v>https://shopee.co.id/Bening-s-Diamond-Serum-Serum-Super-Whitening-i.190390143.4524100696</v>
      </c>
      <c r="C2" s="8" t="s">
        <v>10</v>
      </c>
      <c r="D2" s="8" t="s">
        <v>11</v>
      </c>
      <c r="E2" s="8" t="s">
        <v>12</v>
      </c>
      <c r="F2" s="8" t="s">
        <v>13</v>
      </c>
      <c r="G2" s="8" t="s">
        <v>14</v>
      </c>
      <c r="H2" s="14" t="str">
        <f>SUBSTITUTE(Sheet1!H2, ",", "")</f>
        <v>20805</v>
      </c>
      <c r="I2" s="15" t="str">
        <f>SUBSTITUTE(Sheet1!K2, "Rp", "")</f>
        <v>8301920000</v>
      </c>
    </row>
    <row r="3">
      <c r="A3" s="8" t="s">
        <v>40</v>
      </c>
      <c r="B3" s="13" t="str">
        <f>HYPERLINK("https://shopee.co.id/Scarlett-Whitening-Acne-Serum-i.255365082.7640346064", "https://shopee.co.id/Scarlett-Whitening-Acne-Serum-i.255365082.7640346064")</f>
        <v>https://shopee.co.id/Scarlett-Whitening-Acne-Serum-i.255365082.7640346064</v>
      </c>
      <c r="C3" s="8" t="s">
        <v>19</v>
      </c>
      <c r="D3" s="8" t="s">
        <v>20</v>
      </c>
      <c r="E3" s="8" t="s">
        <v>12</v>
      </c>
      <c r="F3" s="8" t="s">
        <v>13</v>
      </c>
      <c r="G3" s="8" t="s">
        <v>21</v>
      </c>
      <c r="H3" s="14" t="str">
        <f>SUBSTITUTE(Sheet1!H3, ",", "")</f>
        <v>20307</v>
      </c>
      <c r="I3" s="15" t="str">
        <f>SUBSTITUTE(Sheet1!K3, "Rp", "")</f>
        <v>1482120000</v>
      </c>
    </row>
    <row r="4">
      <c r="A4" s="8" t="s">
        <v>16</v>
      </c>
      <c r="B4" s="13" t="str">
        <f>HYPERLINK("https://shopee.co.id/Bening-s-Skin-Regeneration-Serum-Serum-Scar-Bopeng-i.190390143.6472484436", "https://shopee.co.id/Bening-s-Skin-Regeneration-Serum-Serum-Scar-Bopeng-i.190390143.6472484436")</f>
        <v>https://shopee.co.id/Bening-s-Skin-Regeneration-Serum-Serum-Scar-Bopeng-i.190390143.6472484436</v>
      </c>
      <c r="C4" s="8" t="s">
        <v>10</v>
      </c>
      <c r="D4" s="8" t="s">
        <v>11</v>
      </c>
      <c r="E4" s="8" t="s">
        <v>12</v>
      </c>
      <c r="F4" s="8" t="s">
        <v>13</v>
      </c>
      <c r="G4" s="8" t="s">
        <v>14</v>
      </c>
      <c r="H4" s="14" t="str">
        <f>SUBSTITUTE(Sheet1!H4, ",", "")</f>
        <v>20231</v>
      </c>
      <c r="I4" s="15" t="str">
        <f>SUBSTITUTE(Sheet1!K4, "Rp", "")</f>
        <v>5054025000</v>
      </c>
    </row>
    <row r="5">
      <c r="A5" s="8" t="s">
        <v>50</v>
      </c>
      <c r="B5" s="13" t="str">
        <f>HYPERLINK("https://shopee.co.id/Scarlett-Whitening-Glowtening-Serum-i.255365082.3059551066", "https://shopee.co.id/Scarlett-Whitening-Glowtening-Serum-i.255365082.3059551066")</f>
        <v>https://shopee.co.id/Scarlett-Whitening-Glowtening-Serum-i.255365082.3059551066</v>
      </c>
      <c r="C5" s="8" t="s">
        <v>19</v>
      </c>
      <c r="D5" s="8" t="s">
        <v>20</v>
      </c>
      <c r="E5" s="8" t="s">
        <v>12</v>
      </c>
      <c r="F5" s="8" t="s">
        <v>13</v>
      </c>
      <c r="G5" s="8" t="s">
        <v>21</v>
      </c>
      <c r="H5" s="14" t="str">
        <f>SUBSTITUTE(Sheet1!H5, ",", "")</f>
        <v>16623</v>
      </c>
      <c r="I5" s="15" t="str">
        <f>SUBSTITUTE(Sheet1!K5, "Rp", "")</f>
        <v>1215165000</v>
      </c>
    </row>
    <row r="6">
      <c r="A6" s="8" t="s">
        <v>44</v>
      </c>
      <c r="B6" s="13" t="str">
        <f>HYPERLINK("https://shopee.co.id/SOMETHINC-5-Niacinamide-Moisture-Sabi-Beet-Serum-i.195455930.8910652148", "https://shopee.co.id/SOMETHINC-5-Niacinamide-Moisture-Sabi-Beet-Serum-i.195455930.8910652148")</f>
        <v>https://shopee.co.id/SOMETHINC-5-Niacinamide-Moisture-Sabi-Beet-Serum-i.195455930.8910652148</v>
      </c>
      <c r="C6" s="8" t="s">
        <v>45</v>
      </c>
      <c r="D6" s="8" t="s">
        <v>46</v>
      </c>
      <c r="E6" s="8" t="s">
        <v>12</v>
      </c>
      <c r="F6" s="8" t="s">
        <v>13</v>
      </c>
      <c r="G6" s="8" t="s">
        <v>21</v>
      </c>
      <c r="H6" s="14" t="str">
        <f>SUBSTITUTE(Sheet1!H6, ",", "")</f>
        <v>14342</v>
      </c>
      <c r="I6" s="15" t="str">
        <f>SUBSTITUTE(Sheet1!K6, "Rp", "")</f>
        <v>1276438000</v>
      </c>
    </row>
    <row r="7">
      <c r="A7" s="8" t="s">
        <v>63</v>
      </c>
      <c r="B7" s="13" t="str">
        <f>HYPERLINK("https://shopee.co.id/Scarlett-Whitening-Brightly-Ever-After-Serum-i.255365082.6140350826", "https://shopee.co.id/Scarlett-Whitening-Brightly-Ever-After-Serum-i.255365082.6140350826")</f>
        <v>https://shopee.co.id/Scarlett-Whitening-Brightly-Ever-After-Serum-i.255365082.6140350826</v>
      </c>
      <c r="C7" s="8" t="s">
        <v>19</v>
      </c>
      <c r="D7" s="8" t="s">
        <v>20</v>
      </c>
      <c r="E7" s="8" t="s">
        <v>12</v>
      </c>
      <c r="F7" s="8" t="s">
        <v>13</v>
      </c>
      <c r="G7" s="8" t="s">
        <v>21</v>
      </c>
      <c r="H7" s="14" t="str">
        <f>SUBSTITUTE(Sheet1!H7, ",", "")</f>
        <v>13173</v>
      </c>
      <c r="I7" s="15" t="str">
        <f>SUBSTITUTE(Sheet1!K7, "Rp", "")</f>
        <v>960015000</v>
      </c>
    </row>
    <row r="8">
      <c r="A8" s="8" t="s">
        <v>112</v>
      </c>
      <c r="B8" s="13" t="str">
        <f>HYPERLINK("https://shopee.co.id/Implora-Promo-Buy-3-Serum-Wajah-20ML-Free-Pouch-i.10960132.7294689671", "https://shopee.co.id/Implora-Promo-Buy-3-Serum-Wajah-20ML-Free-Pouch-i.10960132.7294689671")</f>
        <v>https://shopee.co.id/Implora-Promo-Buy-3-Serum-Wajah-20ML-Free-Pouch-i.10960132.7294689671</v>
      </c>
      <c r="C8" s="8" t="s">
        <v>113</v>
      </c>
      <c r="D8" s="8" t="s">
        <v>114</v>
      </c>
      <c r="E8" s="8" t="s">
        <v>12</v>
      </c>
      <c r="F8" s="8" t="s">
        <v>13</v>
      </c>
      <c r="G8" s="8" t="s">
        <v>115</v>
      </c>
      <c r="H8" s="14" t="str">
        <f>SUBSTITUTE(Sheet1!H8, ",", "")</f>
        <v>13079</v>
      </c>
      <c r="I8" s="15" t="str">
        <f>SUBSTITUTE(Sheet1!K8, "Rp", "")</f>
        <v>457765000</v>
      </c>
    </row>
    <row r="9">
      <c r="A9" s="8" t="s">
        <v>58</v>
      </c>
      <c r="B9" s="13" t="str">
        <f>HYPERLINK("https://shopee.co.id/Whitelab-Brightening-Face-Serum-i.201071840.5711696002", "https://shopee.co.id/Whitelab-Brightening-Face-Serum-i.201071840.5711696002")</f>
        <v>https://shopee.co.id/Whitelab-Brightening-Face-Serum-i.201071840.5711696002</v>
      </c>
      <c r="C9" s="8" t="s">
        <v>59</v>
      </c>
      <c r="D9" s="8" t="s">
        <v>60</v>
      </c>
      <c r="E9" s="8" t="s">
        <v>12</v>
      </c>
      <c r="F9" s="8" t="s">
        <v>13</v>
      </c>
      <c r="G9" s="8" t="s">
        <v>61</v>
      </c>
      <c r="H9" s="14" t="str">
        <f>SUBSTITUTE(Sheet1!H9, ",", "")</f>
        <v>12651</v>
      </c>
      <c r="I9" s="15" t="str">
        <f>SUBSTITUTE(Sheet1!K9, "Rp", "")</f>
        <v>988288042</v>
      </c>
    </row>
    <row r="10">
      <c r="A10" s="8" t="s">
        <v>257</v>
      </c>
      <c r="B10" s="13" t="str">
        <f>HYPERLINK("https://shopee.co.id/Wardah-Lightening-Serum-Ampoule-8-ml-Serum-dengan-10X-Advanced-Niacinamide-dan-Bisabolol-i.59763733.7978730355", "https://shopee.co.id/Wardah-Lightening-Serum-Ampoule-8-ml-Serum-dengan-10X-Advanced-Niacinamide-dan-Bisabolol-i.59763733.7978730355")</f>
        <v>https://shopee.co.id/Wardah-Lightening-Serum-Ampoule-8-ml-Serum-dengan-10X-Advanced-Niacinamide-dan-Bisabolol-i.59763733.7978730355</v>
      </c>
      <c r="C10" s="8" t="s">
        <v>169</v>
      </c>
      <c r="D10" s="8" t="s">
        <v>170</v>
      </c>
      <c r="E10" s="8" t="s">
        <v>12</v>
      </c>
      <c r="F10" s="8" t="s">
        <v>13</v>
      </c>
      <c r="G10" s="8" t="s">
        <v>98</v>
      </c>
      <c r="H10" s="14" t="str">
        <f>SUBSTITUTE(Sheet1!H10, ",", "")</f>
        <v>11035</v>
      </c>
      <c r="I10" s="15" t="str">
        <f>SUBSTITUTE(Sheet1!K10, "Rp", "")</f>
        <v>173186100</v>
      </c>
    </row>
    <row r="11">
      <c r="A11" s="8" t="s">
        <v>33</v>
      </c>
      <c r="B11" s="13" t="str">
        <f>HYPERLINK("https://shopee.co.id/TRUEVE-NIACINAMIDE-10-CERAMIDE-Brightening-Serum-30-ML-Serum-Wajah-i.310417610.5969149049", "https://shopee.co.id/TRUEVE-NIACINAMIDE-10-CERAMIDE-Brightening-Serum-30-ML-Serum-Wajah-i.310417610.5969149049")</f>
        <v>https://shopee.co.id/TRUEVE-NIACINAMIDE-10-CERAMIDE-Brightening-Serum-30-ML-Serum-Wajah-i.310417610.5969149049</v>
      </c>
      <c r="C11" s="8" t="s">
        <v>34</v>
      </c>
      <c r="D11" s="8" t="s">
        <v>35</v>
      </c>
      <c r="E11" s="8" t="s">
        <v>12</v>
      </c>
      <c r="F11" s="8" t="s">
        <v>13</v>
      </c>
      <c r="G11" s="8" t="s">
        <v>36</v>
      </c>
      <c r="H11" s="14" t="str">
        <f>SUBSTITUTE(Sheet1!H11, ",", "")</f>
        <v>10745</v>
      </c>
      <c r="I11" s="15" t="str">
        <f>SUBSTITUTE(Sheet1!K11, "Rp", "")</f>
        <v>1539604500</v>
      </c>
    </row>
    <row r="12">
      <c r="A12" s="8" t="s">
        <v>52</v>
      </c>
      <c r="B12" s="13" t="str">
        <f>HYPERLINK("https://shopee.co.id/SOMETHINC-10-Niacinamide-Moisture-Sabi-Beet-Max-Brightening-Serum-i.195455930.7777018058", "https://shopee.co.id/SOMETHINC-10-Niacinamide-Moisture-Sabi-Beet-Max-Brightening-Serum-i.195455930.7777018058")</f>
        <v>https://shopee.co.id/SOMETHINC-10-Niacinamide-Moisture-Sabi-Beet-Max-Brightening-Serum-i.195455930.7777018058</v>
      </c>
      <c r="C12" s="8" t="s">
        <v>45</v>
      </c>
      <c r="D12" s="8" t="s">
        <v>46</v>
      </c>
      <c r="E12" s="8" t="s">
        <v>12</v>
      </c>
      <c r="F12" s="8" t="s">
        <v>13</v>
      </c>
      <c r="G12" s="8" t="s">
        <v>21</v>
      </c>
      <c r="H12" s="14" t="str">
        <f>SUBSTITUTE(Sheet1!H12, ",", "")</f>
        <v>10226</v>
      </c>
      <c r="I12" s="15" t="str">
        <f>SUBSTITUTE(Sheet1!K12, "Rp", "")</f>
        <v>1181103000</v>
      </c>
    </row>
    <row r="13">
      <c r="A13" s="8" t="s">
        <v>23</v>
      </c>
      <c r="B13" s="13" t="str">
        <f>HYPERLINK("https://shopee.co.id/Scarlett-Whitening-Paket-5-Item-Brightly-Series-i.255365082.9580744896", "https://shopee.co.id/Scarlett-Whitening-Paket-5-Item-Brightly-Series-i.255365082.9580744896")</f>
        <v>https://shopee.co.id/Scarlett-Whitening-Paket-5-Item-Brightly-Series-i.255365082.9580744896</v>
      </c>
      <c r="C13" s="8" t="s">
        <v>19</v>
      </c>
      <c r="D13" s="8" t="s">
        <v>20</v>
      </c>
      <c r="E13" s="8" t="s">
        <v>12</v>
      </c>
      <c r="F13" s="8" t="s">
        <v>13</v>
      </c>
      <c r="G13" s="8" t="s">
        <v>21</v>
      </c>
      <c r="H13" s="14" t="str">
        <f>SUBSTITUTE(Sheet1!H13, ",", "")</f>
        <v>9065</v>
      </c>
      <c r="I13" s="15" t="str">
        <f>SUBSTITUTE(Sheet1!K13, "Rp", "")</f>
        <v>2703460000</v>
      </c>
    </row>
    <row r="14">
      <c r="A14" s="8" t="s">
        <v>25</v>
      </c>
      <c r="B14" s="13" t="str">
        <f>HYPERLINK("https://shopee.co.id/Scarlett-Whitening-Brightly-Your-Skin-Special-Package-i.255365082.10629973842", "https://shopee.co.id/Scarlett-Whitening-Brightly-Your-Skin-Special-Package-i.255365082.10629973842")</f>
        <v>https://shopee.co.id/Scarlett-Whitening-Brightly-Your-Skin-Special-Package-i.255365082.10629973842</v>
      </c>
      <c r="C14" s="8" t="s">
        <v>19</v>
      </c>
      <c r="D14" s="8" t="s">
        <v>20</v>
      </c>
      <c r="E14" s="8" t="s">
        <v>12</v>
      </c>
      <c r="F14" s="8" t="s">
        <v>13</v>
      </c>
      <c r="G14" s="8" t="s">
        <v>21</v>
      </c>
      <c r="H14" s="14" t="str">
        <f>SUBSTITUTE(Sheet1!H14, ",", "")</f>
        <v>8085</v>
      </c>
      <c r="I14" s="15" t="str">
        <f>SUBSTITUTE(Sheet1!K14, "Rp", "")</f>
        <v>2394050000</v>
      </c>
    </row>
    <row r="15">
      <c r="A15" s="8" t="s">
        <v>29</v>
      </c>
      <c r="B15" s="13" t="str">
        <f>HYPERLINK("https://shopee.co.id/Scarlett-Whitening-Brightly-Care-Package-i.255365082.8945925545", "https://shopee.co.id/Scarlett-Whitening-Brightly-Care-Package-i.255365082.8945925545")</f>
        <v>https://shopee.co.id/Scarlett-Whitening-Brightly-Care-Package-i.255365082.8945925545</v>
      </c>
      <c r="C15" s="8" t="s">
        <v>19</v>
      </c>
      <c r="D15" s="8" t="s">
        <v>20</v>
      </c>
      <c r="E15" s="8" t="s">
        <v>12</v>
      </c>
      <c r="F15" s="8" t="s">
        <v>13</v>
      </c>
      <c r="G15" s="8" t="s">
        <v>21</v>
      </c>
      <c r="H15" s="14" t="str">
        <f>SUBSTITUTE(Sheet1!H15, ",", "")</f>
        <v>8074</v>
      </c>
      <c r="I15" s="15" t="str">
        <f>SUBSTITUTE(Sheet1!K15, "Rp", "")</f>
        <v>2009090000</v>
      </c>
    </row>
    <row r="16">
      <c r="A16" s="8" t="s">
        <v>31</v>
      </c>
      <c r="B16" s="13" t="str">
        <f>HYPERLINK("https://shopee.co.id/Scarlett-Whitening-Acne-Care-Package-i.255365082.9945926268", "https://shopee.co.id/Scarlett-Whitening-Acne-Care-Package-i.255365082.9945926268")</f>
        <v>https://shopee.co.id/Scarlett-Whitening-Acne-Care-Package-i.255365082.9945926268</v>
      </c>
      <c r="C16" s="8" t="s">
        <v>19</v>
      </c>
      <c r="D16" s="8" t="s">
        <v>20</v>
      </c>
      <c r="E16" s="8" t="s">
        <v>12</v>
      </c>
      <c r="F16" s="8" t="s">
        <v>13</v>
      </c>
      <c r="G16" s="8" t="s">
        <v>21</v>
      </c>
      <c r="H16" s="14" t="str">
        <f>SUBSTITUTE(Sheet1!H16, ",", "")</f>
        <v>7093</v>
      </c>
      <c r="I16" s="15" t="str">
        <f>SUBSTITUTE(Sheet1!K16, "Rp", "")</f>
        <v>1764580000</v>
      </c>
    </row>
    <row r="17">
      <c r="A17" s="8" t="s">
        <v>42</v>
      </c>
      <c r="B17" s="13" t="str">
        <f>HYPERLINK("https://shopee.co.id/Scarlett-Whitening-Triple-Combo-Brightly-Facial-Care-i.255365082.4186697684", "https://shopee.co.id/Scarlett-Whitening-Triple-Combo-Brightly-Facial-Care-i.255365082.4186697684")</f>
        <v>https://shopee.co.id/Scarlett-Whitening-Triple-Combo-Brightly-Facial-Care-i.255365082.4186697684</v>
      </c>
      <c r="C17" s="8" t="s">
        <v>19</v>
      </c>
      <c r="D17" s="8" t="s">
        <v>20</v>
      </c>
      <c r="E17" s="8" t="s">
        <v>12</v>
      </c>
      <c r="F17" s="8" t="s">
        <v>13</v>
      </c>
      <c r="G17" s="8" t="s">
        <v>21</v>
      </c>
      <c r="H17" s="14" t="str">
        <f>SUBSTITUTE(Sheet1!H17, ",", "")</f>
        <v>7044</v>
      </c>
      <c r="I17" s="15" t="str">
        <f>SUBSTITUTE(Sheet1!K17, "Rp", "")</f>
        <v>1366440000</v>
      </c>
    </row>
    <row r="18">
      <c r="A18" s="8" t="s">
        <v>27</v>
      </c>
      <c r="B18" s="13" t="str">
        <f>HYPERLINK("https://shopee.co.id/Scarlett-Whitening-Acne-Care-Special-Package-i.255365082.8990097049", "https://shopee.co.id/Scarlett-Whitening-Acne-Care-Special-Package-i.255365082.8990097049")</f>
        <v>https://shopee.co.id/Scarlett-Whitening-Acne-Care-Special-Package-i.255365082.8990097049</v>
      </c>
      <c r="C18" s="8" t="s">
        <v>19</v>
      </c>
      <c r="D18" s="8" t="s">
        <v>20</v>
      </c>
      <c r="E18" s="8" t="s">
        <v>12</v>
      </c>
      <c r="F18" s="8" t="s">
        <v>13</v>
      </c>
      <c r="G18" s="8" t="s">
        <v>21</v>
      </c>
      <c r="H18" s="14" t="str">
        <f>SUBSTITUTE(Sheet1!H18, ",", "")</f>
        <v>6799</v>
      </c>
      <c r="I18" s="15" t="str">
        <f>SUBSTITUTE(Sheet1!K18, "Rp", "")</f>
        <v>2017440000</v>
      </c>
    </row>
    <row r="19">
      <c r="A19" s="8" t="s">
        <v>67</v>
      </c>
      <c r="B19" s="13" t="str">
        <f>HYPERLINK("https://shopee.co.id/SOMETHINC-HYALuronic9-Advanced-B5-Serum-i.195455930.3213216369", "https://shopee.co.id/SOMETHINC-HYALuronic9-Advanced-B5-Serum-i.195455930.3213216369")</f>
        <v>https://shopee.co.id/SOMETHINC-HYALuronic9-Advanced-B5-Serum-i.195455930.3213216369</v>
      </c>
      <c r="C19" s="8" t="s">
        <v>45</v>
      </c>
      <c r="D19" s="8" t="s">
        <v>46</v>
      </c>
      <c r="E19" s="8" t="s">
        <v>12</v>
      </c>
      <c r="F19" s="8" t="s">
        <v>13</v>
      </c>
      <c r="G19" s="8" t="s">
        <v>21</v>
      </c>
      <c r="H19" s="14" t="str">
        <f>SUBSTITUTE(Sheet1!H19, ",", "")</f>
        <v>6743</v>
      </c>
      <c r="I19" s="15" t="str">
        <f>SUBSTITUTE(Sheet1!K19, "Rp", "")</f>
        <v>793679500</v>
      </c>
    </row>
    <row r="20">
      <c r="A20" s="8" t="s">
        <v>48</v>
      </c>
      <c r="B20" s="13" t="str">
        <f>HYPERLINK("https://shopee.co.id/Scarlett-Whitening-Triple-Combo-Acne-Facial-Care-i.255365082.9045921799", "https://shopee.co.id/Scarlett-Whitening-Triple-Combo-Acne-Facial-Care-i.255365082.9045921799")</f>
        <v>https://shopee.co.id/Scarlett-Whitening-Triple-Combo-Acne-Facial-Care-i.255365082.9045921799</v>
      </c>
      <c r="C20" s="8" t="s">
        <v>19</v>
      </c>
      <c r="D20" s="8" t="s">
        <v>20</v>
      </c>
      <c r="E20" s="8" t="s">
        <v>12</v>
      </c>
      <c r="F20" s="8" t="s">
        <v>13</v>
      </c>
      <c r="G20" s="8" t="s">
        <v>21</v>
      </c>
      <c r="H20" s="14" t="str">
        <f>SUBSTITUTE(Sheet1!H20, ",", "")</f>
        <v>6549</v>
      </c>
      <c r="I20" s="15" t="str">
        <f>SUBSTITUTE(Sheet1!K20, "Rp", "")</f>
        <v>1269768750</v>
      </c>
    </row>
    <row r="21">
      <c r="A21" s="8" t="s">
        <v>69</v>
      </c>
      <c r="B21" s="13" t="str">
        <f>HYPERLINK("https://shopee.co.id/Dear-Me-Beauty-Skin-Barrier-Water-Cream-i.45495764.9831544725", "https://shopee.co.id/Dear-Me-Beauty-Skin-Barrier-Water-Cream-i.45495764.9831544725")</f>
        <v>https://shopee.co.id/Dear-Me-Beauty-Skin-Barrier-Water-Cream-i.45495764.9831544725</v>
      </c>
      <c r="C21" s="8" t="s">
        <v>70</v>
      </c>
      <c r="D21" s="8" t="s">
        <v>71</v>
      </c>
      <c r="E21" s="8" t="s">
        <v>12</v>
      </c>
      <c r="F21" s="8" t="s">
        <v>13</v>
      </c>
      <c r="G21" s="8" t="s">
        <v>61</v>
      </c>
      <c r="H21" s="14" t="str">
        <f>SUBSTITUTE(Sheet1!H21, ",", "")</f>
        <v>5930</v>
      </c>
      <c r="I21" s="15" t="str">
        <f>SUBSTITUTE(Sheet1!K21, "Rp", "")</f>
        <v>750715500</v>
      </c>
    </row>
    <row r="22">
      <c r="A22" s="8" t="s">
        <v>168</v>
      </c>
      <c r="B22" s="13" t="str">
        <f>HYPERLINK("https://shopee.co.id/Wardah-Lightening-Serum-Ampoule-30-ml-Serum-dengan-10X-Advanced-Niacinamide-dan-Bisabolol-i.59763733.11102025036", "https://shopee.co.id/Wardah-Lightening-Serum-Ampoule-30-ml-Serum-dengan-10X-Advanced-Niacinamide-dan-Bisabolol-i.59763733.11102025036")</f>
        <v>https://shopee.co.id/Wardah-Lightening-Serum-Ampoule-30-ml-Serum-dengan-10X-Advanced-Niacinamide-dan-Bisabolol-i.59763733.11102025036</v>
      </c>
      <c r="C22" s="8" t="s">
        <v>169</v>
      </c>
      <c r="D22" s="8" t="s">
        <v>170</v>
      </c>
      <c r="E22" s="8" t="s">
        <v>12</v>
      </c>
      <c r="F22" s="8" t="s">
        <v>13</v>
      </c>
      <c r="G22" s="8" t="s">
        <v>98</v>
      </c>
      <c r="H22" s="14" t="str">
        <f>SUBSTITUTE(Sheet1!H22, ",", "")</f>
        <v>5766</v>
      </c>
      <c r="I22" s="15" t="str">
        <f>SUBSTITUTE(Sheet1!K22, "Rp", "")</f>
        <v>302922000</v>
      </c>
    </row>
    <row r="23">
      <c r="A23" s="8" t="s">
        <v>54</v>
      </c>
      <c r="B23" s="13" t="str">
        <f>HYPERLINK("https://shopee.co.id/White-Story-Paket-Wajah-Brightening-Serum-i.405973920.11508987621", "https://shopee.co.id/White-Story-Paket-Wajah-Brightening-Serum-i.405973920.11508987621")</f>
        <v>https://shopee.co.id/White-Story-Paket-Wajah-Brightening-Serum-i.405973920.11508987621</v>
      </c>
      <c r="C23" s="8" t="s">
        <v>55</v>
      </c>
      <c r="D23" s="8" t="s">
        <v>56</v>
      </c>
      <c r="E23" s="8" t="s">
        <v>12</v>
      </c>
      <c r="F23" s="8" t="s">
        <v>13</v>
      </c>
      <c r="G23" s="8" t="s">
        <v>36</v>
      </c>
      <c r="H23" s="14" t="str">
        <f>SUBSTITUTE(Sheet1!H23, ",", "")</f>
        <v>5577</v>
      </c>
      <c r="I23" s="15" t="str">
        <f>SUBSTITUTE(Sheet1!K23, "Rp", "")</f>
        <v>1022850050</v>
      </c>
    </row>
    <row r="24">
      <c r="A24" s="8" t="s">
        <v>65</v>
      </c>
      <c r="B24" s="13" t="str">
        <f>HYPERLINK("https://shopee.co.id/TRUEVE-BHA-CICA-Acne-Serum-30-ML-Serum-Wajah-i.310417610.5356773728", "https://shopee.co.id/TRUEVE-BHA-CICA-Acne-Serum-30-ML-Serum-Wajah-i.310417610.5356773728")</f>
        <v>https://shopee.co.id/TRUEVE-BHA-CICA-Acne-Serum-30-ML-Serum-Wajah-i.310417610.5356773728</v>
      </c>
      <c r="C24" s="8" t="s">
        <v>34</v>
      </c>
      <c r="D24" s="8" t="s">
        <v>35</v>
      </c>
      <c r="E24" s="8" t="s">
        <v>12</v>
      </c>
      <c r="F24" s="8" t="s">
        <v>13</v>
      </c>
      <c r="G24" s="8" t="s">
        <v>36</v>
      </c>
      <c r="H24" s="14" t="str">
        <f>SUBSTITUTE(Sheet1!H24, ",", "")</f>
        <v>5460</v>
      </c>
      <c r="I24" s="15" t="str">
        <f>SUBSTITUTE(Sheet1!K24, "Rp", "")</f>
        <v>836197700</v>
      </c>
    </row>
    <row r="25">
      <c r="A25" s="8" t="s">
        <v>208</v>
      </c>
      <c r="B25" s="13" t="str">
        <f>HYPERLINK("https://shopee.co.id/Emina-Bright-Stuff-Face-Serum-30-ml-i.63983008.3017944185", "https://shopee.co.id/Emina-Bright-Stuff-Face-Serum-30-ml-i.63983008.3017944185")</f>
        <v>https://shopee.co.id/Emina-Bright-Stuff-Face-Serum-30-ml-i.63983008.3017944185</v>
      </c>
      <c r="C25" s="8" t="s">
        <v>209</v>
      </c>
      <c r="D25" s="8" t="s">
        <v>210</v>
      </c>
      <c r="E25" s="8" t="s">
        <v>12</v>
      </c>
      <c r="F25" s="8" t="s">
        <v>13</v>
      </c>
      <c r="G25" s="8" t="s">
        <v>98</v>
      </c>
      <c r="H25" s="14" t="str">
        <f>SUBSTITUTE(Sheet1!H25, ",", "")</f>
        <v>5275</v>
      </c>
      <c r="I25" s="15" t="str">
        <f>SUBSTITUTE(Sheet1!K25, "Rp", "")</f>
        <v>215340820</v>
      </c>
    </row>
    <row r="26">
      <c r="A26" s="8" t="s">
        <v>38</v>
      </c>
      <c r="B26" s="13" t="str">
        <f>HYPERLINK("https://shopee.co.id/Scarlett-Whitening-Paket-5-Item-Acne-Series-i.255365082.10019992582", "https://shopee.co.id/Scarlett-Whitening-Paket-5-Item-Acne-Series-i.255365082.10019992582")</f>
        <v>https://shopee.co.id/Scarlett-Whitening-Paket-5-Item-Acne-Series-i.255365082.10019992582</v>
      </c>
      <c r="C26" s="8" t="s">
        <v>19</v>
      </c>
      <c r="D26" s="8" t="s">
        <v>20</v>
      </c>
      <c r="E26" s="8" t="s">
        <v>12</v>
      </c>
      <c r="F26" s="8" t="s">
        <v>13</v>
      </c>
      <c r="G26" s="8" t="s">
        <v>21</v>
      </c>
      <c r="H26" s="14" t="str">
        <f>SUBSTITUTE(Sheet1!H26, ",", "")</f>
        <v>5076</v>
      </c>
      <c r="I26" s="15" t="str">
        <f>SUBSTITUTE(Sheet1!K26, "Rp", "")</f>
        <v>1514550000</v>
      </c>
    </row>
    <row r="27">
      <c r="A27" s="8" t="s">
        <v>117</v>
      </c>
      <c r="B27" s="13" t="str">
        <f>HYPERLINK("https://shopee.co.id/SOMETHINC-Bakuchiol-Skinpair-Oil-Serum-20ml-i.195455930.7068614970", "https://shopee.co.id/SOMETHINC-Bakuchiol-Skinpair-Oil-Serum-20ml-i.195455930.7068614970")</f>
        <v>https://shopee.co.id/SOMETHINC-Bakuchiol-Skinpair-Oil-Serum-20ml-i.195455930.7068614970</v>
      </c>
      <c r="C27" s="8" t="s">
        <v>45</v>
      </c>
      <c r="D27" s="8" t="s">
        <v>46</v>
      </c>
      <c r="E27" s="8" t="s">
        <v>12</v>
      </c>
      <c r="F27" s="8" t="s">
        <v>13</v>
      </c>
      <c r="G27" s="8" t="s">
        <v>21</v>
      </c>
      <c r="H27" s="14" t="str">
        <f>SUBSTITUTE(Sheet1!H27, ",", "")</f>
        <v>4951</v>
      </c>
      <c r="I27" s="15" t="str">
        <f>SUBSTITUTE(Sheet1!K27, "Rp", "")</f>
        <v>440639000</v>
      </c>
    </row>
    <row r="28">
      <c r="A28" s="8" t="s">
        <v>285</v>
      </c>
      <c r="B28" s="13" t="str">
        <f>HYPERLINK("https://shopee.co.id/Madame-Gie-Madame-Serum-Skin-Care-Face-Serum-i.94309880.7866764988", "https://shopee.co.id/Madame-Gie-Madame-Serum-Skin-Care-Face-Serum-i.94309880.7866764988")</f>
        <v>https://shopee.co.id/Madame-Gie-Madame-Serum-Skin-Care-Face-Serum-i.94309880.7866764988</v>
      </c>
      <c r="C28" s="8" t="s">
        <v>286</v>
      </c>
      <c r="D28" s="8" t="s">
        <v>287</v>
      </c>
      <c r="E28" s="8" t="s">
        <v>12</v>
      </c>
      <c r="F28" s="8" t="s">
        <v>13</v>
      </c>
      <c r="G28" s="8" t="s">
        <v>21</v>
      </c>
      <c r="H28" s="14" t="str">
        <f>SUBSTITUTE(Sheet1!H28, ",", "")</f>
        <v>4716</v>
      </c>
      <c r="I28" s="15" t="str">
        <f>SUBSTITUTE(Sheet1!K28, "Rp", "")</f>
        <v>144438450</v>
      </c>
    </row>
    <row r="29">
      <c r="A29" s="8" t="s">
        <v>144</v>
      </c>
      <c r="B29" s="13" t="str">
        <f>HYPERLINK("https://shopee.co.id/Whitelab-Acne-Calming-Serum-i.201071840.7661397539", "https://shopee.co.id/Whitelab-Acne-Calming-Serum-i.201071840.7661397539")</f>
        <v>https://shopee.co.id/Whitelab-Acne-Calming-Serum-i.201071840.7661397539</v>
      </c>
      <c r="C29" s="8" t="s">
        <v>59</v>
      </c>
      <c r="D29" s="8" t="s">
        <v>60</v>
      </c>
      <c r="E29" s="8" t="s">
        <v>12</v>
      </c>
      <c r="F29" s="8" t="s">
        <v>13</v>
      </c>
      <c r="G29" s="8" t="s">
        <v>61</v>
      </c>
      <c r="H29" s="14" t="str">
        <f>SUBSTITUTE(Sheet1!H29, ",", "")</f>
        <v>4655</v>
      </c>
      <c r="I29" s="15" t="str">
        <f>SUBSTITUTE(Sheet1!K29, "Rp", "")</f>
        <v>363732324</v>
      </c>
    </row>
    <row r="30">
      <c r="A30" s="8" t="s">
        <v>302</v>
      </c>
      <c r="B30" s="13" t="str">
        <f>HYPERLINK("https://shopee.co.id/Azarine-Anti-Acne-Brightening-Serum-20ml-i.80036545.3865358281", "https://shopee.co.id/Azarine-Anti-Acne-Brightening-Serum-20ml-i.80036545.3865358281")</f>
        <v>https://shopee.co.id/Azarine-Anti-Acne-Brightening-Serum-20ml-i.80036545.3865358281</v>
      </c>
      <c r="C30" s="8" t="s">
        <v>233</v>
      </c>
      <c r="D30" s="8" t="s">
        <v>234</v>
      </c>
      <c r="E30" s="8" t="s">
        <v>12</v>
      </c>
      <c r="F30" s="8" t="s">
        <v>13</v>
      </c>
      <c r="G30" s="8" t="s">
        <v>115</v>
      </c>
      <c r="H30" s="14" t="str">
        <f>SUBSTITUTE(Sheet1!H30, ",", "")</f>
        <v>4597</v>
      </c>
      <c r="I30" s="15" t="str">
        <f>SUBSTITUTE(Sheet1!K30, "Rp", "")</f>
        <v>133772700</v>
      </c>
    </row>
    <row r="31">
      <c r="A31" s="8" t="s">
        <v>73</v>
      </c>
      <c r="B31" s="13" t="str">
        <f>HYPERLINK("https://shopee.co.id/Garnier-Light-Complete-Serum-Day-Night-Cream-Rangkaian-Garnier-Light-Complete-Serum-Cream-i.62583853.7841483163", "https://shopee.co.id/Garnier-Light-Complete-Serum-Day-Night-Cream-Rangkaian-Garnier-Light-Complete-Serum-Cream-i.62583853.7841483163")</f>
        <v>https://shopee.co.id/Garnier-Light-Complete-Serum-Day-Night-Cream-Rangkaian-Garnier-Light-Complete-Serum-Cream-i.62583853.7841483163</v>
      </c>
      <c r="C31" s="8" t="s">
        <v>74</v>
      </c>
      <c r="D31" s="8" t="s">
        <v>75</v>
      </c>
      <c r="E31" s="8" t="s">
        <v>12</v>
      </c>
      <c r="F31" s="8" t="s">
        <v>13</v>
      </c>
      <c r="G31" s="8" t="s">
        <v>61</v>
      </c>
      <c r="H31" s="14" t="str">
        <f>SUBSTITUTE(Sheet1!H31, ",", "")</f>
        <v>4550</v>
      </c>
      <c r="I31" s="15" t="str">
        <f>SUBSTITUTE(Sheet1!K31, "Rp", "")</f>
        <v>688348700</v>
      </c>
    </row>
    <row r="32">
      <c r="A32" s="8" t="s">
        <v>127</v>
      </c>
      <c r="B32" s="13" t="str">
        <f>HYPERLINK("https://shopee.co.id/YOU-Golden-Age-Refining-Serum-20ml-i.72375863.5211874700", "https://shopee.co.id/YOU-Golden-Age-Refining-Serum-20ml-i.72375863.5211874700")</f>
        <v>https://shopee.co.id/YOU-Golden-Age-Refining-Serum-20ml-i.72375863.5211874700</v>
      </c>
      <c r="C32" s="8" t="s">
        <v>128</v>
      </c>
      <c r="D32" s="8" t="s">
        <v>129</v>
      </c>
      <c r="E32" s="8" t="s">
        <v>12</v>
      </c>
      <c r="F32" s="8" t="s">
        <v>13</v>
      </c>
      <c r="G32" s="8" t="s">
        <v>130</v>
      </c>
      <c r="H32" s="14" t="str">
        <f>SUBSTITUTE(Sheet1!H32, ",", "")</f>
        <v>4287</v>
      </c>
      <c r="I32" s="15" t="str">
        <f>SUBSTITUTE(Sheet1!K32, "Rp", "")</f>
        <v>400710100</v>
      </c>
    </row>
    <row r="33">
      <c r="A33" s="8" t="s">
        <v>82</v>
      </c>
      <c r="B33" s="13" t="str">
        <f>HYPERLINK("https://shopee.co.id/Avoskin-Your-Skin-Bae-Alpha-Arbutin-3-Grapeseed-i.154494405.6869175407", "https://shopee.co.id/Avoskin-Your-Skin-Bae-Alpha-Arbutin-3-Grapeseed-i.154494405.6869175407")</f>
        <v>https://shopee.co.id/Avoskin-Your-Skin-Bae-Alpha-Arbutin-3-Grapeseed-i.154494405.6869175407</v>
      </c>
      <c r="C33" s="8" t="s">
        <v>83</v>
      </c>
      <c r="D33" s="8" t="s">
        <v>84</v>
      </c>
      <c r="E33" s="8" t="s">
        <v>12</v>
      </c>
      <c r="F33" s="8" t="s">
        <v>13</v>
      </c>
      <c r="G33" s="8" t="s">
        <v>85</v>
      </c>
      <c r="H33" s="14" t="str">
        <f>SUBSTITUTE(Sheet1!H33, ",", "")</f>
        <v>4280</v>
      </c>
      <c r="I33" s="15" t="str">
        <f>SUBSTITUTE(Sheet1!K33, "Rp", "")</f>
        <v>594920000</v>
      </c>
    </row>
    <row r="34">
      <c r="A34" s="8" t="s">
        <v>142</v>
      </c>
      <c r="B34" s="13" t="str">
        <f>HYPERLINK("https://shopee.co.id/SOMETHINC-SUPPLE-POWER-Hyaluronic9-Onsen-Essence-Toner-i.195455930.8226984074", "https://shopee.co.id/SOMETHINC-SUPPLE-POWER-Hyaluronic9-Onsen-Essence-Toner-i.195455930.8226984074")</f>
        <v>https://shopee.co.id/SOMETHINC-SUPPLE-POWER-Hyaluronic9-Onsen-Essence-Toner-i.195455930.8226984074</v>
      </c>
      <c r="C34" s="8" t="s">
        <v>45</v>
      </c>
      <c r="D34" s="8" t="s">
        <v>46</v>
      </c>
      <c r="E34" s="8" t="s">
        <v>12</v>
      </c>
      <c r="F34" s="8" t="s">
        <v>13</v>
      </c>
      <c r="G34" s="8" t="s">
        <v>21</v>
      </c>
      <c r="H34" s="14" t="str">
        <f>SUBSTITUTE(Sheet1!H34, ",", "")</f>
        <v>4192</v>
      </c>
      <c r="I34" s="15" t="str">
        <f>SUBSTITUTE(Sheet1!K34, "Rp", "")</f>
        <v>373088000</v>
      </c>
    </row>
    <row r="35">
      <c r="A35" s="8" t="s">
        <v>198</v>
      </c>
      <c r="B35" s="13" t="str">
        <f>HYPERLINK("https://shopee.co.id/Garnier-Bright-Complete-Vitamin-C-30x-Booster-Serum-Skin-Care-Cepat-Cerahkan-Noda-Hitam-15-ml--i.62583853.7015652399", "https://shopee.co.id/Garnier-Bright-Complete-Vitamin-C-30x-Booster-Serum-Skin-Care-Cepat-Cerahkan-Noda-Hitam-15-ml--i.62583853.7015652399")</f>
        <v>https://shopee.co.id/Garnier-Bright-Complete-Vitamin-C-30x-Booster-Serum-Skin-Care-Cepat-Cerahkan-Noda-Hitam-15-ml--i.62583853.7015652399</v>
      </c>
      <c r="C35" s="8" t="s">
        <v>74</v>
      </c>
      <c r="D35" s="8" t="s">
        <v>75</v>
      </c>
      <c r="E35" s="8" t="s">
        <v>12</v>
      </c>
      <c r="F35" s="8" t="s">
        <v>13</v>
      </c>
      <c r="G35" s="8" t="s">
        <v>61</v>
      </c>
      <c r="H35" s="14" t="str">
        <f>SUBSTITUTE(Sheet1!H35, ",", "")</f>
        <v>4044</v>
      </c>
      <c r="I35" s="15" t="str">
        <f>SUBSTITUTE(Sheet1!K35, "Rp", "")</f>
        <v>245187500</v>
      </c>
    </row>
    <row r="36">
      <c r="A36" s="8" t="s">
        <v>186</v>
      </c>
      <c r="B36" s="13" t="str">
        <f>HYPERLINK("https://shopee.co.id/Garnier-Light-Complete-Daily-Kit-Krim-Pagi-dan-Malam-Untuk-Kulit-Cerah-Cepat--i.62583853.3732810439", "https://shopee.co.id/Garnier-Light-Complete-Daily-Kit-Krim-Pagi-dan-Malam-Untuk-Kulit-Cerah-Cepat--i.62583853.3732810439")</f>
        <v>https://shopee.co.id/Garnier-Light-Complete-Daily-Kit-Krim-Pagi-dan-Malam-Untuk-Kulit-Cerah-Cepat--i.62583853.3732810439</v>
      </c>
      <c r="C36" s="8" t="s">
        <v>74</v>
      </c>
      <c r="D36" s="8" t="s">
        <v>75</v>
      </c>
      <c r="E36" s="8" t="s">
        <v>12</v>
      </c>
      <c r="F36" s="8" t="s">
        <v>13</v>
      </c>
      <c r="G36" s="8" t="s">
        <v>61</v>
      </c>
      <c r="H36" s="14" t="str">
        <f>SUBSTITUTE(Sheet1!H36, ",", "")</f>
        <v>3883</v>
      </c>
      <c r="I36" s="15" t="str">
        <f>SUBSTITUTE(Sheet1!K36, "Rp", "")</f>
        <v>273364700</v>
      </c>
    </row>
    <row r="37">
      <c r="A37" s="8" t="s">
        <v>232</v>
      </c>
      <c r="B37" s="13" t="str">
        <f>HYPERLINK("https://shopee.co.id/Azarine-C-White-Lightening-Serum-20ml-i.80036545.1347370981", "https://shopee.co.id/Azarine-C-White-Lightening-Serum-20ml-i.80036545.1347370981")</f>
        <v>https://shopee.co.id/Azarine-C-White-Lightening-Serum-20ml-i.80036545.1347370981</v>
      </c>
      <c r="C37" s="8" t="s">
        <v>233</v>
      </c>
      <c r="D37" s="8" t="s">
        <v>234</v>
      </c>
      <c r="E37" s="8" t="s">
        <v>12</v>
      </c>
      <c r="F37" s="8" t="s">
        <v>13</v>
      </c>
      <c r="G37" s="8" t="s">
        <v>115</v>
      </c>
      <c r="H37" s="14" t="str">
        <f>SUBSTITUTE(Sheet1!H37, ",", "")</f>
        <v>3856</v>
      </c>
      <c r="I37" s="15" t="str">
        <f>SUBSTITUTE(Sheet1!K37, "Rp", "")</f>
        <v>192324000</v>
      </c>
    </row>
    <row r="38">
      <c r="A38" s="8" t="s">
        <v>77</v>
      </c>
      <c r="B38" s="13" t="str">
        <f>HYPERLINK("https://shopee.co.id/MSBB-Lacoco-Dark-Spot-Essence-i.288588702.5444563049", "https://shopee.co.id/MSBB-Lacoco-Dark-Spot-Essence-i.288588702.5444563049")</f>
        <v>https://shopee.co.id/MSBB-Lacoco-Dark-Spot-Essence-i.288588702.5444563049</v>
      </c>
      <c r="C38" s="8" t="s">
        <v>78</v>
      </c>
      <c r="D38" s="8" t="s">
        <v>79</v>
      </c>
      <c r="E38" s="8" t="s">
        <v>12</v>
      </c>
      <c r="F38" s="8" t="s">
        <v>13</v>
      </c>
      <c r="G38" s="8" t="s">
        <v>80</v>
      </c>
      <c r="H38" s="14" t="str">
        <f>SUBSTITUTE(Sheet1!H38, ",", "")</f>
        <v>3749</v>
      </c>
      <c r="I38" s="15" t="str">
        <f>SUBSTITUTE(Sheet1!K38, "Rp", "")</f>
        <v>665210900</v>
      </c>
    </row>
    <row r="39">
      <c r="A39" s="8" t="s">
        <v>160</v>
      </c>
      <c r="B39" s="13" t="str">
        <f>HYPERLINK("https://shopee.co.id/SOMETHINC-5-Niacinamide-Barrier-Serum-i.195455930.6277022560", "https://shopee.co.id/SOMETHINC-5-Niacinamide-Barrier-Serum-i.195455930.6277022560")</f>
        <v>https://shopee.co.id/SOMETHINC-5-Niacinamide-Barrier-Serum-i.195455930.6277022560</v>
      </c>
      <c r="C39" s="8" t="s">
        <v>45</v>
      </c>
      <c r="D39" s="8" t="s">
        <v>46</v>
      </c>
      <c r="E39" s="8" t="s">
        <v>12</v>
      </c>
      <c r="F39" s="8" t="s">
        <v>13</v>
      </c>
      <c r="G39" s="8" t="s">
        <v>21</v>
      </c>
      <c r="H39" s="14" t="str">
        <f>SUBSTITUTE(Sheet1!H39, ",", "")</f>
        <v>3609</v>
      </c>
      <c r="I39" s="15" t="str">
        <f>SUBSTITUTE(Sheet1!K39, "Rp", "")</f>
        <v>321201000</v>
      </c>
    </row>
    <row r="40">
      <c r="A40" s="8" t="s">
        <v>87</v>
      </c>
      <c r="B40" s="13" t="str">
        <f>HYPERLINK("https://shopee.co.id/Garnier-Light-Complete-Vitamin-C-30x-Booster-Serum-Skin-Care-30-ml-x-2-pcs-Cerahkan-Noda-Hitam--i.62583853.3937850433", "https://shopee.co.id/Garnier-Light-Complete-Vitamin-C-30x-Booster-Serum-Skin-Care-30-ml-x-2-pcs-Cerahkan-Noda-Hitam--i.62583853.3937850433")</f>
        <v>https://shopee.co.id/Garnier-Light-Complete-Vitamin-C-30x-Booster-Serum-Skin-Care-30-ml-x-2-pcs-Cerahkan-Noda-Hitam--i.62583853.3937850433</v>
      </c>
      <c r="C40" s="8" t="s">
        <v>74</v>
      </c>
      <c r="D40" s="8" t="s">
        <v>75</v>
      </c>
      <c r="E40" s="8" t="s">
        <v>12</v>
      </c>
      <c r="F40" s="8" t="s">
        <v>13</v>
      </c>
      <c r="G40" s="8" t="s">
        <v>61</v>
      </c>
      <c r="H40" s="14" t="str">
        <f>SUBSTITUTE(Sheet1!H40, ",", "")</f>
        <v>3599</v>
      </c>
      <c r="I40" s="15" t="str">
        <f>SUBSTITUTE(Sheet1!K40, "Rp", "")</f>
        <v>560788500</v>
      </c>
    </row>
    <row r="41">
      <c r="A41" s="8" t="s">
        <v>226</v>
      </c>
      <c r="B41" s="13" t="str">
        <f>HYPERLINK("https://shopee.co.id/Scarlett-Acne-Serum-i.110573301.4455344555", "https://shopee.co.id/Scarlett-Acne-Serum-i.110573301.4455344555")</f>
        <v>https://shopee.co.id/Scarlett-Acne-Serum-i.110573301.4455344555</v>
      </c>
      <c r="C41" s="8" t="s">
        <v>19</v>
      </c>
      <c r="D41" s="8" t="s">
        <v>227</v>
      </c>
      <c r="E41" s="8" t="s">
        <v>12</v>
      </c>
      <c r="F41" s="8" t="s">
        <v>13</v>
      </c>
      <c r="G41" s="8" t="s">
        <v>61</v>
      </c>
      <c r="H41" s="14" t="str">
        <f>SUBSTITUTE(Sheet1!H41, ",", "")</f>
        <v>3551</v>
      </c>
      <c r="I41" s="15" t="str">
        <f>SUBSTITUTE(Sheet1!K41, "Rp", "")</f>
        <v>202239800</v>
      </c>
    </row>
    <row r="42">
      <c r="A42" s="8" t="s">
        <v>102</v>
      </c>
      <c r="B42" s="13" t="str">
        <f>HYPERLINK("https://shopee.co.id/Ms-glow-Serum-LUMINOUS-moist-bright-i.17566419.1104863702", "https://shopee.co.id/Ms-glow-Serum-LUMINOUS-moist-bright-i.17566419.1104863702")</f>
        <v>https://shopee.co.id/Ms-glow-Serum-LUMINOUS-moist-bright-i.17566419.1104863702</v>
      </c>
      <c r="C42" s="8" t="s">
        <v>96</v>
      </c>
      <c r="D42" s="8" t="s">
        <v>97</v>
      </c>
      <c r="E42" s="8" t="s">
        <v>12</v>
      </c>
      <c r="F42" s="8" t="s">
        <v>13</v>
      </c>
      <c r="G42" s="8" t="s">
        <v>98</v>
      </c>
      <c r="H42" s="14" t="str">
        <f>SUBSTITUTE(Sheet1!H42, ",", "")</f>
        <v>3354</v>
      </c>
      <c r="I42" s="15" t="str">
        <f>SUBSTITUTE(Sheet1!K42, "Rp", "")</f>
        <v>503100000</v>
      </c>
    </row>
    <row r="43">
      <c r="A43" s="8" t="s">
        <v>108</v>
      </c>
      <c r="B43" s="13" t="str">
        <f>HYPERLINK("https://shopee.co.id/L-Oreal-Paris-Revitalift-Crystal-Micro-Essence-Water-Serum-Skin-Care-65-ml-i.62579622.2379827390", "https://shopee.co.id/L-Oreal-Paris-Revitalift-Crystal-Micro-Essence-Water-Serum-Skin-Care-65-ml-i.62579622.2379827390")</f>
        <v>https://shopee.co.id/L-Oreal-Paris-Revitalift-Crystal-Micro-Essence-Water-Serum-Skin-Care-65-ml-i.62579622.2379827390</v>
      </c>
      <c r="C43" s="8" t="s">
        <v>105</v>
      </c>
      <c r="D43" s="8" t="s">
        <v>106</v>
      </c>
      <c r="E43" s="8" t="s">
        <v>12</v>
      </c>
      <c r="F43" s="8" t="s">
        <v>13</v>
      </c>
      <c r="G43" s="8" t="s">
        <v>61</v>
      </c>
      <c r="H43" s="14" t="str">
        <f>SUBSTITUTE(Sheet1!H43, ",", "")</f>
        <v>3206</v>
      </c>
      <c r="I43" s="15" t="str">
        <f>SUBSTITUTE(Sheet1!K43, "Rp", "")</f>
        <v>475998100</v>
      </c>
    </row>
    <row r="44">
      <c r="A44" s="8" t="s">
        <v>95</v>
      </c>
      <c r="B44" s="13" t="str">
        <f>HYPERLINK("https://shopee.co.id/Ms-Glow-whitening-Gold-Serum-bright-and-healthy-skin-i.17566419.7411481065", "https://shopee.co.id/Ms-Glow-whitening-Gold-Serum-bright-and-healthy-skin-i.17566419.7411481065")</f>
        <v>https://shopee.co.id/Ms-Glow-whitening-Gold-Serum-bright-and-healthy-skin-i.17566419.7411481065</v>
      </c>
      <c r="C44" s="8" t="s">
        <v>96</v>
      </c>
      <c r="D44" s="8" t="s">
        <v>97</v>
      </c>
      <c r="E44" s="8" t="s">
        <v>12</v>
      </c>
      <c r="F44" s="8" t="s">
        <v>13</v>
      </c>
      <c r="G44" s="8" t="s">
        <v>98</v>
      </c>
      <c r="H44" s="14" t="str">
        <f>SUBSTITUTE(Sheet1!H44, ",", "")</f>
        <v>3087</v>
      </c>
      <c r="I44" s="15" t="str">
        <f>SUBSTITUTE(Sheet1!K44, "Rp", "")</f>
        <v>540225000</v>
      </c>
    </row>
    <row r="45">
      <c r="A45" s="8" t="s">
        <v>89</v>
      </c>
      <c r="B45" s="13" t="str">
        <f>HYPERLINK("https://shopee.co.id/Aura-Bright-Glutathione-Vit-C-Serum--i.127215672.1920886212", "https://shopee.co.id/Aura-Bright-Glutathione-Vit-C-Serum--i.127215672.1920886212")</f>
        <v>https://shopee.co.id/Aura-Bright-Glutathione-Vit-C-Serum--i.127215672.1920886212</v>
      </c>
      <c r="C45" s="8" t="s">
        <v>90</v>
      </c>
      <c r="D45" s="8" t="s">
        <v>91</v>
      </c>
      <c r="E45" s="8" t="s">
        <v>12</v>
      </c>
      <c r="F45" s="8" t="s">
        <v>13</v>
      </c>
      <c r="G45" s="8" t="s">
        <v>21</v>
      </c>
      <c r="H45" s="14" t="str">
        <f>SUBSTITUTE(Sheet1!H45, ",", "")</f>
        <v>3046</v>
      </c>
      <c r="I45" s="15" t="str">
        <f>SUBSTITUTE(Sheet1!K45, "Rp", "")</f>
        <v>559276625</v>
      </c>
    </row>
    <row r="46">
      <c r="A46" s="8" t="s">
        <v>152</v>
      </c>
      <c r="B46" s="13" t="str">
        <f>HYPERLINK("https://shopee.co.id/SOMETHINC-CRIOUSLY-24K-GOLD-Essence-i.195455930.4118420674", "https://shopee.co.id/SOMETHINC-CRIOUSLY-24K-GOLD-Essence-i.195455930.4118420674")</f>
        <v>https://shopee.co.id/SOMETHINC-CRIOUSLY-24K-GOLD-Essence-i.195455930.4118420674</v>
      </c>
      <c r="C46" s="8" t="s">
        <v>45</v>
      </c>
      <c r="D46" s="8" t="s">
        <v>46</v>
      </c>
      <c r="E46" s="8" t="s">
        <v>12</v>
      </c>
      <c r="F46" s="8" t="s">
        <v>13</v>
      </c>
      <c r="G46" s="8" t="s">
        <v>21</v>
      </c>
      <c r="H46" s="14" t="str">
        <f>SUBSTITUTE(Sheet1!H46, ",", "")</f>
        <v>2829</v>
      </c>
      <c r="I46" s="15" t="str">
        <f>SUBSTITUTE(Sheet1!K46, "Rp", "")</f>
        <v>338065500</v>
      </c>
    </row>
    <row r="47">
      <c r="A47" s="8" t="s">
        <v>253</v>
      </c>
      <c r="B47" s="13" t="str">
        <f>HYPERLINK("https://shopee.co.id/Premiere-Beaute-Niacinamide-Centella-Serum-Luminous-White-Glow-Brightening-Serum-30ml-i.237204571.4794043147", "https://shopee.co.id/Premiere-Beaute-Niacinamide-Centella-Serum-Luminous-White-Glow-Brightening-Serum-30ml-i.237204571.4794043147")</f>
        <v>https://shopee.co.id/Premiere-Beaute-Niacinamide-Centella-Serum-Luminous-White-Glow-Brightening-Serum-30ml-i.237204571.4794043147</v>
      </c>
      <c r="C47" s="8" t="s">
        <v>254</v>
      </c>
      <c r="D47" s="8" t="s">
        <v>255</v>
      </c>
      <c r="E47" s="8" t="s">
        <v>12</v>
      </c>
      <c r="F47" s="8" t="s">
        <v>13</v>
      </c>
      <c r="G47" s="8" t="s">
        <v>61</v>
      </c>
      <c r="H47" s="14" t="str">
        <f>SUBSTITUTE(Sheet1!H47, ",", "")</f>
        <v>2787</v>
      </c>
      <c r="I47" s="15" t="str">
        <f>SUBSTITUTE(Sheet1!K47, "Rp", "")</f>
        <v>173452300</v>
      </c>
    </row>
    <row r="48">
      <c r="A48" s="8" t="s">
        <v>156</v>
      </c>
      <c r="B48" s="13" t="str">
        <f>HYPERLINK("https://shopee.co.id/Everwhite-Brightening-Essence-Serum-ChromaBright-i.85451896.2061262166", "https://shopee.co.id/Everwhite-Brightening-Essence-Serum-ChromaBright-i.85451896.2061262166")</f>
        <v>https://shopee.co.id/Everwhite-Brightening-Essence-Serum-ChromaBright-i.85451896.2061262166</v>
      </c>
      <c r="C48" s="8" t="s">
        <v>157</v>
      </c>
      <c r="D48" s="8" t="s">
        <v>158</v>
      </c>
      <c r="E48" s="8" t="s">
        <v>12</v>
      </c>
      <c r="F48" s="8" t="s">
        <v>13</v>
      </c>
      <c r="G48" s="8" t="s">
        <v>61</v>
      </c>
      <c r="H48" s="14" t="str">
        <f>SUBSTITUTE(Sheet1!H48, ",", "")</f>
        <v>2782</v>
      </c>
      <c r="I48" s="15" t="str">
        <f>SUBSTITUTE(Sheet1!K48, "Rp", "")</f>
        <v>326843750</v>
      </c>
    </row>
    <row r="49">
      <c r="A49" s="8" t="s">
        <v>224</v>
      </c>
      <c r="B49" s="13" t="str">
        <f>HYPERLINK("https://shopee.co.id/Scarlett-Whitening-Acne-to-Glow-Mini-Series-i.255365082.5793510263", "https://shopee.co.id/Scarlett-Whitening-Acne-to-Glow-Mini-Series-i.255365082.5793510263")</f>
        <v>https://shopee.co.id/Scarlett-Whitening-Acne-to-Glow-Mini-Series-i.255365082.5793510263</v>
      </c>
      <c r="C49" s="8" t="s">
        <v>19</v>
      </c>
      <c r="D49" s="8" t="s">
        <v>20</v>
      </c>
      <c r="E49" s="8" t="s">
        <v>12</v>
      </c>
      <c r="F49" s="8" t="s">
        <v>13</v>
      </c>
      <c r="G49" s="8" t="s">
        <v>21</v>
      </c>
      <c r="H49" s="14" t="str">
        <f>SUBSTITUTE(Sheet1!H49, ",", "")</f>
        <v>2761</v>
      </c>
      <c r="I49" s="15" t="str">
        <f>SUBSTITUTE(Sheet1!K49, "Rp", "")</f>
        <v>206485000</v>
      </c>
    </row>
    <row r="50">
      <c r="A50" s="8" t="s">
        <v>310</v>
      </c>
      <c r="B50" s="13" t="str">
        <f>HYPERLINK("https://shopee.co.id/Garnier-Bright-Complete-White-Speed-Serum-Day-Cream-Extra-SPF-36-PA-Skin-Care-50-ml-i.62583853.1022726857", "https://shopee.co.id/Garnier-Bright-Complete-White-Speed-Serum-Day-Cream-Extra-SPF-36-PA-Skin-Care-50-ml-i.62583853.1022726857")</f>
        <v>https://shopee.co.id/Garnier-Bright-Complete-White-Speed-Serum-Day-Cream-Extra-SPF-36-PA-Skin-Care-50-ml-i.62583853.1022726857</v>
      </c>
      <c r="C50" s="8" t="s">
        <v>74</v>
      </c>
      <c r="D50" s="8" t="s">
        <v>75</v>
      </c>
      <c r="E50" s="8" t="s">
        <v>12</v>
      </c>
      <c r="F50" s="8" t="s">
        <v>13</v>
      </c>
      <c r="G50" s="8" t="s">
        <v>61</v>
      </c>
      <c r="H50" s="14" t="str">
        <f>SUBSTITUTE(Sheet1!H50, ",", "")</f>
        <v>2735</v>
      </c>
      <c r="I50" s="15" t="str">
        <f>SUBSTITUTE(Sheet1!K50, "Rp", "")</f>
        <v>131143250</v>
      </c>
    </row>
    <row r="51">
      <c r="A51" s="8" t="s">
        <v>172</v>
      </c>
      <c r="B51" s="13" t="str">
        <f>HYPERLINK("https://shopee.co.id/L-Oreal-Paris-Revitalift-Hyaluronic-Acid-Serum-Skin-Care-Untuk-Kulit-Lembap-Tampak-Muda-Bercahaya--i.62579622.4847458933", "https://shopee.co.id/L-Oreal-Paris-Revitalift-Hyaluronic-Acid-Serum-Skin-Care-Untuk-Kulit-Lembap-Tampak-Muda-Bercahaya--i.62579622.4847458933")</f>
        <v>https://shopee.co.id/L-Oreal-Paris-Revitalift-Hyaluronic-Acid-Serum-Skin-Care-Untuk-Kulit-Lembap-Tampak-Muda-Bercahaya--i.62579622.4847458933</v>
      </c>
      <c r="C51" s="8" t="s">
        <v>105</v>
      </c>
      <c r="D51" s="8" t="s">
        <v>106</v>
      </c>
      <c r="E51" s="8" t="s">
        <v>12</v>
      </c>
      <c r="F51" s="8" t="s">
        <v>13</v>
      </c>
      <c r="G51" s="8" t="s">
        <v>61</v>
      </c>
      <c r="H51" s="14" t="str">
        <f>SUBSTITUTE(Sheet1!H51, ",", "")</f>
        <v>2685</v>
      </c>
      <c r="I51" s="15" t="str">
        <f>SUBSTITUTE(Sheet1!K51, "Rp", "")</f>
        <v>302265800</v>
      </c>
    </row>
    <row r="52">
      <c r="A52" s="8" t="s">
        <v>230</v>
      </c>
      <c r="B52" s="13" t="str">
        <f>HYPERLINK("https://shopee.co.id/Scarlett-Whitening-Brightly-to-Glow-Mini-Series-i.255365082.9373885211", "https://shopee.co.id/Scarlett-Whitening-Brightly-to-Glow-Mini-Series-i.255365082.9373885211")</f>
        <v>https://shopee.co.id/Scarlett-Whitening-Brightly-to-Glow-Mini-Series-i.255365082.9373885211</v>
      </c>
      <c r="C52" s="8" t="s">
        <v>19</v>
      </c>
      <c r="D52" s="8" t="s">
        <v>20</v>
      </c>
      <c r="E52" s="8" t="s">
        <v>12</v>
      </c>
      <c r="F52" s="8" t="s">
        <v>13</v>
      </c>
      <c r="G52" s="8" t="s">
        <v>21</v>
      </c>
      <c r="H52" s="14" t="str">
        <f>SUBSTITUTE(Sheet1!H52, ",", "")</f>
        <v>2671</v>
      </c>
      <c r="I52" s="15" t="str">
        <f>SUBSTITUTE(Sheet1!K52, "Rp", "")</f>
        <v>199555000</v>
      </c>
    </row>
    <row r="53">
      <c r="A53" s="8" t="s">
        <v>132</v>
      </c>
      <c r="B53" s="13" t="str">
        <f>HYPERLINK("https://shopee.co.id/MS-GLOW-Lifting-Serum-i.17566419.640598068", "https://shopee.co.id/MS-GLOW-Lifting-Serum-i.17566419.640598068")</f>
        <v>https://shopee.co.id/MS-GLOW-Lifting-Serum-i.17566419.640598068</v>
      </c>
      <c r="C53" s="8" t="s">
        <v>96</v>
      </c>
      <c r="D53" s="8" t="s">
        <v>97</v>
      </c>
      <c r="E53" s="8" t="s">
        <v>12</v>
      </c>
      <c r="F53" s="8" t="s">
        <v>13</v>
      </c>
      <c r="G53" s="8" t="s">
        <v>98</v>
      </c>
      <c r="H53" s="14" t="str">
        <f>SUBSTITUTE(Sheet1!H53, ",", "")</f>
        <v>2665</v>
      </c>
      <c r="I53" s="15" t="str">
        <f>SUBSTITUTE(Sheet1!K53, "Rp", "")</f>
        <v>399750000</v>
      </c>
    </row>
    <row r="54">
      <c r="A54" s="8" t="s">
        <v>423</v>
      </c>
      <c r="B54" s="13" t="str">
        <f>HYPERLINK("https://shopee.co.id/Azarine-Miraclear-Herbal-Peeling-Serum-AHA-BHA-20ml-i.80036545.3156205728", "https://shopee.co.id/Azarine-Miraclear-Herbal-Peeling-Serum-AHA-BHA-20ml-i.80036545.3156205728")</f>
        <v>https://shopee.co.id/Azarine-Miraclear-Herbal-Peeling-Serum-AHA-BHA-20ml-i.80036545.3156205728</v>
      </c>
      <c r="C54" s="8" t="s">
        <v>233</v>
      </c>
      <c r="D54" s="8" t="s">
        <v>234</v>
      </c>
      <c r="E54" s="8" t="s">
        <v>12</v>
      </c>
      <c r="F54" s="8" t="s">
        <v>13</v>
      </c>
      <c r="G54" s="8" t="s">
        <v>115</v>
      </c>
      <c r="H54" s="14" t="str">
        <f>SUBSTITUTE(Sheet1!H54, ",", "")</f>
        <v>2656</v>
      </c>
      <c r="I54" s="15" t="str">
        <f>SUBSTITUTE(Sheet1!K54, "Rp", "")</f>
        <v>74862740</v>
      </c>
    </row>
    <row r="55">
      <c r="A55" s="8" t="s">
        <v>110</v>
      </c>
      <c r="B55" s="13" t="str">
        <f>HYPERLINK("https://shopee.co.id/Ms-glow-Deep-TREATMENT-ESSENCE-i.17566419.7711389261", "https://shopee.co.id/Ms-glow-Deep-TREATMENT-ESSENCE-i.17566419.7711389261")</f>
        <v>https://shopee.co.id/Ms-glow-Deep-TREATMENT-ESSENCE-i.17566419.7711389261</v>
      </c>
      <c r="C55" s="8" t="s">
        <v>96</v>
      </c>
      <c r="D55" s="8" t="s">
        <v>97</v>
      </c>
      <c r="E55" s="8" t="s">
        <v>12</v>
      </c>
      <c r="F55" s="8" t="s">
        <v>13</v>
      </c>
      <c r="G55" s="8" t="s">
        <v>98</v>
      </c>
      <c r="H55" s="14" t="str">
        <f>SUBSTITUTE(Sheet1!H55, ",", "")</f>
        <v>2649</v>
      </c>
      <c r="I55" s="15" t="str">
        <f>SUBSTITUTE(Sheet1!K55, "Rp", "")</f>
        <v>463575000</v>
      </c>
    </row>
    <row r="56">
      <c r="A56" s="8" t="s">
        <v>590</v>
      </c>
      <c r="B56" s="13" t="str">
        <f>HYPERLINK("https://shopee.co.id/Dove-Deodorant-Dry-Serum-Underarm-Care-Regenerate-Care-Collagen-And-Vitamin-B3-50Ml-i.14318452.5606578325", "https://shopee.co.id/Dove-Deodorant-Dry-Serum-Underarm-Care-Regenerate-Care-Collagen-And-Vitamin-B3-50Ml-i.14318452.5606578325")</f>
        <v>https://shopee.co.id/Dove-Deodorant-Dry-Serum-Underarm-Care-Regenerate-Care-Collagen-And-Vitamin-B3-50Ml-i.14318452.5606578325</v>
      </c>
      <c r="C56" s="8" t="s">
        <v>591</v>
      </c>
      <c r="D56" s="8" t="s">
        <v>326</v>
      </c>
      <c r="E56" s="8" t="s">
        <v>12</v>
      </c>
      <c r="F56" s="8" t="s">
        <v>13</v>
      </c>
      <c r="G56" s="8" t="s">
        <v>296</v>
      </c>
      <c r="H56" s="14" t="str">
        <f>SUBSTITUTE(Sheet1!H56, ",", "")</f>
        <v>2634</v>
      </c>
      <c r="I56" s="15" t="str">
        <f>SUBSTITUTE(Sheet1!K56, "Rp", "")</f>
        <v>49502000</v>
      </c>
    </row>
    <row r="57">
      <c r="A57" s="8" t="s">
        <v>204</v>
      </c>
      <c r="B57" s="13" t="str">
        <f>HYPERLINK("https://shopee.co.id/Garnier-Sakura-White-Hyaluron-30x-Booster-Serum-Skin-Care-30-ml-Untuk-Kulit-Glowing-Dalam-7-Hari--i.62583853.3723054486", "https://shopee.co.id/Garnier-Sakura-White-Hyaluron-30x-Booster-Serum-Skin-Care-30-ml-Untuk-Kulit-Glowing-Dalam-7-Hari--i.62583853.3723054486")</f>
        <v>https://shopee.co.id/Garnier-Sakura-White-Hyaluron-30x-Booster-Serum-Skin-Care-30-ml-Untuk-Kulit-Glowing-Dalam-7-Hari--i.62583853.3723054486</v>
      </c>
      <c r="C57" s="8" t="s">
        <v>74</v>
      </c>
      <c r="D57" s="8" t="s">
        <v>75</v>
      </c>
      <c r="E57" s="8" t="s">
        <v>12</v>
      </c>
      <c r="F57" s="8" t="s">
        <v>13</v>
      </c>
      <c r="G57" s="8" t="s">
        <v>61</v>
      </c>
      <c r="H57" s="14" t="str">
        <f>SUBSTITUTE(Sheet1!H57, ",", "")</f>
        <v>2620</v>
      </c>
      <c r="I57" s="15" t="str">
        <f>SUBSTITUTE(Sheet1!K57, "Rp", "")</f>
        <v>234834300</v>
      </c>
    </row>
    <row r="58">
      <c r="A58" s="8" t="s">
        <v>202</v>
      </c>
      <c r="B58" s="13" t="str">
        <f>HYPERLINK("https://shopee.co.id/Garnier-Sakura-White-Daily-Kit-Krim-Pagi-dan-Malam-Untuk-Kulit-Cerah-Merona--i.62583853.3932809781", "https://shopee.co.id/Garnier-Sakura-White-Daily-Kit-Krim-Pagi-dan-Malam-Untuk-Kulit-Cerah-Merona--i.62583853.3932809781")</f>
        <v>https://shopee.co.id/Garnier-Sakura-White-Daily-Kit-Krim-Pagi-dan-Malam-Untuk-Kulit-Cerah-Merona--i.62583853.3932809781</v>
      </c>
      <c r="C58" s="8" t="s">
        <v>74</v>
      </c>
      <c r="D58" s="8" t="s">
        <v>75</v>
      </c>
      <c r="E58" s="8" t="s">
        <v>12</v>
      </c>
      <c r="F58" s="8" t="s">
        <v>13</v>
      </c>
      <c r="G58" s="8" t="s">
        <v>61</v>
      </c>
      <c r="H58" s="14" t="str">
        <f>SUBSTITUTE(Sheet1!H58, ",", "")</f>
        <v>2580</v>
      </c>
      <c r="I58" s="15" t="str">
        <f>SUBSTITUTE(Sheet1!K58, "Rp", "")</f>
        <v>235837600</v>
      </c>
    </row>
    <row r="59">
      <c r="A59" s="8" t="s">
        <v>176</v>
      </c>
      <c r="B59" s="13" t="str">
        <f>HYPERLINK("https://shopee.co.id/SOMETHINC-10-Niacinamide-Barrier-Serum-i.195455930.6677023326", "https://shopee.co.id/SOMETHINC-10-Niacinamide-Barrier-Serum-i.195455930.6677023326")</f>
        <v>https://shopee.co.id/SOMETHINC-10-Niacinamide-Barrier-Serum-i.195455930.6677023326</v>
      </c>
      <c r="C59" s="8" t="s">
        <v>45</v>
      </c>
      <c r="D59" s="8" t="s">
        <v>46</v>
      </c>
      <c r="E59" s="8" t="s">
        <v>12</v>
      </c>
      <c r="F59" s="8" t="s">
        <v>13</v>
      </c>
      <c r="G59" s="8" t="s">
        <v>21</v>
      </c>
      <c r="H59" s="14" t="str">
        <f>SUBSTITUTE(Sheet1!H59, ",", "")</f>
        <v>2551</v>
      </c>
      <c r="I59" s="15" t="str">
        <f>SUBSTITUTE(Sheet1!K59, "Rp", "")</f>
        <v>294640500</v>
      </c>
    </row>
    <row r="60">
      <c r="A60" s="8" t="s">
        <v>322</v>
      </c>
      <c r="B60" s="13" t="str">
        <f>HYPERLINK("https://shopee.co.id/Garnier-Sakura-White-Serum-Day-Cream-SPF30-PA-Skin-Care-50-ml-Untuk-Kulit-Cerah-Merona--i.62583853.1022757645", "https://shopee.co.id/Garnier-Sakura-White-Serum-Day-Cream-SPF30-PA-Skin-Care-50-ml-Untuk-Kulit-Cerah-Merona--i.62583853.1022757645")</f>
        <v>https://shopee.co.id/Garnier-Sakura-White-Serum-Day-Cream-SPF30-PA-Skin-Care-50-ml-Untuk-Kulit-Cerah-Merona--i.62583853.1022757645</v>
      </c>
      <c r="C60" s="8" t="s">
        <v>74</v>
      </c>
      <c r="D60" s="8" t="s">
        <v>75</v>
      </c>
      <c r="E60" s="8" t="s">
        <v>12</v>
      </c>
      <c r="F60" s="8" t="s">
        <v>13</v>
      </c>
      <c r="G60" s="8" t="s">
        <v>61</v>
      </c>
      <c r="H60" s="14" t="str">
        <f>SUBSTITUTE(Sheet1!H60, ",", "")</f>
        <v>2396</v>
      </c>
      <c r="I60" s="15" t="str">
        <f>SUBSTITUTE(Sheet1!K60, "Rp", "")</f>
        <v>121594000</v>
      </c>
    </row>
    <row r="61">
      <c r="A61" s="8" t="s">
        <v>339</v>
      </c>
      <c r="B61" s="13" t="str">
        <f>HYPERLINK("https://shopee.co.id/White-Story-Brightening-Face-Serum-i.405973920.7686399978", "https://shopee.co.id/White-Story-Brightening-Face-Serum-i.405973920.7686399978")</f>
        <v>https://shopee.co.id/White-Story-Brightening-Face-Serum-i.405973920.7686399978</v>
      </c>
      <c r="C61" s="8" t="s">
        <v>55</v>
      </c>
      <c r="D61" s="8" t="s">
        <v>56</v>
      </c>
      <c r="E61" s="8" t="s">
        <v>12</v>
      </c>
      <c r="F61" s="8" t="s">
        <v>13</v>
      </c>
      <c r="G61" s="8" t="s">
        <v>36</v>
      </c>
      <c r="H61" s="14" t="str">
        <f>SUBSTITUTE(Sheet1!H61, ",", "")</f>
        <v>2338</v>
      </c>
      <c r="I61" s="15" t="str">
        <f>SUBSTITUTE(Sheet1!K61, "Rp", "")</f>
        <v>109636900</v>
      </c>
    </row>
    <row r="62">
      <c r="A62" s="8" t="s">
        <v>93</v>
      </c>
      <c r="B62" s="13" t="str">
        <f>HYPERLINK("https://shopee.co.id/Avoskin-Miraculous-Retinol-Ampoule-i.154494405.4332472063", "https://shopee.co.id/Avoskin-Miraculous-Retinol-Ampoule-i.154494405.4332472063")</f>
        <v>https://shopee.co.id/Avoskin-Miraculous-Retinol-Ampoule-i.154494405.4332472063</v>
      </c>
      <c r="C62" s="8" t="s">
        <v>83</v>
      </c>
      <c r="D62" s="8" t="s">
        <v>84</v>
      </c>
      <c r="E62" s="8" t="s">
        <v>12</v>
      </c>
      <c r="F62" s="8" t="s">
        <v>13</v>
      </c>
      <c r="G62" s="8" t="s">
        <v>85</v>
      </c>
      <c r="H62" s="14" t="str">
        <f>SUBSTITUTE(Sheet1!H62, ",", "")</f>
        <v>2289</v>
      </c>
      <c r="I62" s="15" t="str">
        <f>SUBSTITUTE(Sheet1!K62, "Rp", "")</f>
        <v>555603620</v>
      </c>
    </row>
    <row r="63">
      <c r="A63" s="8" t="s">
        <v>125</v>
      </c>
      <c r="B63" s="13" t="str">
        <f>HYPERLINK("https://shopee.co.id/SOMETHINC-Repair-Your-Skinbarrier-i.195455930.8663871286", "https://shopee.co.id/SOMETHINC-Repair-Your-Skinbarrier-i.195455930.8663871286")</f>
        <v>https://shopee.co.id/SOMETHINC-Repair-Your-Skinbarrier-i.195455930.8663871286</v>
      </c>
      <c r="C63" s="8" t="s">
        <v>45</v>
      </c>
      <c r="D63" s="8" t="s">
        <v>46</v>
      </c>
      <c r="E63" s="8" t="s">
        <v>12</v>
      </c>
      <c r="F63" s="8" t="s">
        <v>13</v>
      </c>
      <c r="G63" s="8" t="s">
        <v>21</v>
      </c>
      <c r="H63" s="14" t="str">
        <f>SUBSTITUTE(Sheet1!H63, ",", "")</f>
        <v>2263</v>
      </c>
      <c r="I63" s="15" t="str">
        <f>SUBSTITUTE(Sheet1!K63, "Rp", "")</f>
        <v>419102300</v>
      </c>
    </row>
    <row r="64">
      <c r="A64" s="8" t="s">
        <v>308</v>
      </c>
      <c r="B64" s="13" t="str">
        <f>HYPERLINK("https://shopee.co.id/Scarlett-Brightly-Ever-After-Serum-i.110573301.6455045424", "https://shopee.co.id/Scarlett-Brightly-Ever-After-Serum-i.110573301.6455045424")</f>
        <v>https://shopee.co.id/Scarlett-Brightly-Ever-After-Serum-i.110573301.6455045424</v>
      </c>
      <c r="C64" s="8" t="s">
        <v>19</v>
      </c>
      <c r="D64" s="8" t="s">
        <v>227</v>
      </c>
      <c r="E64" s="8" t="s">
        <v>12</v>
      </c>
      <c r="F64" s="8" t="s">
        <v>13</v>
      </c>
      <c r="G64" s="8" t="s">
        <v>61</v>
      </c>
      <c r="H64" s="14" t="str">
        <f>SUBSTITUTE(Sheet1!H64, ",", "")</f>
        <v>2252</v>
      </c>
      <c r="I64" s="15" t="str">
        <f>SUBSTITUTE(Sheet1!K64, "Rp", "")</f>
        <v>132106100</v>
      </c>
    </row>
    <row r="65">
      <c r="A65" s="8" t="s">
        <v>229</v>
      </c>
      <c r="B65" s="13" t="str">
        <f>HYPERLINK("https://shopee.co.id/YOU-The-Radiance-White-Nourishing-Serum-20ml-i.72375863.7655069323", "https://shopee.co.id/YOU-The-Radiance-White-Nourishing-Serum-20ml-i.72375863.7655069323")</f>
        <v>https://shopee.co.id/YOU-The-Radiance-White-Nourishing-Serum-20ml-i.72375863.7655069323</v>
      </c>
      <c r="C65" s="8" t="s">
        <v>128</v>
      </c>
      <c r="D65" s="8" t="s">
        <v>129</v>
      </c>
      <c r="E65" s="8" t="s">
        <v>12</v>
      </c>
      <c r="F65" s="8" t="s">
        <v>13</v>
      </c>
      <c r="G65" s="8" t="s">
        <v>130</v>
      </c>
      <c r="H65" s="14" t="str">
        <f>SUBSTITUTE(Sheet1!H65, ",", "")</f>
        <v>2200</v>
      </c>
      <c r="I65" s="15" t="str">
        <f>SUBSTITUTE(Sheet1!K65, "Rp", "")</f>
        <v>201187060</v>
      </c>
    </row>
    <row r="66">
      <c r="A66" s="8" t="s">
        <v>271</v>
      </c>
      <c r="B66" s="13" t="str">
        <f>HYPERLINK("https://shopee.co.id/Wardah-Renew-You-Anti-Aging-Intensive-Serum-17-ml-Serum-Anti-Aging-Samarkan-Garis-Halus-i.59763733.1080218030", "https://shopee.co.id/Wardah-Renew-You-Anti-Aging-Intensive-Serum-17-ml-Serum-Anti-Aging-Samarkan-Garis-Halus-i.59763733.1080218030")</f>
        <v>https://shopee.co.id/Wardah-Renew-You-Anti-Aging-Intensive-Serum-17-ml-Serum-Anti-Aging-Samarkan-Garis-Halus-i.59763733.1080218030</v>
      </c>
      <c r="C66" s="8" t="s">
        <v>169</v>
      </c>
      <c r="D66" s="8" t="s">
        <v>170</v>
      </c>
      <c r="E66" s="8" t="s">
        <v>12</v>
      </c>
      <c r="F66" s="8" t="s">
        <v>13</v>
      </c>
      <c r="G66" s="8" t="s">
        <v>98</v>
      </c>
      <c r="H66" s="14" t="str">
        <f>SUBSTITUTE(Sheet1!H66, ",", "")</f>
        <v>2190</v>
      </c>
      <c r="I66" s="15" t="str">
        <f>SUBSTITUTE(Sheet1!K66, "Rp", "")</f>
        <v>154138140</v>
      </c>
    </row>
    <row r="67">
      <c r="A67" s="8" t="s">
        <v>194</v>
      </c>
      <c r="B67" s="13" t="str">
        <f>HYPERLINK("https://shopee.co.id/Nutrishe-Intensive-Bright-Glow-Serum-i.593789.4546230356", "https://shopee.co.id/Nutrishe-Intensive-Bright-Glow-Serum-i.593789.4546230356")</f>
        <v>https://shopee.co.id/Nutrishe-Intensive-Bright-Glow-Serum-i.593789.4546230356</v>
      </c>
      <c r="C67" s="8" t="s">
        <v>195</v>
      </c>
      <c r="D67" s="8" t="s">
        <v>196</v>
      </c>
      <c r="E67" s="8" t="s">
        <v>12</v>
      </c>
      <c r="F67" s="8" t="s">
        <v>13</v>
      </c>
      <c r="G67" s="8" t="s">
        <v>85</v>
      </c>
      <c r="H67" s="14" t="str">
        <f>SUBSTITUTE(Sheet1!H67, ",", "")</f>
        <v>2149</v>
      </c>
      <c r="I67" s="15" t="str">
        <f>SUBSTITUTE(Sheet1!K67, "Rp", "")</f>
        <v>251433000</v>
      </c>
    </row>
    <row r="68">
      <c r="A68" s="8" t="s">
        <v>356</v>
      </c>
      <c r="B68" s="13" t="str">
        <f>HYPERLINK("https://shopee.co.id/Wardah-Lightening-Serum-Ampoule-5x5-ml-Serum-dengan-10X-Advanced-Niacinamide-dan-Bisabolol-i.59763733.3743025132", "https://shopee.co.id/Wardah-Lightening-Serum-Ampoule-5x5-ml-Serum-dengan-10X-Advanced-Niacinamide-dan-Bisabolol-i.59763733.3743025132")</f>
        <v>https://shopee.co.id/Wardah-Lightening-Serum-Ampoule-5x5-ml-Serum-dengan-10X-Advanced-Niacinamide-dan-Bisabolol-i.59763733.3743025132</v>
      </c>
      <c r="C68" s="8" t="s">
        <v>169</v>
      </c>
      <c r="D68" s="8" t="s">
        <v>170</v>
      </c>
      <c r="E68" s="8" t="s">
        <v>12</v>
      </c>
      <c r="F68" s="8" t="s">
        <v>13</v>
      </c>
      <c r="G68" s="8" t="s">
        <v>98</v>
      </c>
      <c r="H68" s="14" t="str">
        <f>SUBSTITUTE(Sheet1!H68, ",", "")</f>
        <v>2130</v>
      </c>
      <c r="I68" s="15" t="str">
        <f>SUBSTITUTE(Sheet1!K68, "Rp", "")</f>
        <v>101971625</v>
      </c>
    </row>
    <row r="69">
      <c r="A69" s="8" t="s">
        <v>174</v>
      </c>
      <c r="B69" s="13" t="str">
        <f>HYPERLINK("https://shopee.co.id/Avoskin-Your-Skin-Bae-Marine-Collagen-10-Ginseng-Root-i.154494405.5169177930", "https://shopee.co.id/Avoskin-Your-Skin-Bae-Marine-Collagen-10-Ginseng-Root-i.154494405.5169177930")</f>
        <v>https://shopee.co.id/Avoskin-Your-Skin-Bae-Marine-Collagen-10-Ginseng-Root-i.154494405.5169177930</v>
      </c>
      <c r="C69" s="8" t="s">
        <v>83</v>
      </c>
      <c r="D69" s="8" t="s">
        <v>84</v>
      </c>
      <c r="E69" s="8" t="s">
        <v>12</v>
      </c>
      <c r="F69" s="8" t="s">
        <v>13</v>
      </c>
      <c r="G69" s="8" t="s">
        <v>85</v>
      </c>
      <c r="H69" s="14" t="str">
        <f>SUBSTITUTE(Sheet1!H69, ",", "")</f>
        <v>2121</v>
      </c>
      <c r="I69" s="15" t="str">
        <f>SUBSTITUTE(Sheet1!K69, "Rp", "")</f>
        <v>294819000</v>
      </c>
    </row>
    <row r="70">
      <c r="A70" s="8" t="s">
        <v>178</v>
      </c>
      <c r="B70" s="13" t="str">
        <f>HYPERLINK("https://shopee.co.id/Avoskin-Your-Skin-Bae-Vitamin-C-3-Niacinamide-2-Mandarin-Orange-Fruit-Extract-Serum-i.154494405.8518514302", "https://shopee.co.id/Avoskin-Your-Skin-Bae-Vitamin-C-3-Niacinamide-2-Mandarin-Orange-Fruit-Extract-Serum-i.154494405.8518514302")</f>
        <v>https://shopee.co.id/Avoskin-Your-Skin-Bae-Vitamin-C-3-Niacinamide-2-Mandarin-Orange-Fruit-Extract-Serum-i.154494405.8518514302</v>
      </c>
      <c r="C70" s="8" t="s">
        <v>83</v>
      </c>
      <c r="D70" s="8" t="s">
        <v>84</v>
      </c>
      <c r="E70" s="8" t="s">
        <v>12</v>
      </c>
      <c r="F70" s="8" t="s">
        <v>13</v>
      </c>
      <c r="G70" s="8" t="s">
        <v>85</v>
      </c>
      <c r="H70" s="14" t="str">
        <f>SUBSTITUTE(Sheet1!H70, ",", "")</f>
        <v>2117</v>
      </c>
      <c r="I70" s="15" t="str">
        <f>SUBSTITUTE(Sheet1!K70, "Rp", "")</f>
        <v>294263000</v>
      </c>
    </row>
    <row r="71">
      <c r="A71" s="8" t="s">
        <v>184</v>
      </c>
      <c r="B71" s="13" t="str">
        <f>HYPERLINK("https://shopee.co.id/Avoskin-Perfect-Hydrating-Treatment-Essence-30ml-Travel-Size-i.154494405.2898700343", "https://shopee.co.id/Avoskin-Perfect-Hydrating-Treatment-Essence-30ml-Travel-Size-i.154494405.2898700343")</f>
        <v>https://shopee.co.id/Avoskin-Perfect-Hydrating-Treatment-Essence-30ml-Travel-Size-i.154494405.2898700343</v>
      </c>
      <c r="C71" s="8" t="s">
        <v>83</v>
      </c>
      <c r="D71" s="8" t="s">
        <v>84</v>
      </c>
      <c r="E71" s="8" t="s">
        <v>12</v>
      </c>
      <c r="F71" s="8" t="s">
        <v>13</v>
      </c>
      <c r="G71" s="8" t="s">
        <v>85</v>
      </c>
      <c r="H71" s="14" t="str">
        <f>SUBSTITUTE(Sheet1!H71, ",", "")</f>
        <v>2065</v>
      </c>
      <c r="I71" s="15" t="str">
        <f>SUBSTITUTE(Sheet1!K71, "Rp", "")</f>
        <v>282719000</v>
      </c>
    </row>
    <row r="72">
      <c r="A72" s="8" t="s">
        <v>140</v>
      </c>
      <c r="B72" s="13" t="str">
        <f>HYPERLINK("https://shopee.co.id/SOMETHINC-BRIGHT-SKINPAIR-Bakuchiol-10-Niacinamide-Sabi-20ml--i.195455930.8216176295", "https://shopee.co.id/SOMETHINC-BRIGHT-SKINPAIR-Bakuchiol-10-Niacinamide-Sabi-20ml--i.195455930.8216176295")</f>
        <v>https://shopee.co.id/SOMETHINC-BRIGHT-SKINPAIR-Bakuchiol-10-Niacinamide-Sabi-20ml--i.195455930.8216176295</v>
      </c>
      <c r="C72" s="8" t="s">
        <v>45</v>
      </c>
      <c r="D72" s="8" t="s">
        <v>46</v>
      </c>
      <c r="E72" s="8" t="s">
        <v>12</v>
      </c>
      <c r="F72" s="8" t="s">
        <v>13</v>
      </c>
      <c r="G72" s="8" t="s">
        <v>21</v>
      </c>
      <c r="H72" s="14" t="str">
        <f>SUBSTITUTE(Sheet1!H72, ",", "")</f>
        <v>2038</v>
      </c>
      <c r="I72" s="15" t="str">
        <f>SUBSTITUTE(Sheet1!K72, "Rp", "")</f>
        <v>376361800</v>
      </c>
    </row>
    <row r="73">
      <c r="A73" s="8" t="s">
        <v>188</v>
      </c>
      <c r="B73" s="13" t="str">
        <f>HYPERLINK("https://shopee.co.id/Bening-s-Ultimate-Serum-i.190390143.4702968571", "https://shopee.co.id/Bening-s-Ultimate-Serum-i.190390143.4702968571")</f>
        <v>https://shopee.co.id/Bening-s-Ultimate-Serum-i.190390143.4702968571</v>
      </c>
      <c r="C73" s="8" t="s">
        <v>10</v>
      </c>
      <c r="D73" s="8" t="s">
        <v>11</v>
      </c>
      <c r="E73" s="8" t="s">
        <v>12</v>
      </c>
      <c r="F73" s="8" t="s">
        <v>13</v>
      </c>
      <c r="G73" s="8" t="s">
        <v>14</v>
      </c>
      <c r="H73" s="14" t="str">
        <f>SUBSTITUTE(Sheet1!H73, ",", "")</f>
        <v>2013</v>
      </c>
      <c r="I73" s="15" t="str">
        <f>SUBSTITUTE(Sheet1!K73, "Rp", "")</f>
        <v>272865000</v>
      </c>
    </row>
    <row r="74">
      <c r="A74" s="8" t="s">
        <v>150</v>
      </c>
      <c r="B74" s="13" t="str">
        <f>HYPERLINK("https://shopee.co.id/TRUEVE-VITAMIN-C-CERAMIDE-Brightening-Serum-30-ML-Serum-Wajah-i.310417610.5956774605", "https://shopee.co.id/TRUEVE-VITAMIN-C-CERAMIDE-Brightening-Serum-30-ML-Serum-Wajah-i.310417610.5956774605")</f>
        <v>https://shopee.co.id/TRUEVE-VITAMIN-C-CERAMIDE-Brightening-Serum-30-ML-Serum-Wajah-i.310417610.5956774605</v>
      </c>
      <c r="C74" s="8" t="s">
        <v>34</v>
      </c>
      <c r="D74" s="8" t="s">
        <v>35</v>
      </c>
      <c r="E74" s="8" t="s">
        <v>12</v>
      </c>
      <c r="F74" s="8" t="s">
        <v>13</v>
      </c>
      <c r="G74" s="8" t="s">
        <v>36</v>
      </c>
      <c r="H74" s="14" t="str">
        <f>SUBSTITUTE(Sheet1!H74, ",", "")</f>
        <v>2005</v>
      </c>
      <c r="I74" s="15" t="str">
        <f>SUBSTITUTE(Sheet1!K74, "Rp", "")</f>
        <v>346369105</v>
      </c>
    </row>
    <row r="75">
      <c r="A75" s="8" t="s">
        <v>192</v>
      </c>
      <c r="B75" s="13" t="str">
        <f>HYPERLINK("https://shopee.co.id/Garnier-Sakura-White-Hyaluron-30x-Booster-Serum-Skin-Care-30-ml-x-2-pcs-Kulit-Glowing-Dalam-7-Hari--i.62583853.6538434960", "https://shopee.co.id/Garnier-Sakura-White-Hyaluron-30x-Booster-Serum-Skin-Care-30-ml-x-2-pcs-Kulit-Glowing-Dalam-7-Hari--i.62583853.6538434960")</f>
        <v>https://shopee.co.id/Garnier-Sakura-White-Hyaluron-30x-Booster-Serum-Skin-Care-30-ml-x-2-pcs-Kulit-Glowing-Dalam-7-Hari--i.62583853.6538434960</v>
      </c>
      <c r="C75" s="8" t="s">
        <v>74</v>
      </c>
      <c r="D75" s="8" t="s">
        <v>75</v>
      </c>
      <c r="E75" s="8" t="s">
        <v>12</v>
      </c>
      <c r="F75" s="8" t="s">
        <v>13</v>
      </c>
      <c r="G75" s="8" t="s">
        <v>61</v>
      </c>
      <c r="H75" s="14" t="str">
        <f>SUBSTITUTE(Sheet1!H75, ",", "")</f>
        <v>1987</v>
      </c>
      <c r="I75" s="15" t="str">
        <f>SUBSTITUTE(Sheet1!K75, "Rp", "")</f>
        <v>267264800</v>
      </c>
    </row>
    <row r="76">
      <c r="A76" s="8" t="s">
        <v>735</v>
      </c>
      <c r="B76" s="13" t="str">
        <f>HYPERLINK("https://shopee.co.id/Ponds-Bright-Beauty-Power-Serum-7-5G-i.14318452.8935272757", "https://shopee.co.id/Ponds-Bright-Beauty-Power-Serum-7-5G-i.14318452.8935272757")</f>
        <v>https://shopee.co.id/Ponds-Bright-Beauty-Power-Serum-7-5G-i.14318452.8935272757</v>
      </c>
      <c r="C76" s="8" t="s">
        <v>325</v>
      </c>
      <c r="D76" s="8" t="s">
        <v>326</v>
      </c>
      <c r="E76" s="8" t="s">
        <v>12</v>
      </c>
      <c r="F76" s="8" t="s">
        <v>13</v>
      </c>
      <c r="G76" s="8" t="s">
        <v>296</v>
      </c>
      <c r="H76" s="14" t="str">
        <f>SUBSTITUTE(Sheet1!H76, ",", "")</f>
        <v>1983</v>
      </c>
      <c r="I76" s="15" t="str">
        <f>SUBSTITUTE(Sheet1!K76, "Rp", "")</f>
        <v>35747640</v>
      </c>
    </row>
    <row r="77">
      <c r="A77" s="8" t="s">
        <v>658</v>
      </c>
      <c r="B77" s="13" t="str">
        <f>HYPERLINK("https://shopee.co.id/Azarine-Easy-White-Herbal-Moisturizer-Serum-20ml-i.80036545.7547035010", "https://shopee.co.id/Azarine-Easy-White-Herbal-Moisturizer-Serum-20ml-i.80036545.7547035010")</f>
        <v>https://shopee.co.id/Azarine-Easy-White-Herbal-Moisturizer-Serum-20ml-i.80036545.7547035010</v>
      </c>
      <c r="C77" s="8" t="s">
        <v>233</v>
      </c>
      <c r="D77" s="8" t="s">
        <v>234</v>
      </c>
      <c r="E77" s="8" t="s">
        <v>12</v>
      </c>
      <c r="F77" s="8" t="s">
        <v>13</v>
      </c>
      <c r="G77" s="8" t="s">
        <v>115</v>
      </c>
      <c r="H77" s="14" t="str">
        <f>SUBSTITUTE(Sheet1!H77, ",", "")</f>
        <v>1894</v>
      </c>
      <c r="I77" s="15" t="str">
        <f>SUBSTITUTE(Sheet1!K77, "Rp", "")</f>
        <v>43170205</v>
      </c>
    </row>
    <row r="78">
      <c r="A78" s="8" t="s">
        <v>312</v>
      </c>
      <c r="B78" s="13" t="str">
        <f>HYPERLINK("https://shopee.co.id/Whitelab-Hydrating-Face-Essence-i.201071840.3170161664", "https://shopee.co.id/Whitelab-Hydrating-Face-Essence-i.201071840.3170161664")</f>
        <v>https://shopee.co.id/Whitelab-Hydrating-Face-Essence-i.201071840.3170161664</v>
      </c>
      <c r="C78" s="8" t="s">
        <v>59</v>
      </c>
      <c r="D78" s="8" t="s">
        <v>60</v>
      </c>
      <c r="E78" s="8" t="s">
        <v>12</v>
      </c>
      <c r="F78" s="8" t="s">
        <v>13</v>
      </c>
      <c r="G78" s="8" t="s">
        <v>61</v>
      </c>
      <c r="H78" s="14" t="str">
        <f>SUBSTITUTE(Sheet1!H78, ",", "")</f>
        <v>1858</v>
      </c>
      <c r="I78" s="15" t="str">
        <f>SUBSTITUTE(Sheet1!K78, "Rp", "")</f>
        <v>129338566</v>
      </c>
    </row>
    <row r="79">
      <c r="A79" s="8" t="s">
        <v>100</v>
      </c>
      <c r="B79" s="13" t="str">
        <f>HYPERLINK("https://shopee.co.id/Avoskin-Perfect-Hydrating-Treatment-Essence-100ml-i.154494405.2303660667", "https://shopee.co.id/Avoskin-Perfect-Hydrating-Treatment-Essence-100ml-i.154494405.2303660667")</f>
        <v>https://shopee.co.id/Avoskin-Perfect-Hydrating-Treatment-Essence-100ml-i.154494405.2303660667</v>
      </c>
      <c r="C79" s="8" t="s">
        <v>83</v>
      </c>
      <c r="D79" s="8" t="s">
        <v>84</v>
      </c>
      <c r="E79" s="8" t="s">
        <v>12</v>
      </c>
      <c r="F79" s="8" t="s">
        <v>13</v>
      </c>
      <c r="G79" s="8" t="s">
        <v>85</v>
      </c>
      <c r="H79" s="14" t="str">
        <f>SUBSTITUTE(Sheet1!H79, ",", "")</f>
        <v>1852</v>
      </c>
      <c r="I79" s="15" t="str">
        <f>SUBSTITUTE(Sheet1!K79, "Rp", "")</f>
        <v>532820000</v>
      </c>
    </row>
    <row r="80">
      <c r="A80" s="8" t="s">
        <v>218</v>
      </c>
      <c r="B80" s="13" t="str">
        <f>HYPERLINK("https://shopee.co.id/Everwhite-Cica-Soothing-Serum-i.85451896.3244126017", "https://shopee.co.id/Everwhite-Cica-Soothing-Serum-i.85451896.3244126017")</f>
        <v>https://shopee.co.id/Everwhite-Cica-Soothing-Serum-i.85451896.3244126017</v>
      </c>
      <c r="C80" s="8" t="s">
        <v>157</v>
      </c>
      <c r="D80" s="8" t="s">
        <v>158</v>
      </c>
      <c r="E80" s="8" t="s">
        <v>12</v>
      </c>
      <c r="F80" s="8" t="s">
        <v>13</v>
      </c>
      <c r="G80" s="8" t="s">
        <v>61</v>
      </c>
      <c r="H80" s="14" t="str">
        <f>SUBSTITUTE(Sheet1!H80, ",", "")</f>
        <v>1819</v>
      </c>
      <c r="I80" s="15" t="str">
        <f>SUBSTITUTE(Sheet1!K80, "Rp", "")</f>
        <v>211530150</v>
      </c>
    </row>
    <row r="81">
      <c r="A81" s="8" t="s">
        <v>190</v>
      </c>
      <c r="B81" s="13" t="str">
        <f>HYPERLINK("https://shopee.co.id/MS-glow-ACNE-Serum-i.17566419.1192483406", "https://shopee.co.id/MS-glow-ACNE-Serum-i.17566419.1192483406")</f>
        <v>https://shopee.co.id/MS-glow-ACNE-Serum-i.17566419.1192483406</v>
      </c>
      <c r="C81" s="8" t="s">
        <v>96</v>
      </c>
      <c r="D81" s="8" t="s">
        <v>97</v>
      </c>
      <c r="E81" s="8" t="s">
        <v>12</v>
      </c>
      <c r="F81" s="8" t="s">
        <v>13</v>
      </c>
      <c r="G81" s="8" t="s">
        <v>98</v>
      </c>
      <c r="H81" s="14" t="str">
        <f>SUBSTITUTE(Sheet1!H81, ",", "")</f>
        <v>1819</v>
      </c>
      <c r="I81" s="15" t="str">
        <f>SUBSTITUTE(Sheet1!K81, "Rp", "")</f>
        <v>272850000</v>
      </c>
    </row>
    <row r="82">
      <c r="A82" s="8" t="s">
        <v>334</v>
      </c>
      <c r="B82" s="13" t="str">
        <f>HYPERLINK("https://shopee.co.id/Wardah-White-Secret-Intense-Brightening-Essence-i.30736001.2792895001", "https://shopee.co.id/Wardah-White-Secret-Intense-Brightening-Essence-i.30736001.2792895001")</f>
        <v>https://shopee.co.id/Wardah-White-Secret-Intense-Brightening-Essence-i.30736001.2792895001</v>
      </c>
      <c r="C82" s="8" t="s">
        <v>169</v>
      </c>
      <c r="D82" s="8" t="s">
        <v>335</v>
      </c>
      <c r="E82" s="8" t="s">
        <v>12</v>
      </c>
      <c r="F82" s="8" t="s">
        <v>13</v>
      </c>
      <c r="G82" s="8" t="s">
        <v>36</v>
      </c>
      <c r="H82" s="14" t="str">
        <f>SUBSTITUTE(Sheet1!H82, ",", "")</f>
        <v>1793</v>
      </c>
      <c r="I82" s="15" t="str">
        <f>SUBSTITUTE(Sheet1!K82, "Rp", "")</f>
        <v>110122000</v>
      </c>
    </row>
    <row r="83">
      <c r="A83" s="8" t="s">
        <v>402</v>
      </c>
      <c r="B83" s="13" t="str">
        <f>HYPERLINK("https://shopee.co.id/Safi-Age-Defy-Anti-Aging-Gold-Water-Essence-30-ml-Perawatan-Wajah-i.63823668.2497353898", "https://shopee.co.id/Safi-Age-Defy-Anti-Aging-Gold-Water-Essence-30-ml-Perawatan-Wajah-i.63823668.2497353898")</f>
        <v>https://shopee.co.id/Safi-Age-Defy-Anti-Aging-Gold-Water-Essence-30-ml-Perawatan-Wajah-i.63823668.2497353898</v>
      </c>
      <c r="C83" s="8" t="s">
        <v>278</v>
      </c>
      <c r="D83" s="8" t="s">
        <v>279</v>
      </c>
      <c r="E83" s="8" t="s">
        <v>12</v>
      </c>
      <c r="F83" s="8" t="s">
        <v>13</v>
      </c>
      <c r="G83" s="8" t="s">
        <v>61</v>
      </c>
      <c r="H83" s="14" t="str">
        <f>SUBSTITUTE(Sheet1!H83, ",", "")</f>
        <v>1717</v>
      </c>
      <c r="I83" s="15" t="str">
        <f>SUBSTITUTE(Sheet1!K83, "Rp", "")</f>
        <v>84862200</v>
      </c>
    </row>
    <row r="84">
      <c r="A84" s="8" t="s">
        <v>417</v>
      </c>
      <c r="B84" s="13" t="str">
        <f>HYPERLINK("https://shopee.co.id/Premiere-Beaute-Niacinamide-Centella-Toner-Luminous-White-Glow-Brightening-Essence-Toner-120ml-i.237204571.9276029557", "https://shopee.co.id/Premiere-Beaute-Niacinamide-Centella-Toner-Luminous-White-Glow-Brightening-Essence-Toner-120ml-i.237204571.9276029557")</f>
        <v>https://shopee.co.id/Premiere-Beaute-Niacinamide-Centella-Toner-Luminous-White-Glow-Brightening-Essence-Toner-120ml-i.237204571.9276029557</v>
      </c>
      <c r="C84" s="8" t="s">
        <v>254</v>
      </c>
      <c r="D84" s="8" t="s">
        <v>255</v>
      </c>
      <c r="E84" s="8" t="s">
        <v>12</v>
      </c>
      <c r="F84" s="8" t="s">
        <v>13</v>
      </c>
      <c r="G84" s="8" t="s">
        <v>61</v>
      </c>
      <c r="H84" s="14" t="str">
        <f>SUBSTITUTE(Sheet1!H84, ",", "")</f>
        <v>1716</v>
      </c>
      <c r="I84" s="15" t="str">
        <f>SUBSTITUTE(Sheet1!K84, "Rp", "")</f>
        <v>77746400</v>
      </c>
    </row>
    <row r="85">
      <c r="A85" s="8" t="s">
        <v>123</v>
      </c>
      <c r="B85" s="13" t="str">
        <f>HYPERLINK("https://shopee.co.id/Somethinc-Age-Don-t-Care-Exclusive-Bundle-i.195455930.11301205139", "https://shopee.co.id/Somethinc-Age-Don-t-Care-Exclusive-Bundle-i.195455930.11301205139")</f>
        <v>https://shopee.co.id/Somethinc-Age-Don-t-Care-Exclusive-Bundle-i.195455930.11301205139</v>
      </c>
      <c r="C85" s="8" t="s">
        <v>45</v>
      </c>
      <c r="D85" s="8" t="s">
        <v>46</v>
      </c>
      <c r="E85" s="8" t="s">
        <v>12</v>
      </c>
      <c r="F85" s="8" t="s">
        <v>13</v>
      </c>
      <c r="G85" s="8" t="s">
        <v>21</v>
      </c>
      <c r="H85" s="14" t="str">
        <f>SUBSTITUTE(Sheet1!H85, ",", "")</f>
        <v>1707</v>
      </c>
      <c r="I85" s="15" t="str">
        <f>SUBSTITUTE(Sheet1!K85, "Rp", "")</f>
        <v>434179200</v>
      </c>
    </row>
    <row r="86">
      <c r="A86" s="8" t="s">
        <v>104</v>
      </c>
      <c r="B86" s="13" t="str">
        <f>HYPERLINK("https://shopee.co.id/L-Oreal-Paris-Revitalift-Serum-Radiance-Booster-Kit-Untuk-Kulit-Lembap-dan-Glowing--i.62579622.4149157168", "https://shopee.co.id/L-Oreal-Paris-Revitalift-Serum-Radiance-Booster-Kit-Untuk-Kulit-Lembap-dan-Glowing--i.62579622.4149157168")</f>
        <v>https://shopee.co.id/L-Oreal-Paris-Revitalift-Serum-Radiance-Booster-Kit-Untuk-Kulit-Lembap-dan-Glowing--i.62579622.4149157168</v>
      </c>
      <c r="C86" s="8" t="s">
        <v>105</v>
      </c>
      <c r="D86" s="8" t="s">
        <v>106</v>
      </c>
      <c r="E86" s="8" t="s">
        <v>12</v>
      </c>
      <c r="F86" s="8" t="s">
        <v>13</v>
      </c>
      <c r="G86" s="8" t="s">
        <v>61</v>
      </c>
      <c r="H86" s="14" t="str">
        <f>SUBSTITUTE(Sheet1!H86, ",", "")</f>
        <v>1692</v>
      </c>
      <c r="I86" s="15" t="str">
        <f>SUBSTITUTE(Sheet1!K86, "Rp", "")</f>
        <v>487775700</v>
      </c>
    </row>
    <row r="87">
      <c r="A87" s="8" t="s">
        <v>914</v>
      </c>
      <c r="B87" s="13" t="str">
        <f>HYPERLINK("https://shopee.co.id/Emina-Bright-Stuff-Face-Serum-7-5-ml-i.63983008.8860143483", "https://shopee.co.id/Emina-Bright-Stuff-Face-Serum-7-5-ml-i.63983008.8860143483")</f>
        <v>https://shopee.co.id/Emina-Bright-Stuff-Face-Serum-7-5-ml-i.63983008.8860143483</v>
      </c>
      <c r="C87" s="8" t="s">
        <v>209</v>
      </c>
      <c r="D87" s="8" t="s">
        <v>210</v>
      </c>
      <c r="E87" s="8" t="s">
        <v>12</v>
      </c>
      <c r="F87" s="8" t="s">
        <v>13</v>
      </c>
      <c r="G87" s="8" t="s">
        <v>98</v>
      </c>
      <c r="H87" s="14" t="str">
        <f>SUBSTITUTE(Sheet1!H87, ",", "")</f>
        <v>1615</v>
      </c>
      <c r="I87" s="15" t="str">
        <f>SUBSTITUTE(Sheet1!K87, "Rp", "")</f>
        <v>23420100</v>
      </c>
    </row>
    <row r="88">
      <c r="A88" s="8" t="s">
        <v>162</v>
      </c>
      <c r="B88" s="13" t="str">
        <f>HYPERLINK("https://shopee.co.id/Scarlett-Whitening-Brightly-Kit-Package-i.255365082.11629863892", "https://shopee.co.id/Scarlett-Whitening-Brightly-Kit-Package-i.255365082.11629863892")</f>
        <v>https://shopee.co.id/Scarlett-Whitening-Brightly-Kit-Package-i.255365082.11629863892</v>
      </c>
      <c r="C88" s="8" t="s">
        <v>19</v>
      </c>
      <c r="D88" s="8" t="s">
        <v>20</v>
      </c>
      <c r="E88" s="8" t="s">
        <v>12</v>
      </c>
      <c r="F88" s="8" t="s">
        <v>13</v>
      </c>
      <c r="G88" s="8" t="s">
        <v>21</v>
      </c>
      <c r="H88" s="14" t="str">
        <f>SUBSTITUTE(Sheet1!H88, ",", "")</f>
        <v>1613</v>
      </c>
      <c r="I88" s="15" t="str">
        <f>SUBSTITUTE(Sheet1!K88, "Rp", "")</f>
        <v>310387500</v>
      </c>
    </row>
    <row r="89">
      <c r="A89" s="8" t="s">
        <v>324</v>
      </c>
      <c r="B89" s="13" t="str">
        <f>HYPERLINK("https://shopee.co.id/Ponds-Bright-Beauty-Power-Serum-30G-i.14318452.8335269295", "https://shopee.co.id/Ponds-Bright-Beauty-Power-Serum-30G-i.14318452.8335269295")</f>
        <v>https://shopee.co.id/Ponds-Bright-Beauty-Power-Serum-30G-i.14318452.8335269295</v>
      </c>
      <c r="C89" s="8" t="s">
        <v>325</v>
      </c>
      <c r="D89" s="8" t="s">
        <v>326</v>
      </c>
      <c r="E89" s="8" t="s">
        <v>12</v>
      </c>
      <c r="F89" s="8" t="s">
        <v>13</v>
      </c>
      <c r="G89" s="8" t="s">
        <v>296</v>
      </c>
      <c r="H89" s="14" t="str">
        <f>SUBSTITUTE(Sheet1!H89, ",", "")</f>
        <v>1611</v>
      </c>
      <c r="I89" s="15" t="str">
        <f>SUBSTITUTE(Sheet1!K89, "Rp", "")</f>
        <v>120829900</v>
      </c>
    </row>
    <row r="90">
      <c r="A90" s="8" t="s">
        <v>119</v>
      </c>
      <c r="B90" s="13" t="str">
        <f>HYPERLINK("https://shopee.co.id/Phyto-Power-Essence-Biobeautylab-50ml-i.127156054.9432436450", "https://shopee.co.id/Phyto-Power-Essence-Biobeautylab-50ml-i.127156054.9432436450")</f>
        <v>https://shopee.co.id/Phyto-Power-Essence-Biobeautylab-50ml-i.127156054.9432436450</v>
      </c>
      <c r="C90" s="8" t="s">
        <v>120</v>
      </c>
      <c r="D90" s="8" t="s">
        <v>121</v>
      </c>
      <c r="E90" s="8" t="s">
        <v>12</v>
      </c>
      <c r="F90" s="8" t="s">
        <v>13</v>
      </c>
      <c r="G90" s="8" t="s">
        <v>21</v>
      </c>
      <c r="H90" s="14" t="str">
        <f>SUBSTITUTE(Sheet1!H90, ",", "")</f>
        <v>1582</v>
      </c>
      <c r="I90" s="15" t="str">
        <f>SUBSTITUTE(Sheet1!K90, "Rp", "")</f>
        <v>435103200</v>
      </c>
    </row>
    <row r="91">
      <c r="A91" s="8" t="s">
        <v>166</v>
      </c>
      <c r="B91" s="13" t="str">
        <f>HYPERLINK("https://shopee.co.id/Scarlett-Whitening-Acne-Kit-Package-i.255365082.11629873705", "https://shopee.co.id/Scarlett-Whitening-Acne-Kit-Package-i.255365082.11629873705")</f>
        <v>https://shopee.co.id/Scarlett-Whitening-Acne-Kit-Package-i.255365082.11629873705</v>
      </c>
      <c r="C91" s="8" t="s">
        <v>19</v>
      </c>
      <c r="D91" s="8" t="s">
        <v>20</v>
      </c>
      <c r="E91" s="8" t="s">
        <v>12</v>
      </c>
      <c r="F91" s="8" t="s">
        <v>13</v>
      </c>
      <c r="G91" s="8" t="s">
        <v>21</v>
      </c>
      <c r="H91" s="14" t="str">
        <f>SUBSTITUTE(Sheet1!H91, ",", "")</f>
        <v>1578</v>
      </c>
      <c r="I91" s="15" t="str">
        <f>SUBSTITUTE(Sheet1!K91, "Rp", "")</f>
        <v>303435000</v>
      </c>
    </row>
    <row r="92">
      <c r="A92" s="8" t="s">
        <v>269</v>
      </c>
      <c r="B92" s="13" t="str">
        <f>HYPERLINK("https://shopee.co.id/Whitelab-Granactive-Retinoid-Intensive-Care-Serum-i.201071840.2924946282", "https://shopee.co.id/Whitelab-Granactive-Retinoid-Intensive-Care-Serum-i.201071840.2924946282")</f>
        <v>https://shopee.co.id/Whitelab-Granactive-Retinoid-Intensive-Care-Serum-i.201071840.2924946282</v>
      </c>
      <c r="C92" s="8" t="s">
        <v>59</v>
      </c>
      <c r="D92" s="8" t="s">
        <v>60</v>
      </c>
      <c r="E92" s="8" t="s">
        <v>12</v>
      </c>
      <c r="F92" s="8" t="s">
        <v>13</v>
      </c>
      <c r="G92" s="8" t="s">
        <v>61</v>
      </c>
      <c r="H92" s="14" t="str">
        <f>SUBSTITUTE(Sheet1!H92, ",", "")</f>
        <v>1575</v>
      </c>
      <c r="I92" s="15" t="str">
        <f>SUBSTITUTE(Sheet1!K92, "Rp", "")</f>
        <v>155056425</v>
      </c>
    </row>
    <row r="93">
      <c r="A93" s="8" t="s">
        <v>180</v>
      </c>
      <c r="B93" s="13" t="str">
        <f>HYPERLINK("https://shopee.co.id/Erha-Truwhite-VIT-C-Peptides-Brightening-Serum-20-mL-Serum-Pencerah-Wajah-i.129153987.3747532781", "https://shopee.co.id/Erha-Truwhite-VIT-C-Peptides-Brightening-Serum-20-mL-Serum-Pencerah-Wajah-i.129153987.3747532781")</f>
        <v>https://shopee.co.id/Erha-Truwhite-VIT-C-Peptides-Brightening-Serum-20-mL-Serum-Pencerah-Wajah-i.129153987.3747532781</v>
      </c>
      <c r="C93" s="8" t="s">
        <v>181</v>
      </c>
      <c r="D93" s="8" t="s">
        <v>182</v>
      </c>
      <c r="E93" s="8" t="s">
        <v>12</v>
      </c>
      <c r="F93" s="8" t="s">
        <v>13</v>
      </c>
      <c r="G93" s="8" t="s">
        <v>61</v>
      </c>
      <c r="H93" s="14" t="str">
        <f>SUBSTITUTE(Sheet1!H93, ",", "")</f>
        <v>1561</v>
      </c>
      <c r="I93" s="15" t="str">
        <f>SUBSTITUTE(Sheet1!K93, "Rp", "")</f>
        <v>287126815</v>
      </c>
    </row>
    <row r="94">
      <c r="A94" s="8" t="s">
        <v>238</v>
      </c>
      <c r="B94" s="13" t="str">
        <f>HYPERLINK("https://shopee.co.id/Airnderm-Aesthetic-Radiant-Serum-by-AIRIN-BEAUTY--i.112372548.2239633539", "https://shopee.co.id/Airnderm-Aesthetic-Radiant-Serum-by-AIRIN-BEAUTY--i.112372548.2239633539")</f>
        <v>https://shopee.co.id/Airnderm-Aesthetic-Radiant-Serum-by-AIRIN-BEAUTY--i.112372548.2239633539</v>
      </c>
      <c r="C94" s="8" t="s">
        <v>239</v>
      </c>
      <c r="D94" s="8" t="s">
        <v>240</v>
      </c>
      <c r="E94" s="8" t="s">
        <v>12</v>
      </c>
      <c r="F94" s="8" t="s">
        <v>13</v>
      </c>
      <c r="G94" s="8" t="s">
        <v>241</v>
      </c>
      <c r="H94" s="14" t="str">
        <f>SUBSTITUTE(Sheet1!H94, ",", "")</f>
        <v>1533</v>
      </c>
      <c r="I94" s="15" t="str">
        <f>SUBSTITUTE(Sheet1!K94, "Rp", "")</f>
        <v>190925000</v>
      </c>
    </row>
    <row r="95">
      <c r="A95" s="8" t="s">
        <v>498</v>
      </c>
      <c r="B95" s="13" t="str">
        <f>HYPERLINK("https://shopee.co.id/Garnier-Sakura-Glow-Hyaluron-Water-Glow-Essence-Skin-Care-30ml-Untuk-Kulit-Glowing-Dari-Dalam--i.62583853.9738140748", "https://shopee.co.id/Garnier-Sakura-Glow-Hyaluron-Water-Glow-Essence-Skin-Care-30ml-Untuk-Kulit-Glowing-Dari-Dalam--i.62583853.9738140748")</f>
        <v>https://shopee.co.id/Garnier-Sakura-Glow-Hyaluron-Water-Glow-Essence-Skin-Care-30ml-Untuk-Kulit-Glowing-Dari-Dalam--i.62583853.9738140748</v>
      </c>
      <c r="C95" s="8" t="s">
        <v>74</v>
      </c>
      <c r="D95" s="8" t="s">
        <v>75</v>
      </c>
      <c r="E95" s="8" t="s">
        <v>12</v>
      </c>
      <c r="F95" s="8" t="s">
        <v>13</v>
      </c>
      <c r="G95" s="8" t="s">
        <v>61</v>
      </c>
      <c r="H95" s="14" t="str">
        <f>SUBSTITUTE(Sheet1!H95, ",", "")</f>
        <v>1519</v>
      </c>
      <c r="I95" s="15" t="str">
        <f>SUBSTITUTE(Sheet1!K95, "Rp", "")</f>
        <v>61756800</v>
      </c>
    </row>
    <row r="96">
      <c r="A96" s="8" t="s">
        <v>568</v>
      </c>
      <c r="B96" s="13" t="str">
        <f>HYPERLINK("https://shopee.co.id/Premiere-Beaute-Skincare-Luminous-White-Skincare-Series-Serum-Essence-Toner-Facial-Wash-Night-Cream-i.237204571.8284500974", "https://shopee.co.id/Premiere-Beaute-Skincare-Luminous-White-Skincare-Series-Serum-Essence-Toner-Facial-Wash-Night-Cream-i.237204571.8284500974")</f>
        <v>https://shopee.co.id/Premiere-Beaute-Skincare-Luminous-White-Skincare-Series-Serum-Essence-Toner-Facial-Wash-Night-Cream-i.237204571.8284500974</v>
      </c>
      <c r="C96" s="8" t="s">
        <v>254</v>
      </c>
      <c r="D96" s="8" t="s">
        <v>255</v>
      </c>
      <c r="E96" s="8" t="s">
        <v>12</v>
      </c>
      <c r="F96" s="8" t="s">
        <v>13</v>
      </c>
      <c r="G96" s="8" t="s">
        <v>61</v>
      </c>
      <c r="H96" s="14" t="str">
        <f>SUBSTITUTE(Sheet1!H96, ",", "")</f>
        <v>1477</v>
      </c>
      <c r="I96" s="15" t="str">
        <f>SUBSTITUTE(Sheet1!K96, "Rp", "")</f>
        <v>52268300</v>
      </c>
    </row>
    <row r="97">
      <c r="A97" s="8" t="s">
        <v>607</v>
      </c>
      <c r="B97" s="13" t="str">
        <f>HYPERLINK("https://shopee.co.id/Madame-Gie-Madame-Serum-i.94309880.4580257709", "https://shopee.co.id/Madame-Gie-Madame-Serum-i.94309880.4580257709")</f>
        <v>https://shopee.co.id/Madame-Gie-Madame-Serum-i.94309880.4580257709</v>
      </c>
      <c r="C97" s="8" t="s">
        <v>286</v>
      </c>
      <c r="D97" s="8" t="s">
        <v>287</v>
      </c>
      <c r="E97" s="8" t="s">
        <v>12</v>
      </c>
      <c r="F97" s="8" t="s">
        <v>13</v>
      </c>
      <c r="G97" s="8" t="s">
        <v>21</v>
      </c>
      <c r="H97" s="14" t="str">
        <f>SUBSTITUTE(Sheet1!H97, ",", "")</f>
        <v>1461</v>
      </c>
      <c r="I97" s="15" t="str">
        <f>SUBSTITUTE(Sheet1!K97, "Rp", "")</f>
        <v>48035600</v>
      </c>
    </row>
    <row r="98">
      <c r="A98" s="8" t="s">
        <v>154</v>
      </c>
      <c r="B98" s="13" t="str">
        <f>HYPERLINK("https://shopee.co.id/Avoskin-Miraculous-Refining-Serum-i.154494405.2898934249", "https://shopee.co.id/Avoskin-Miraculous-Refining-Serum-i.154494405.2898934249")</f>
        <v>https://shopee.co.id/Avoskin-Miraculous-Refining-Serum-i.154494405.2898934249</v>
      </c>
      <c r="C98" s="8" t="s">
        <v>83</v>
      </c>
      <c r="D98" s="8" t="s">
        <v>84</v>
      </c>
      <c r="E98" s="8" t="s">
        <v>12</v>
      </c>
      <c r="F98" s="8" t="s">
        <v>13</v>
      </c>
      <c r="G98" s="8" t="s">
        <v>85</v>
      </c>
      <c r="H98" s="14" t="str">
        <f>SUBSTITUTE(Sheet1!H98, ",", "")</f>
        <v>1442</v>
      </c>
      <c r="I98" s="15" t="str">
        <f>SUBSTITUTE(Sheet1!K98, "Rp", "")</f>
        <v>335309247</v>
      </c>
    </row>
    <row r="99">
      <c r="A99" s="8" t="s">
        <v>289</v>
      </c>
      <c r="B99" s="13" t="str">
        <f>HYPERLINK("https://shopee.co.id/MAKE-OVER-Hydration-Serum-33-ml-Hydrating-Makeup-Primer-i.63984475.1058801221", "https://shopee.co.id/MAKE-OVER-Hydration-Serum-33-ml-Hydrating-Makeup-Primer-i.63984475.1058801221")</f>
        <v>https://shopee.co.id/MAKE-OVER-Hydration-Serum-33-ml-Hydrating-Makeup-Primer-i.63984475.1058801221</v>
      </c>
      <c r="C99" s="8" t="s">
        <v>290</v>
      </c>
      <c r="D99" s="8" t="s">
        <v>291</v>
      </c>
      <c r="E99" s="8" t="s">
        <v>12</v>
      </c>
      <c r="F99" s="8" t="s">
        <v>13</v>
      </c>
      <c r="G99" s="8" t="s">
        <v>98</v>
      </c>
      <c r="H99" s="14" t="str">
        <f>SUBSTITUTE(Sheet1!H99, ",", "")</f>
        <v>1440</v>
      </c>
      <c r="I99" s="15" t="str">
        <f>SUBSTITUTE(Sheet1!K99, "Rp", "")</f>
        <v>142110000</v>
      </c>
    </row>
    <row r="100">
      <c r="A100" s="8" t="s">
        <v>216</v>
      </c>
      <c r="B100" s="13" t="str">
        <f>HYPERLINK("https://shopee.co.id/SOMETHINC-Salmon-DNA-Marine-Collagen-Elixir-i.195455930.11801204134", "https://shopee.co.id/SOMETHINC-Salmon-DNA-Marine-Collagen-Elixir-i.195455930.11801204134")</f>
        <v>https://shopee.co.id/SOMETHINC-Salmon-DNA-Marine-Collagen-Elixir-i.195455930.11801204134</v>
      </c>
      <c r="C100" s="8" t="s">
        <v>45</v>
      </c>
      <c r="D100" s="8" t="s">
        <v>46</v>
      </c>
      <c r="E100" s="8" t="s">
        <v>12</v>
      </c>
      <c r="F100" s="8" t="s">
        <v>13</v>
      </c>
      <c r="G100" s="8" t="s">
        <v>21</v>
      </c>
      <c r="H100" s="14" t="str">
        <f>SUBSTITUTE(Sheet1!H100, ",", "")</f>
        <v>1383</v>
      </c>
      <c r="I100" s="15" t="str">
        <f>SUBSTITUTE(Sheet1!K100, "Rp", "")</f>
        <v>214365000</v>
      </c>
    </row>
    <row r="101">
      <c r="A101" s="8" t="s">
        <v>715</v>
      </c>
      <c r="B101" s="13" t="str">
        <f>HYPERLINK("https://shopee.co.id/Ponds-Bright-Beauty-Perfect-Potion-Essence-Normal-Skin-50ml--i.14318452.4660789514", "https://shopee.co.id/Ponds-Bright-Beauty-Perfect-Potion-Essence-Normal-Skin-50ml--i.14318452.4660789514")</f>
        <v>https://shopee.co.id/Ponds-Bright-Beauty-Perfect-Potion-Essence-Normal-Skin-50ml--i.14318452.4660789514</v>
      </c>
      <c r="C101" s="8" t="s">
        <v>325</v>
      </c>
      <c r="D101" s="8" t="s">
        <v>326</v>
      </c>
      <c r="E101" s="8" t="s">
        <v>12</v>
      </c>
      <c r="F101" s="8" t="s">
        <v>13</v>
      </c>
      <c r="G101" s="8" t="s">
        <v>296</v>
      </c>
      <c r="H101" s="14" t="str">
        <f>SUBSTITUTE(Sheet1!H101, ",", "")</f>
        <v>1372</v>
      </c>
      <c r="I101" s="15" t="str">
        <f>SUBSTITUTE(Sheet1!K101, "Rp", "")</f>
        <v>37372800</v>
      </c>
    </row>
    <row r="102">
      <c r="A102" s="8" t="s">
        <v>413</v>
      </c>
      <c r="B102" s="13" t="str">
        <f>HYPERLINK("https://shopee.co.id/Ponds-Age-Miracle-Double-Action-Retinol-Serum-Anti-Aging-15-Ml-i.14318452.4879449161", "https://shopee.co.id/Ponds-Age-Miracle-Double-Action-Retinol-Serum-Anti-Aging-15-Ml-i.14318452.4879449161")</f>
        <v>https://shopee.co.id/Ponds-Age-Miracle-Double-Action-Retinol-Serum-Anti-Aging-15-Ml-i.14318452.4879449161</v>
      </c>
      <c r="C102" s="8" t="s">
        <v>325</v>
      </c>
      <c r="D102" s="8" t="s">
        <v>326</v>
      </c>
      <c r="E102" s="8" t="s">
        <v>12</v>
      </c>
      <c r="F102" s="8" t="s">
        <v>13</v>
      </c>
      <c r="G102" s="8" t="s">
        <v>296</v>
      </c>
      <c r="H102" s="14" t="str">
        <f>SUBSTITUTE(Sheet1!H102, ",", "")</f>
        <v>1329</v>
      </c>
      <c r="I102" s="15" t="str">
        <f>SUBSTITUTE(Sheet1!K102, "Rp", "")</f>
        <v>80849912</v>
      </c>
    </row>
    <row r="103">
      <c r="A103" s="8" t="s">
        <v>314</v>
      </c>
      <c r="B103" s="13" t="str">
        <f>HYPERLINK("https://shopee.co.id/Dear-Me-Beauty-2-Salicylic-Acid-BHA-Lemon-Extract-Face-Serum-12ml-i.45495764.9248396765", "https://shopee.co.id/Dear-Me-Beauty-2-Salicylic-Acid-BHA-Lemon-Extract-Face-Serum-12ml-i.45495764.9248396765")</f>
        <v>https://shopee.co.id/Dear-Me-Beauty-2-Salicylic-Acid-BHA-Lemon-Extract-Face-Serum-12ml-i.45495764.9248396765</v>
      </c>
      <c r="C103" s="8" t="s">
        <v>70</v>
      </c>
      <c r="D103" s="8" t="s">
        <v>71</v>
      </c>
      <c r="E103" s="8" t="s">
        <v>12</v>
      </c>
      <c r="F103" s="8" t="s">
        <v>13</v>
      </c>
      <c r="G103" s="8" t="s">
        <v>61</v>
      </c>
      <c r="H103" s="14" t="str">
        <f>SUBSTITUTE(Sheet1!H103, ",", "")</f>
        <v>1314</v>
      </c>
      <c r="I103" s="15" t="str">
        <f>SUBSTITUTE(Sheet1!K103, "Rp", "")</f>
        <v>125611200</v>
      </c>
    </row>
    <row r="104">
      <c r="A104" s="8" t="s">
        <v>702</v>
      </c>
      <c r="B104" s="13" t="str">
        <f>HYPERLINK("https://shopee.co.id/Ponds-Bright-Beauty-Perfect-Potion-Essence-50Ml-i.14318452.3517507234", "https://shopee.co.id/Ponds-Bright-Beauty-Perfect-Potion-Essence-50Ml-i.14318452.3517507234")</f>
        <v>https://shopee.co.id/Ponds-Bright-Beauty-Perfect-Potion-Essence-50Ml-i.14318452.3517507234</v>
      </c>
      <c r="C104" s="8" t="s">
        <v>325</v>
      </c>
      <c r="D104" s="8" t="s">
        <v>326</v>
      </c>
      <c r="E104" s="8" t="s">
        <v>12</v>
      </c>
      <c r="F104" s="8" t="s">
        <v>13</v>
      </c>
      <c r="G104" s="8" t="s">
        <v>296</v>
      </c>
      <c r="H104" s="14" t="str">
        <f>SUBSTITUTE(Sheet1!H104, ",", "")</f>
        <v>1307</v>
      </c>
      <c r="I104" s="15" t="str">
        <f>SUBSTITUTE(Sheet1!K104, "Rp", "")</f>
        <v>38692400</v>
      </c>
    </row>
    <row r="105">
      <c r="A105" s="8" t="s">
        <v>249</v>
      </c>
      <c r="B105" s="13" t="str">
        <f>HYPERLINK("https://shopee.co.id/Bening-s-Brightening-Night-Cream-K1-Cream-Malam-Pencerah-dan-Glowing-i.190390143.7204038822", "https://shopee.co.id/Bening-s-Brightening-Night-Cream-K1-Cream-Malam-Pencerah-dan-Glowing-i.190390143.7204038822")</f>
        <v>https://shopee.co.id/Bening-s-Brightening-Night-Cream-K1-Cream-Malam-Pencerah-dan-Glowing-i.190390143.7204038822</v>
      </c>
      <c r="C105" s="8" t="s">
        <v>10</v>
      </c>
      <c r="D105" s="8" t="s">
        <v>11</v>
      </c>
      <c r="E105" s="8" t="s">
        <v>12</v>
      </c>
      <c r="F105" s="8" t="s">
        <v>13</v>
      </c>
      <c r="G105" s="8" t="s">
        <v>14</v>
      </c>
      <c r="H105" s="14" t="str">
        <f>SUBSTITUTE(Sheet1!H105, ",", "")</f>
        <v>1295</v>
      </c>
      <c r="I105" s="15" t="str">
        <f>SUBSTITUTE(Sheet1!K105, "Rp", "")</f>
        <v>184545000</v>
      </c>
    </row>
    <row r="106">
      <c r="A106" s="8" t="s">
        <v>819</v>
      </c>
      <c r="B106" s="13" t="str">
        <f>HYPERLINK("https://shopee.co.id/Hanasui-Vitamin-C-Collagen-Serum-New-Look-New-Formula--i.129681299.2334973182", "https://shopee.co.id/Hanasui-Vitamin-C-Collagen-Serum-New-Look-New-Formula--i.129681299.2334973182")</f>
        <v>https://shopee.co.id/Hanasui-Vitamin-C-Collagen-Serum-New-Look-New-Formula--i.129681299.2334973182</v>
      </c>
      <c r="C106" s="8" t="s">
        <v>784</v>
      </c>
      <c r="D106" s="8" t="s">
        <v>785</v>
      </c>
      <c r="E106" s="8" t="s">
        <v>12</v>
      </c>
      <c r="F106" s="8" t="s">
        <v>13</v>
      </c>
      <c r="G106" s="8" t="s">
        <v>36</v>
      </c>
      <c r="H106" s="14" t="str">
        <f>SUBSTITUTE(Sheet1!H106, ",", "")</f>
        <v>1293</v>
      </c>
      <c r="I106" s="15" t="str">
        <f>SUBSTITUTE(Sheet1!K106, "Rp", "")</f>
        <v>29590800</v>
      </c>
    </row>
    <row r="107">
      <c r="A107" s="8" t="s">
        <v>275</v>
      </c>
      <c r="B107" s="13" t="str">
        <f>HYPERLINK("https://shopee.co.id/Everwhite-Niacinamide-Brightening-Serum-i.85451896.6657101035", "https://shopee.co.id/Everwhite-Niacinamide-Brightening-Serum-i.85451896.6657101035")</f>
        <v>https://shopee.co.id/Everwhite-Niacinamide-Brightening-Serum-i.85451896.6657101035</v>
      </c>
      <c r="C107" s="8" t="s">
        <v>157</v>
      </c>
      <c r="D107" s="8" t="s">
        <v>158</v>
      </c>
      <c r="E107" s="8" t="s">
        <v>12</v>
      </c>
      <c r="F107" s="8" t="s">
        <v>13</v>
      </c>
      <c r="G107" s="8" t="s">
        <v>61</v>
      </c>
      <c r="H107" s="14" t="str">
        <f>SUBSTITUTE(Sheet1!H107, ",", "")</f>
        <v>1292</v>
      </c>
      <c r="I107" s="15" t="str">
        <f>SUBSTITUTE(Sheet1!K107, "Rp", "")</f>
        <v>150257250</v>
      </c>
    </row>
    <row r="108">
      <c r="A108" s="8" t="s">
        <v>394</v>
      </c>
      <c r="B108" s="13" t="str">
        <f>HYPERLINK("https://shopee.co.id/Wardah-C-Defense-Serum-17-ml-HiGrade-Vitamin-C-yang-Mencerahkan-dan-Antioksidan-i.59763733.1081231166", "https://shopee.co.id/Wardah-C-Defense-Serum-17-ml-HiGrade-Vitamin-C-yang-Mencerahkan-dan-Antioksidan-i.59763733.1081231166")</f>
        <v>https://shopee.co.id/Wardah-C-Defense-Serum-17-ml-HiGrade-Vitamin-C-yang-Mencerahkan-dan-Antioksidan-i.59763733.1081231166</v>
      </c>
      <c r="C108" s="8" t="s">
        <v>169</v>
      </c>
      <c r="D108" s="8" t="s">
        <v>170</v>
      </c>
      <c r="E108" s="8" t="s">
        <v>12</v>
      </c>
      <c r="F108" s="8" t="s">
        <v>13</v>
      </c>
      <c r="G108" s="8" t="s">
        <v>98</v>
      </c>
      <c r="H108" s="14" t="str">
        <f>SUBSTITUTE(Sheet1!H108, ",", "")</f>
        <v>1214</v>
      </c>
      <c r="I108" s="15" t="str">
        <f>SUBSTITUTE(Sheet1!K108, "Rp", "")</f>
        <v>86748750</v>
      </c>
    </row>
    <row r="109">
      <c r="A109" s="8" t="s">
        <v>200</v>
      </c>
      <c r="B109" s="13" t="str">
        <f>HYPERLINK("https://shopee.co.id/ElsheSkin-Radiant-Skin-Serum-i.9035345.787533497", "https://shopee.co.id/ElsheSkin-Radiant-Skin-Serum-i.9035345.787533497")</f>
        <v>https://shopee.co.id/ElsheSkin-Radiant-Skin-Serum-i.9035345.787533497</v>
      </c>
      <c r="C109" s="8" t="s">
        <v>135</v>
      </c>
      <c r="D109" s="8" t="s">
        <v>136</v>
      </c>
      <c r="E109" s="8" t="s">
        <v>12</v>
      </c>
      <c r="F109" s="8" t="s">
        <v>13</v>
      </c>
      <c r="G109" s="8" t="s">
        <v>80</v>
      </c>
      <c r="H109" s="14" t="str">
        <f>SUBSTITUTE(Sheet1!H109, ",", "")</f>
        <v>1213</v>
      </c>
      <c r="I109" s="15" t="str">
        <f>SUBSTITUTE(Sheet1!K109, "Rp", "")</f>
        <v>237360000</v>
      </c>
    </row>
    <row r="110">
      <c r="A110" s="8" t="s">
        <v>265</v>
      </c>
      <c r="B110" s="13" t="str">
        <f>HYPERLINK("https://shopee.co.id/NPURE-Face-Essence-Centella-Asiatica-Acne-Care-Cica-Series--i.115276607.7432028999", "https://shopee.co.id/NPURE-Face-Essence-Centella-Asiatica-Acne-Care-Cica-Series--i.115276607.7432028999")</f>
        <v>https://shopee.co.id/NPURE-Face-Essence-Centella-Asiatica-Acne-Care-Cica-Series--i.115276607.7432028999</v>
      </c>
      <c r="C110" s="8" t="s">
        <v>266</v>
      </c>
      <c r="D110" s="8" t="s">
        <v>267</v>
      </c>
      <c r="E110" s="8" t="s">
        <v>12</v>
      </c>
      <c r="F110" s="8" t="s">
        <v>13</v>
      </c>
      <c r="G110" s="8" t="s">
        <v>61</v>
      </c>
      <c r="H110" s="14" t="str">
        <f>SUBSTITUTE(Sheet1!H110, ",", "")</f>
        <v>1177</v>
      </c>
      <c r="I110" s="15" t="str">
        <f>SUBSTITUTE(Sheet1!K110, "Rp", "")</f>
        <v>158421304</v>
      </c>
    </row>
    <row r="111">
      <c r="A111" s="8" t="s">
        <v>206</v>
      </c>
      <c r="B111" s="13" t="str">
        <f>HYPERLINK("https://shopee.co.id/L-Oreal-Paris-White-Perfect-Clinical-Essence-Vit-C-Serum-Niacinamide-Skin-Care-30-ml-i.62579622.1022738994", "https://shopee.co.id/L-Oreal-Paris-White-Perfect-Clinical-Essence-Vit-C-Serum-Niacinamide-Skin-Care-30-ml-i.62579622.1022738994")</f>
        <v>https://shopee.co.id/L-Oreal-Paris-White-Perfect-Clinical-Essence-Vit-C-Serum-Niacinamide-Skin-Care-30-ml-i.62579622.1022738994</v>
      </c>
      <c r="C111" s="8" t="s">
        <v>105</v>
      </c>
      <c r="D111" s="8" t="s">
        <v>106</v>
      </c>
      <c r="E111" s="8" t="s">
        <v>12</v>
      </c>
      <c r="F111" s="8" t="s">
        <v>13</v>
      </c>
      <c r="G111" s="8" t="s">
        <v>61</v>
      </c>
      <c r="H111" s="14" t="str">
        <f>SUBSTITUTE(Sheet1!H111, ",", "")</f>
        <v>1153</v>
      </c>
      <c r="I111" s="15" t="str">
        <f>SUBSTITUTE(Sheet1!K111, "Rp", "")</f>
        <v>216989700</v>
      </c>
    </row>
    <row r="112">
      <c r="A112" s="8" t="s">
        <v>263</v>
      </c>
      <c r="B112" s="13" t="str">
        <f>HYPERLINK("https://shopee.co.id/Bening-s-Brightening-Night-Cream-H-K2new-Cream-Malam-Pencerah-dan-Glowing-i.190390143.3804134468", "https://shopee.co.id/Bening-s-Brightening-Night-Cream-H-K2new-Cream-Malam-Pencerah-dan-Glowing-i.190390143.3804134468")</f>
        <v>https://shopee.co.id/Bening-s-Brightening-Night-Cream-H-K2new-Cream-Malam-Pencerah-dan-Glowing-i.190390143.3804134468</v>
      </c>
      <c r="C112" s="8" t="s">
        <v>10</v>
      </c>
      <c r="D112" s="8" t="s">
        <v>11</v>
      </c>
      <c r="E112" s="8" t="s">
        <v>12</v>
      </c>
      <c r="F112" s="8" t="s">
        <v>13</v>
      </c>
      <c r="G112" s="8" t="s">
        <v>14</v>
      </c>
      <c r="H112" s="14" t="str">
        <f>SUBSTITUTE(Sheet1!H112, ",", "")</f>
        <v>1105</v>
      </c>
      <c r="I112" s="15" t="str">
        <f>SUBSTITUTE(Sheet1!K112, "Rp", "")</f>
        <v>158475000</v>
      </c>
    </row>
    <row r="113">
      <c r="A113" s="8" t="s">
        <v>273</v>
      </c>
      <c r="B113" s="13" t="str">
        <f>HYPERLINK("https://shopee.co.id/MSBB-Avoskin-Your-Skin-Bae-Alpha-Arbutin-3-Grapeseed-i.288588702.5369143153", "https://shopee.co.id/MSBB-Avoskin-Your-Skin-Bae-Alpha-Arbutin-3-Grapeseed-i.288588702.5369143153")</f>
        <v>https://shopee.co.id/MSBB-Avoskin-Your-Skin-Bae-Alpha-Arbutin-3-Grapeseed-i.288588702.5369143153</v>
      </c>
      <c r="C113" s="8" t="s">
        <v>83</v>
      </c>
      <c r="D113" s="8" t="s">
        <v>79</v>
      </c>
      <c r="E113" s="8" t="s">
        <v>12</v>
      </c>
      <c r="F113" s="8" t="s">
        <v>13</v>
      </c>
      <c r="G113" s="8" t="s">
        <v>80</v>
      </c>
      <c r="H113" s="14" t="str">
        <f>SUBSTITUTE(Sheet1!H113, ",", "")</f>
        <v>1088</v>
      </c>
      <c r="I113" s="15" t="str">
        <f>SUBSTITUTE(Sheet1!K113, "Rp", "")</f>
        <v>151232000</v>
      </c>
    </row>
    <row r="114">
      <c r="A114" s="8" t="s">
        <v>890</v>
      </c>
      <c r="B114" s="13" t="str">
        <f>HYPERLINK("https://shopee.co.id/Hanasui-Serum-Anti-Acne-i.129681299.2334973158", "https://shopee.co.id/Hanasui-Serum-Anti-Acne-i.129681299.2334973158")</f>
        <v>https://shopee.co.id/Hanasui-Serum-Anti-Acne-i.129681299.2334973158</v>
      </c>
      <c r="C114" s="8" t="s">
        <v>784</v>
      </c>
      <c r="D114" s="8" t="s">
        <v>785</v>
      </c>
      <c r="E114" s="8" t="s">
        <v>12</v>
      </c>
      <c r="F114" s="8" t="s">
        <v>13</v>
      </c>
      <c r="G114" s="8" t="s">
        <v>36</v>
      </c>
      <c r="H114" s="14" t="str">
        <f>SUBSTITUTE(Sheet1!H114, ",", "")</f>
        <v>1073</v>
      </c>
      <c r="I114" s="15" t="str">
        <f>SUBSTITUTE(Sheet1!K114, "Rp", "")</f>
        <v>24567800</v>
      </c>
    </row>
    <row r="115">
      <c r="A115" s="8" t="s">
        <v>882</v>
      </c>
      <c r="B115" s="13" t="str">
        <f>HYPERLINK("https://shopee.co.id/Vaseline-Healthy-Bright-Vitamin-Gel-Serum-Fresh-Glow-180-ml-i.14318452.5960818096", "https://shopee.co.id/Vaseline-Healthy-Bright-Vitamin-Gel-Serum-Fresh-Glow-180-ml-i.14318452.5960818096")</f>
        <v>https://shopee.co.id/Vaseline-Healthy-Bright-Vitamin-Gel-Serum-Fresh-Glow-180-ml-i.14318452.5960818096</v>
      </c>
      <c r="C115" s="8" t="s">
        <v>883</v>
      </c>
      <c r="D115" s="8" t="s">
        <v>326</v>
      </c>
      <c r="E115" s="8" t="s">
        <v>12</v>
      </c>
      <c r="F115" s="8" t="s">
        <v>13</v>
      </c>
      <c r="G115" s="8" t="s">
        <v>296</v>
      </c>
      <c r="H115" s="14" t="str">
        <f>SUBSTITUTE(Sheet1!H115, ",", "")</f>
        <v>1063</v>
      </c>
      <c r="I115" s="15" t="str">
        <f>SUBSTITUTE(Sheet1!K115, "Rp", "")</f>
        <v>24962300</v>
      </c>
    </row>
    <row r="116">
      <c r="A116" s="8" t="s">
        <v>795</v>
      </c>
      <c r="B116" s="13" t="str">
        <f>HYPERLINK("https://shopee.co.id/Glowing-Serum-BPOM-Skinsena-i.180702724.6700623262", "https://shopee.co.id/Glowing-Serum-BPOM-Skinsena-i.180702724.6700623262")</f>
        <v>https://shopee.co.id/Glowing-Serum-BPOM-Skinsena-i.180702724.6700623262</v>
      </c>
      <c r="C116" s="8" t="s">
        <v>796</v>
      </c>
      <c r="D116" s="8" t="s">
        <v>797</v>
      </c>
      <c r="E116" s="8" t="s">
        <v>12</v>
      </c>
      <c r="F116" s="8" t="s">
        <v>13</v>
      </c>
      <c r="G116" s="8" t="s">
        <v>21</v>
      </c>
      <c r="H116" s="14" t="str">
        <f>SUBSTITUTE(Sheet1!H116, ",", "")</f>
        <v>1056</v>
      </c>
      <c r="I116" s="15" t="str">
        <f>SUBSTITUTE(Sheet1!K116, "Rp", "")</f>
        <v>31574400</v>
      </c>
    </row>
    <row r="117">
      <c r="A117" s="8" t="s">
        <v>277</v>
      </c>
      <c r="B117" s="13" t="str">
        <f>HYPERLINK("https://shopee.co.id/Safi-Age-Defy-Anti-Aging-Youth-Elixir-Serum-15ml-Perawatan-Wajah-i.63823668.4301599794", "https://shopee.co.id/Safi-Age-Defy-Anti-Aging-Youth-Elixir-Serum-15ml-Perawatan-Wajah-i.63823668.4301599794")</f>
        <v>https://shopee.co.id/Safi-Age-Defy-Anti-Aging-Youth-Elixir-Serum-15ml-Perawatan-Wajah-i.63823668.4301599794</v>
      </c>
      <c r="C117" s="8" t="s">
        <v>278</v>
      </c>
      <c r="D117" s="8" t="s">
        <v>279</v>
      </c>
      <c r="E117" s="8" t="s">
        <v>12</v>
      </c>
      <c r="F117" s="8" t="s">
        <v>13</v>
      </c>
      <c r="G117" s="8" t="s">
        <v>61</v>
      </c>
      <c r="H117" s="14" t="str">
        <f>SUBSTITUTE(Sheet1!H117, ",", "")</f>
        <v>1009</v>
      </c>
      <c r="I117" s="15" t="str">
        <f>SUBSTITUTE(Sheet1!K117, "Rp", "")</f>
        <v>148436400</v>
      </c>
    </row>
    <row r="118">
      <c r="A118" s="8" t="s">
        <v>392</v>
      </c>
      <c r="B118" s="13" t="str">
        <f>HYPERLINK("https://shopee.co.id/Somethinc-5-Niacinamide-Moisture-Sabi-Beet-Serum-20ml-i.110573301.8715961818", "https://shopee.co.id/Somethinc-5-Niacinamide-Moisture-Sabi-Beet-Serum-20ml-i.110573301.8715961818")</f>
        <v>https://shopee.co.id/Somethinc-5-Niacinamide-Moisture-Sabi-Beet-Serum-20ml-i.110573301.8715961818</v>
      </c>
      <c r="C118" s="8" t="s">
        <v>45</v>
      </c>
      <c r="D118" s="8" t="s">
        <v>227</v>
      </c>
      <c r="E118" s="8" t="s">
        <v>12</v>
      </c>
      <c r="F118" s="8" t="s">
        <v>13</v>
      </c>
      <c r="G118" s="8" t="s">
        <v>61</v>
      </c>
      <c r="H118" s="14" t="str">
        <f>SUBSTITUTE(Sheet1!H118, ",", "")</f>
        <v>994</v>
      </c>
      <c r="I118" s="15" t="str">
        <f>SUBSTITUTE(Sheet1!K118, "Rp", "")</f>
        <v>88466000</v>
      </c>
    </row>
    <row r="119">
      <c r="A119" s="8" t="s">
        <v>358</v>
      </c>
      <c r="B119" s="13" t="str">
        <f>HYPERLINK("https://shopee.co.id/Avoskin-Hydrating-Treatment-Essence-i.154494405.2309127451", "https://shopee.co.id/Avoskin-Hydrating-Treatment-Essence-i.154494405.2309127451")</f>
        <v>https://shopee.co.id/Avoskin-Hydrating-Treatment-Essence-i.154494405.2309127451</v>
      </c>
      <c r="C119" s="8" t="s">
        <v>83</v>
      </c>
      <c r="D119" s="8" t="s">
        <v>84</v>
      </c>
      <c r="E119" s="8" t="s">
        <v>12</v>
      </c>
      <c r="F119" s="8" t="s">
        <v>13</v>
      </c>
      <c r="G119" s="8" t="s">
        <v>85</v>
      </c>
      <c r="H119" s="14" t="str">
        <f>SUBSTITUTE(Sheet1!H119, ",", "")</f>
        <v>971</v>
      </c>
      <c r="I119" s="15" t="str">
        <f>SUBSTITUTE(Sheet1!K119, "Rp", "")</f>
        <v>101652650</v>
      </c>
    </row>
    <row r="120">
      <c r="A120" s="8" t="s">
        <v>546</v>
      </c>
      <c r="B120" s="13" t="str">
        <f>HYPERLINK("https://shopee.co.id/Real-White-Niacinamide-10-Collagen-Brightening-Face-Serum-i.349337394.6767446786", "https://shopee.co.id/Real-White-Niacinamide-10-Collagen-Brightening-Face-Serum-i.349337394.6767446786")</f>
        <v>https://shopee.co.id/Real-White-Niacinamide-10-Collagen-Brightening-Face-Serum-i.349337394.6767446786</v>
      </c>
      <c r="C120" s="8" t="s">
        <v>547</v>
      </c>
      <c r="D120" s="8" t="s">
        <v>548</v>
      </c>
      <c r="E120" s="8" t="s">
        <v>12</v>
      </c>
      <c r="F120" s="8" t="s">
        <v>13</v>
      </c>
      <c r="G120" s="8" t="s">
        <v>380</v>
      </c>
      <c r="H120" s="14" t="str">
        <f>SUBSTITUTE(Sheet1!H120, ",", "")</f>
        <v>963</v>
      </c>
      <c r="I120" s="15" t="str">
        <f>SUBSTITUTE(Sheet1!K120, "Rp", "")</f>
        <v>55308000</v>
      </c>
    </row>
    <row r="121">
      <c r="A121" s="8" t="s">
        <v>374</v>
      </c>
      <c r="B121" s="13" t="str">
        <f>HYPERLINK("https://shopee.co.id/Bloomka-Bakuchiol-Vitamin-B3-Facial-Treatment-Serum-Brightening-acne--i.312614769.7078023045", "https://shopee.co.id/Bloomka-Bakuchiol-Vitamin-B3-Facial-Treatment-Serum-Brightening-acne--i.312614769.7078023045")</f>
        <v>https://shopee.co.id/Bloomka-Bakuchiol-Vitamin-B3-Facial-Treatment-Serum-Brightening-acne--i.312614769.7078023045</v>
      </c>
      <c r="C121" s="8" t="s">
        <v>375</v>
      </c>
      <c r="D121" s="8" t="s">
        <v>376</v>
      </c>
      <c r="E121" s="8" t="s">
        <v>12</v>
      </c>
      <c r="F121" s="8" t="s">
        <v>13</v>
      </c>
      <c r="G121" s="8" t="s">
        <v>61</v>
      </c>
      <c r="H121" s="14" t="str">
        <f>SUBSTITUTE(Sheet1!H121, ",", "")</f>
        <v>958</v>
      </c>
      <c r="I121" s="15" t="str">
        <f>SUBSTITUTE(Sheet1!K121, "Rp", "")</f>
        <v>96036500</v>
      </c>
    </row>
    <row r="122">
      <c r="A122" s="8" t="s">
        <v>236</v>
      </c>
      <c r="B122" s="13" t="str">
        <f>HYPERLINK("https://shopee.co.id/TRUEVE-Galactomyces-Peptide-Anti-Aging-Serum-30-ML-Serum-Wajah-i.310417610.5156774790", "https://shopee.co.id/TRUEVE-Galactomyces-Peptide-Anti-Aging-Serum-30-ML-Serum-Wajah-i.310417610.5156774790")</f>
        <v>https://shopee.co.id/TRUEVE-Galactomyces-Peptide-Anti-Aging-Serum-30-ML-Serum-Wajah-i.310417610.5156774790</v>
      </c>
      <c r="C122" s="8" t="s">
        <v>34</v>
      </c>
      <c r="D122" s="8" t="s">
        <v>35</v>
      </c>
      <c r="E122" s="8" t="s">
        <v>12</v>
      </c>
      <c r="F122" s="8" t="s">
        <v>13</v>
      </c>
      <c r="G122" s="8" t="s">
        <v>36</v>
      </c>
      <c r="H122" s="14" t="str">
        <f>SUBSTITUTE(Sheet1!H122, ",", "")</f>
        <v>951</v>
      </c>
      <c r="I122" s="15" t="str">
        <f>SUBSTITUTE(Sheet1!K122, "Rp", "")</f>
        <v>191806200</v>
      </c>
    </row>
    <row r="123">
      <c r="A123" s="8" t="s">
        <v>558</v>
      </c>
      <c r="B123" s="13" t="str">
        <f>HYPERLINK("https://shopee.co.id/Garnier-Light-Complete-Vitamin-C-30x-Booster-Serum-Skin-Care-15-ml-Cepat-Cerahkan-Noda-Hitam--i.62583853.8338141693", "https://shopee.co.id/Garnier-Light-Complete-Vitamin-C-30x-Booster-Serum-Skin-Care-15-ml-Cepat-Cerahkan-Noda-Hitam--i.62583853.8338141693")</f>
        <v>https://shopee.co.id/Garnier-Light-Complete-Vitamin-C-30x-Booster-Serum-Skin-Care-15-ml-Cepat-Cerahkan-Noda-Hitam--i.62583853.8338141693</v>
      </c>
      <c r="C123" s="8" t="s">
        <v>74</v>
      </c>
      <c r="D123" s="8" t="s">
        <v>75</v>
      </c>
      <c r="E123" s="8" t="s">
        <v>12</v>
      </c>
      <c r="F123" s="8" t="s">
        <v>13</v>
      </c>
      <c r="G123" s="8" t="s">
        <v>61</v>
      </c>
      <c r="H123" s="14" t="str">
        <f>SUBSTITUTE(Sheet1!H123, ",", "")</f>
        <v>945</v>
      </c>
      <c r="I123" s="15" t="str">
        <f>SUBSTITUTE(Sheet1!K123, "Rp", "")</f>
        <v>53931000</v>
      </c>
    </row>
    <row r="124">
      <c r="A124" s="8" t="s">
        <v>554</v>
      </c>
      <c r="B124" s="13" t="str">
        <f>HYPERLINK("https://shopee.co.id/L-Oreal-Paris-Revitalift-Crystal-Micro-Essence-Water-Serum-Skin-Care-22-ml-i.62579622.2654937889", "https://shopee.co.id/L-Oreal-Paris-Revitalift-Crystal-Micro-Essence-Water-Serum-Skin-Care-22-ml-i.62579622.2654937889")</f>
        <v>https://shopee.co.id/L-Oreal-Paris-Revitalift-Crystal-Micro-Essence-Water-Serum-Skin-Care-22-ml-i.62579622.2654937889</v>
      </c>
      <c r="C124" s="8" t="s">
        <v>105</v>
      </c>
      <c r="D124" s="8" t="s">
        <v>106</v>
      </c>
      <c r="E124" s="8" t="s">
        <v>12</v>
      </c>
      <c r="F124" s="8" t="s">
        <v>13</v>
      </c>
      <c r="G124" s="8" t="s">
        <v>61</v>
      </c>
      <c r="H124" s="14" t="str">
        <f>SUBSTITUTE(Sheet1!H124, ",", "")</f>
        <v>927</v>
      </c>
      <c r="I124" s="15" t="str">
        <f>SUBSTITUTE(Sheet1!K124, "Rp", "")</f>
        <v>54075000</v>
      </c>
    </row>
    <row r="125">
      <c r="A125" s="8" t="s">
        <v>1383</v>
      </c>
      <c r="B125" s="13" t="str">
        <f>HYPERLINK("https://shopee.co.id/-BPOM-BREYLEE-Pomegranate-Serum-Facial-Mask-Melembabkan-Menutrisi-30-ml--i.324706771.8163749518", "https://shopee.co.id/-BPOM-BREYLEE-Pomegranate-Serum-Facial-Mask-Melembabkan-Menutrisi-30-ml--i.324706771.8163749518")</f>
        <v>https://shopee.co.id/-BPOM-BREYLEE-Pomegranate-Serum-Facial-Mask-Melembabkan-Menutrisi-30-ml--i.324706771.8163749518</v>
      </c>
      <c r="C125" s="8" t="s">
        <v>852</v>
      </c>
      <c r="D125" s="8" t="s">
        <v>853</v>
      </c>
      <c r="E125" s="8" t="s">
        <v>12</v>
      </c>
      <c r="F125" s="8" t="s">
        <v>13</v>
      </c>
      <c r="G125" s="8" t="s">
        <v>532</v>
      </c>
      <c r="H125" s="14" t="str">
        <f>SUBSTITUTE(Sheet1!H125, ",", "")</f>
        <v>903</v>
      </c>
      <c r="I125" s="15" t="str">
        <f>SUBSTITUTE(Sheet1!K125, "Rp", "")</f>
        <v>9292700</v>
      </c>
    </row>
    <row r="126">
      <c r="A126" s="8" t="s">
        <v>706</v>
      </c>
      <c r="B126" s="13" t="str">
        <f>HYPERLINK("https://shopee.co.id/White-Story-Hydrating-Face-Essence-i.405973920.6086401281", "https://shopee.co.id/White-Story-Hydrating-Face-Essence-i.405973920.6086401281")</f>
        <v>https://shopee.co.id/White-Story-Hydrating-Face-Essence-i.405973920.6086401281</v>
      </c>
      <c r="C126" s="8" t="s">
        <v>55</v>
      </c>
      <c r="D126" s="8" t="s">
        <v>56</v>
      </c>
      <c r="E126" s="8" t="s">
        <v>12</v>
      </c>
      <c r="F126" s="8" t="s">
        <v>13</v>
      </c>
      <c r="G126" s="8" t="s">
        <v>36</v>
      </c>
      <c r="H126" s="14" t="str">
        <f>SUBSTITUTE(Sheet1!H126, ",", "")</f>
        <v>893</v>
      </c>
      <c r="I126" s="15" t="str">
        <f>SUBSTITUTE(Sheet1!K126, "Rp", "")</f>
        <v>38282900</v>
      </c>
    </row>
    <row r="127">
      <c r="A127" s="8" t="s">
        <v>689</v>
      </c>
      <c r="B127" s="13" t="str">
        <f>HYPERLINK("https://shopee.co.id/White-Story-Acne-Soothing-Serum-i.405973920.9744704217", "https://shopee.co.id/White-Story-Acne-Soothing-Serum-i.405973920.9744704217")</f>
        <v>https://shopee.co.id/White-Story-Acne-Soothing-Serum-i.405973920.9744704217</v>
      </c>
      <c r="C127" s="8" t="s">
        <v>55</v>
      </c>
      <c r="D127" s="8" t="s">
        <v>56</v>
      </c>
      <c r="E127" s="8" t="s">
        <v>12</v>
      </c>
      <c r="F127" s="8" t="s">
        <v>13</v>
      </c>
      <c r="G127" s="8" t="s">
        <v>36</v>
      </c>
      <c r="H127" s="14" t="str">
        <f>SUBSTITUTE(Sheet1!H127, ",", "")</f>
        <v>887</v>
      </c>
      <c r="I127" s="15" t="str">
        <f>SUBSTITUTE(Sheet1!K127, "Rp", "")</f>
        <v>40885300</v>
      </c>
    </row>
    <row r="128">
      <c r="A128" s="8" t="s">
        <v>138</v>
      </c>
      <c r="B128" s="13" t="str">
        <f>HYPERLINK("https://shopee.co.id/Bio-Beauty-Lab-Bundling-Phyto-10ml-Luxurious-i.127156054.9474963341", "https://shopee.co.id/Bio-Beauty-Lab-Bundling-Phyto-10ml-Luxurious-i.127156054.9474963341")</f>
        <v>https://shopee.co.id/Bio-Beauty-Lab-Bundling-Phyto-10ml-Luxurious-i.127156054.9474963341</v>
      </c>
      <c r="C128" s="8" t="s">
        <v>120</v>
      </c>
      <c r="D128" s="8" t="s">
        <v>121</v>
      </c>
      <c r="E128" s="8" t="s">
        <v>12</v>
      </c>
      <c r="F128" s="8" t="s">
        <v>13</v>
      </c>
      <c r="G128" s="8" t="s">
        <v>21</v>
      </c>
      <c r="H128" s="14" t="str">
        <f>SUBSTITUTE(Sheet1!H128, ",", "")</f>
        <v>886</v>
      </c>
      <c r="I128" s="15" t="str">
        <f>SUBSTITUTE(Sheet1!K128, "Rp", "")</f>
        <v>395380500</v>
      </c>
    </row>
    <row r="129">
      <c r="A129" s="8" t="s">
        <v>347</v>
      </c>
      <c r="B129" s="13" t="str">
        <f>HYPERLINK("https://shopee.co.id/Aish-Darkspot-Serum-Korea-Original-Serum-Penghilang-Bekas-Flek-Hitam-Atau-Noda-Hitam-Pada-Wajah-i.287975332.13008914562", "https://shopee.co.id/Aish-Darkspot-Serum-Korea-Original-Serum-Penghilang-Bekas-Flek-Hitam-Atau-Noda-Hitam-Pada-Wajah-i.287975332.13008914562")</f>
        <v>https://shopee.co.id/Aish-Darkspot-Serum-Korea-Original-Serum-Penghilang-Bekas-Flek-Hitam-Atau-Noda-Hitam-Pada-Wajah-i.287975332.13008914562</v>
      </c>
      <c r="C129" s="8" t="s">
        <v>348</v>
      </c>
      <c r="D129" s="8" t="s">
        <v>349</v>
      </c>
      <c r="E129" s="8" t="s">
        <v>12</v>
      </c>
      <c r="F129" s="8" t="s">
        <v>13</v>
      </c>
      <c r="G129" s="8" t="s">
        <v>350</v>
      </c>
      <c r="H129" s="14" t="str">
        <f>SUBSTITUTE(Sheet1!H129, ",", "")</f>
        <v>857</v>
      </c>
      <c r="I129" s="15" t="str">
        <f>SUBSTITUTE(Sheet1!K129, "Rp", "")</f>
        <v>105411000</v>
      </c>
    </row>
    <row r="130">
      <c r="A130" s="8" t="s">
        <v>908</v>
      </c>
      <c r="B130" s="13" t="str">
        <f>HYPERLINK("https://shopee.co.id/Garnier-Sakura-White-Whitening-Serum-Day-Cream-SPF-30-20-ml-Untuk-Kulit-Cerah-Merona--i.62583853.5232508964", "https://shopee.co.id/Garnier-Sakura-White-Whitening-Serum-Day-Cream-SPF-30-20-ml-Untuk-Kulit-Cerah-Merona--i.62583853.5232508964")</f>
        <v>https://shopee.co.id/Garnier-Sakura-White-Whitening-Serum-Day-Cream-SPF-30-20-ml-Untuk-Kulit-Cerah-Merona--i.62583853.5232508964</v>
      </c>
      <c r="C130" s="8" t="s">
        <v>74</v>
      </c>
      <c r="D130" s="8" t="s">
        <v>75</v>
      </c>
      <c r="E130" s="8" t="s">
        <v>12</v>
      </c>
      <c r="F130" s="8" t="s">
        <v>13</v>
      </c>
      <c r="G130" s="8" t="s">
        <v>61</v>
      </c>
      <c r="H130" s="14" t="str">
        <f>SUBSTITUTE(Sheet1!H130, ",", "")</f>
        <v>857</v>
      </c>
      <c r="I130" s="15" t="str">
        <f>SUBSTITUTE(Sheet1!K130, "Rp", "")</f>
        <v>23575000</v>
      </c>
    </row>
    <row r="131">
      <c r="A131" s="8" t="s">
        <v>341</v>
      </c>
      <c r="B131" s="13" t="str">
        <f>HYPERLINK("https://shopee.co.id/SOMETHINC-Holygrail-Multipeptide-Youth-Elixir-i.195455930.4887791536", "https://shopee.co.id/SOMETHINC-Holygrail-Multipeptide-Youth-Elixir-i.195455930.4887791536")</f>
        <v>https://shopee.co.id/SOMETHINC-Holygrail-Multipeptide-Youth-Elixir-i.195455930.4887791536</v>
      </c>
      <c r="C131" s="8" t="s">
        <v>45</v>
      </c>
      <c r="D131" s="8" t="s">
        <v>46</v>
      </c>
      <c r="E131" s="8" t="s">
        <v>12</v>
      </c>
      <c r="F131" s="8" t="s">
        <v>13</v>
      </c>
      <c r="G131" s="8" t="s">
        <v>21</v>
      </c>
      <c r="H131" s="14" t="str">
        <f>SUBSTITUTE(Sheet1!H131, ",", "")</f>
        <v>849</v>
      </c>
      <c r="I131" s="15" t="str">
        <f>SUBSTITUTE(Sheet1!K131, "Rp", "")</f>
        <v>109521000</v>
      </c>
    </row>
    <row r="132">
      <c r="A132" s="8" t="s">
        <v>378</v>
      </c>
      <c r="B132" s="13" t="str">
        <f>HYPERLINK("https://shopee.co.id/NUTRISHE-Intensive-Bright-Glow-Serum-i.270965687.4370575766", "https://shopee.co.id/NUTRISHE-Intensive-Bright-Glow-Serum-i.270965687.4370575766")</f>
        <v>https://shopee.co.id/NUTRISHE-Intensive-Bright-Glow-Serum-i.270965687.4370575766</v>
      </c>
      <c r="C132" s="8" t="s">
        <v>195</v>
      </c>
      <c r="D132" s="8" t="s">
        <v>379</v>
      </c>
      <c r="E132" s="8" t="s">
        <v>12</v>
      </c>
      <c r="F132" s="8" t="s">
        <v>13</v>
      </c>
      <c r="G132" s="8" t="s">
        <v>380</v>
      </c>
      <c r="H132" s="14" t="str">
        <f>SUBSTITUTE(Sheet1!H132, ",", "")</f>
        <v>845</v>
      </c>
      <c r="I132" s="15" t="str">
        <f>SUBSTITUTE(Sheet1!K132, "Rp", "")</f>
        <v>95777000</v>
      </c>
    </row>
    <row r="133">
      <c r="A133" s="8" t="s">
        <v>354</v>
      </c>
      <c r="B133" s="13" t="str">
        <f>HYPERLINK("https://shopee.co.id/Garnier-Light-Complete-Serum-and-Day-Cream-Package-Untuk-Kulit-Cerah-Cepat-i.62583853.3633700076", "https://shopee.co.id/Garnier-Light-Complete-Serum-and-Day-Cream-Package-Untuk-Kulit-Cerah-Cepat-i.62583853.3633700076")</f>
        <v>https://shopee.co.id/Garnier-Light-Complete-Serum-and-Day-Cream-Package-Untuk-Kulit-Cerah-Cepat-i.62583853.3633700076</v>
      </c>
      <c r="C133" s="8" t="s">
        <v>74</v>
      </c>
      <c r="D133" s="8" t="s">
        <v>75</v>
      </c>
      <c r="E133" s="8" t="s">
        <v>12</v>
      </c>
      <c r="F133" s="8" t="s">
        <v>13</v>
      </c>
      <c r="G133" s="8" t="s">
        <v>61</v>
      </c>
      <c r="H133" s="14" t="str">
        <f>SUBSTITUTE(Sheet1!H133, ",", "")</f>
        <v>816</v>
      </c>
      <c r="I133" s="15" t="str">
        <f>SUBSTITUTE(Sheet1!K133, "Rp", "")</f>
        <v>102105700</v>
      </c>
    </row>
    <row r="134">
      <c r="A134" s="8" t="s">
        <v>646</v>
      </c>
      <c r="B134" s="13" t="str">
        <f>HYPERLINK("https://shopee.co.id/Viva-Queen-Whitening-Advanced-Face-Serum-30-ml-WHITENING--i.255024673.6437543413", "https://shopee.co.id/Viva-Queen-Whitening-Advanced-Face-Serum-30-ml-WHITENING--i.255024673.6437543413")</f>
        <v>https://shopee.co.id/Viva-Queen-Whitening-Advanced-Face-Serum-30-ml-WHITENING--i.255024673.6437543413</v>
      </c>
      <c r="C134" s="8" t="s">
        <v>647</v>
      </c>
      <c r="D134" s="8" t="s">
        <v>648</v>
      </c>
      <c r="E134" s="8" t="s">
        <v>12</v>
      </c>
      <c r="F134" s="8" t="s">
        <v>13</v>
      </c>
      <c r="G134" s="8" t="s">
        <v>350</v>
      </c>
      <c r="H134" s="14" t="str">
        <f>SUBSTITUTE(Sheet1!H134, ",", "")</f>
        <v>790</v>
      </c>
      <c r="I134" s="15" t="str">
        <f>SUBSTITUTE(Sheet1!K134, "Rp", "")</f>
        <v>45110778</v>
      </c>
    </row>
    <row r="135">
      <c r="A135" s="8" t="s">
        <v>488</v>
      </c>
      <c r="B135" s="13" t="str">
        <f>HYPERLINK("https://shopee.co.id/Aura-Bright-Whitening-Serum-For-Acne-i.127215672.1920935867", "https://shopee.co.id/Aura-Bright-Whitening-Serum-For-Acne-i.127215672.1920935867")</f>
        <v>https://shopee.co.id/Aura-Bright-Whitening-Serum-For-Acne-i.127215672.1920935867</v>
      </c>
      <c r="C135" s="8" t="s">
        <v>90</v>
      </c>
      <c r="D135" s="8" t="s">
        <v>91</v>
      </c>
      <c r="E135" s="8" t="s">
        <v>12</v>
      </c>
      <c r="F135" s="8" t="s">
        <v>13</v>
      </c>
      <c r="G135" s="8" t="s">
        <v>21</v>
      </c>
      <c r="H135" s="14" t="str">
        <f>SUBSTITUTE(Sheet1!H135, ",", "")</f>
        <v>787</v>
      </c>
      <c r="I135" s="15" t="str">
        <f>SUBSTITUTE(Sheet1!K135, "Rp", "")</f>
        <v>63130500</v>
      </c>
    </row>
    <row r="136">
      <c r="A136" s="8" t="s">
        <v>204</v>
      </c>
      <c r="B136" s="13" t="str">
        <f>HYPERLINK("https://shopee.co.id/Garnier-Sakura-White-Hyaluron-30x-Booster-Serum-Skin-Care-i.62583853.3975503214", "https://shopee.co.id/Garnier-Sakura-White-Hyaluron-30x-Booster-Serum-Skin-Care-i.62583853.3975503214")</f>
        <v>https://shopee.co.id/Garnier-Sakura-White-Hyaluron-30x-Booster-Serum-Skin-Care-i.62583853.3975503214</v>
      </c>
      <c r="C136" s="8" t="s">
        <v>74</v>
      </c>
      <c r="D136" s="8" t="s">
        <v>75</v>
      </c>
      <c r="E136" s="8" t="s">
        <v>12</v>
      </c>
      <c r="F136" s="8" t="s">
        <v>13</v>
      </c>
      <c r="G136" s="8" t="s">
        <v>61</v>
      </c>
      <c r="H136" s="14" t="str">
        <f>SUBSTITUTE(Sheet1!H136, ",", "")</f>
        <v>758</v>
      </c>
      <c r="I136" s="15" t="str">
        <f>SUBSTITUTE(Sheet1!K136, "Rp", "")</f>
        <v>44643400</v>
      </c>
    </row>
    <row r="137">
      <c r="A137" s="8" t="s">
        <v>404</v>
      </c>
      <c r="B137" s="13" t="str">
        <f>HYPERLINK("https://shopee.co.id/Safi-Age-Defy-Anti-Aging-Concentrated-Serum-20ml-Perawatan-Wajah-i.63823668.1158805935", "https://shopee.co.id/Safi-Age-Defy-Anti-Aging-Concentrated-Serum-20ml-Perawatan-Wajah-i.63823668.1158805935")</f>
        <v>https://shopee.co.id/Safi-Age-Defy-Anti-Aging-Concentrated-Serum-20ml-Perawatan-Wajah-i.63823668.1158805935</v>
      </c>
      <c r="C137" s="8" t="s">
        <v>278</v>
      </c>
      <c r="D137" s="8" t="s">
        <v>279</v>
      </c>
      <c r="E137" s="8" t="s">
        <v>12</v>
      </c>
      <c r="F137" s="8" t="s">
        <v>13</v>
      </c>
      <c r="G137" s="8" t="s">
        <v>61</v>
      </c>
      <c r="H137" s="14" t="str">
        <f>SUBSTITUTE(Sheet1!H137, ",", "")</f>
        <v>751</v>
      </c>
      <c r="I137" s="15" t="str">
        <f>SUBSTITUTE(Sheet1!K137, "Rp", "")</f>
        <v>83684600</v>
      </c>
    </row>
    <row r="138">
      <c r="A138" s="8" t="s">
        <v>605</v>
      </c>
      <c r="B138" s="13" t="str">
        <f>HYPERLINK("https://shopee.co.id/Azarine-Revitalizing-Anti-Aging-Serum-20ml-i.80036545.8237636140", "https://shopee.co.id/Azarine-Revitalizing-Anti-Aging-Serum-20ml-i.80036545.8237636140")</f>
        <v>https://shopee.co.id/Azarine-Revitalizing-Anti-Aging-Serum-20ml-i.80036545.8237636140</v>
      </c>
      <c r="C138" s="8" t="s">
        <v>233</v>
      </c>
      <c r="D138" s="8" t="s">
        <v>234</v>
      </c>
      <c r="E138" s="8" t="s">
        <v>12</v>
      </c>
      <c r="F138" s="8" t="s">
        <v>13</v>
      </c>
      <c r="G138" s="8" t="s">
        <v>115</v>
      </c>
      <c r="H138" s="14" t="str">
        <f>SUBSTITUTE(Sheet1!H138, ",", "")</f>
        <v>744</v>
      </c>
      <c r="I138" s="15" t="str">
        <f>SUBSTITUTE(Sheet1!K138, "Rp", "")</f>
        <v>48513000</v>
      </c>
    </row>
    <row r="139">
      <c r="A139" s="8" t="s">
        <v>411</v>
      </c>
      <c r="B139" s="13" t="str">
        <f>HYPERLINK("https://shopee.co.id/Wardah-Hydra-Rose-Micro-Gel-Serum-30-ml-Serum-untuk-Kulit-Kering-dengan-Rose-Oil-i.59763733.4155205113", "https://shopee.co.id/Wardah-Hydra-Rose-Micro-Gel-Serum-30-ml-Serum-untuk-Kulit-Kering-dengan-Rose-Oil-i.59763733.4155205113")</f>
        <v>https://shopee.co.id/Wardah-Hydra-Rose-Micro-Gel-Serum-30-ml-Serum-untuk-Kulit-Kering-dengan-Rose-Oil-i.59763733.4155205113</v>
      </c>
      <c r="C139" s="8" t="s">
        <v>169</v>
      </c>
      <c r="D139" s="8" t="s">
        <v>170</v>
      </c>
      <c r="E139" s="8" t="s">
        <v>12</v>
      </c>
      <c r="F139" s="8" t="s">
        <v>13</v>
      </c>
      <c r="G139" s="8" t="s">
        <v>98</v>
      </c>
      <c r="H139" s="14" t="str">
        <f>SUBSTITUTE(Sheet1!H139, ",", "")</f>
        <v>741</v>
      </c>
      <c r="I139" s="15" t="str">
        <f>SUBSTITUTE(Sheet1!K139, "Rp", "")</f>
        <v>81009500</v>
      </c>
    </row>
    <row r="140">
      <c r="A140" s="8" t="s">
        <v>384</v>
      </c>
      <c r="B140" s="13" t="str">
        <f>HYPERLINK("https://shopee.co.id/Avoskin-Your-Skin-Bae-Lactic-Acid-10-Kiwi-Fruit-5-Niacinamide-2-5-High-Dose-Serum-i.154494405.3880230277", "https://shopee.co.id/Avoskin-Your-Skin-Bae-Lactic-Acid-10-Kiwi-Fruit-5-Niacinamide-2-5-High-Dose-Serum-i.154494405.3880230277")</f>
        <v>https://shopee.co.id/Avoskin-Your-Skin-Bae-Lactic-Acid-10-Kiwi-Fruit-5-Niacinamide-2-5-High-Dose-Serum-i.154494405.3880230277</v>
      </c>
      <c r="C140" s="8" t="s">
        <v>83</v>
      </c>
      <c r="D140" s="8" t="s">
        <v>84</v>
      </c>
      <c r="E140" s="8" t="s">
        <v>12</v>
      </c>
      <c r="F140" s="8" t="s">
        <v>13</v>
      </c>
      <c r="G140" s="8" t="s">
        <v>85</v>
      </c>
      <c r="H140" s="14" t="str">
        <f>SUBSTITUTE(Sheet1!H140, ",", "")</f>
        <v>727</v>
      </c>
      <c r="I140" s="15" t="str">
        <f>SUBSTITUTE(Sheet1!K140, "Rp", "")</f>
        <v>93783000</v>
      </c>
    </row>
    <row r="141">
      <c r="A141" s="8" t="s">
        <v>352</v>
      </c>
      <c r="B141" s="13" t="str">
        <f>HYPERLINK("https://shopee.co.id/Avoskin-Your-Skin-Bae-Azeclair-10-Kombucha-3-Niacinamide-2-5-Vaccine-Serum-i.154494405.9018512951", "https://shopee.co.id/Avoskin-Your-Skin-Bae-Azeclair-10-Kombucha-3-Niacinamide-2-5-Vaccine-Serum-i.154494405.9018512951")</f>
        <v>https://shopee.co.id/Avoskin-Your-Skin-Bae-Azeclair-10-Kombucha-3-Niacinamide-2-5-Vaccine-Serum-i.154494405.9018512951</v>
      </c>
      <c r="C141" s="8" t="s">
        <v>83</v>
      </c>
      <c r="D141" s="8" t="s">
        <v>84</v>
      </c>
      <c r="E141" s="8" t="s">
        <v>12</v>
      </c>
      <c r="F141" s="8" t="s">
        <v>13</v>
      </c>
      <c r="G141" s="8" t="s">
        <v>85</v>
      </c>
      <c r="H141" s="14" t="str">
        <f>SUBSTITUTE(Sheet1!H141, ",", "")</f>
        <v>704</v>
      </c>
      <c r="I141" s="15" t="str">
        <f>SUBSTITUTE(Sheet1!K141, "Rp", "")</f>
        <v>104896000</v>
      </c>
    </row>
    <row r="142">
      <c r="A142" s="8" t="s">
        <v>212</v>
      </c>
      <c r="B142" s="13" t="str">
        <f>HYPERLINK("https://shopee.co.id/Some-By-Mi-Snail-Truecica-Miracle-Repair-Serum-i.455311481.3991399405", "https://shopee.co.id/Some-By-Mi-Snail-Truecica-Miracle-Repair-Serum-i.455311481.3991399405")</f>
        <v>https://shopee.co.id/Some-By-Mi-Snail-Truecica-Miracle-Repair-Serum-i.455311481.3991399405</v>
      </c>
      <c r="C142" s="8" t="s">
        <v>213</v>
      </c>
      <c r="D142" s="8" t="s">
        <v>214</v>
      </c>
      <c r="E142" s="8" t="s">
        <v>12</v>
      </c>
      <c r="F142" s="8" t="s">
        <v>13</v>
      </c>
      <c r="G142" s="8" t="s">
        <v>130</v>
      </c>
      <c r="H142" s="14" t="str">
        <f>SUBSTITUTE(Sheet1!H142, ",", "")</f>
        <v>701</v>
      </c>
      <c r="I142" s="15" t="str">
        <f>SUBSTITUTE(Sheet1!K142, "Rp", "")</f>
        <v>214996700</v>
      </c>
    </row>
    <row r="143">
      <c r="A143" s="8" t="s">
        <v>766</v>
      </c>
      <c r="B143" s="13" t="str">
        <f>HYPERLINK("https://shopee.co.id/White-Story-Advanced-Care-Serum-i.405973920.9444710095", "https://shopee.co.id/White-Story-Advanced-Care-Serum-i.405973920.9444710095")</f>
        <v>https://shopee.co.id/White-Story-Advanced-Care-Serum-i.405973920.9444710095</v>
      </c>
      <c r="C143" s="8" t="s">
        <v>55</v>
      </c>
      <c r="D143" s="8" t="s">
        <v>56</v>
      </c>
      <c r="E143" s="8" t="s">
        <v>12</v>
      </c>
      <c r="F143" s="8" t="s">
        <v>13</v>
      </c>
      <c r="G143" s="8" t="s">
        <v>36</v>
      </c>
      <c r="H143" s="14" t="str">
        <f>SUBSTITUTE(Sheet1!H143, ",", "")</f>
        <v>700</v>
      </c>
      <c r="I143" s="15" t="str">
        <f>SUBSTITUTE(Sheet1!K143, "Rp", "")</f>
        <v>32850650</v>
      </c>
    </row>
    <row r="144">
      <c r="A144" s="8" t="s">
        <v>1011</v>
      </c>
      <c r="B144" s="13" t="str">
        <f>HYPERLINK("https://shopee.co.id/Vaseline-Healthy-Bright-Vitamin-Gel-Serum-Fresh-Glow-Lotion-Serum-Pencerah-180Ml-i.14318452.3320969674", "https://shopee.co.id/Vaseline-Healthy-Bright-Vitamin-Gel-Serum-Fresh-Glow-Lotion-Serum-Pencerah-180Ml-i.14318452.3320969674")</f>
        <v>https://shopee.co.id/Vaseline-Healthy-Bright-Vitamin-Gel-Serum-Fresh-Glow-Lotion-Serum-Pencerah-180Ml-i.14318452.3320969674</v>
      </c>
      <c r="C144" s="8" t="s">
        <v>883</v>
      </c>
      <c r="D144" s="8" t="s">
        <v>326</v>
      </c>
      <c r="E144" s="8" t="s">
        <v>12</v>
      </c>
      <c r="F144" s="8" t="s">
        <v>13</v>
      </c>
      <c r="G144" s="8" t="s">
        <v>296</v>
      </c>
      <c r="H144" s="14" t="str">
        <f>SUBSTITUTE(Sheet1!H144, ",", "")</f>
        <v>696</v>
      </c>
      <c r="I144" s="15" t="str">
        <f>SUBSTITUTE(Sheet1!K144, "Rp", "")</f>
        <v>18707100</v>
      </c>
    </row>
    <row r="145">
      <c r="A145" s="8" t="s">
        <v>1086</v>
      </c>
      <c r="B145" s="13" t="str">
        <f>HYPERLINK("https://shopee.co.id/Hanasui-Serum-Vitamin-C-i.129681299.2334973164", "https://shopee.co.id/Hanasui-Serum-Vitamin-C-i.129681299.2334973164")</f>
        <v>https://shopee.co.id/Hanasui-Serum-Vitamin-C-i.129681299.2334973164</v>
      </c>
      <c r="C145" s="8" t="s">
        <v>784</v>
      </c>
      <c r="D145" s="8" t="s">
        <v>785</v>
      </c>
      <c r="E145" s="8" t="s">
        <v>12</v>
      </c>
      <c r="F145" s="8" t="s">
        <v>13</v>
      </c>
      <c r="G145" s="8" t="s">
        <v>36</v>
      </c>
      <c r="H145" s="14" t="str">
        <f>SUBSTITUTE(Sheet1!H145, ",", "")</f>
        <v>693</v>
      </c>
      <c r="I145" s="15" t="str">
        <f>SUBSTITUTE(Sheet1!K145, "Rp", "")</f>
        <v>15864444</v>
      </c>
    </row>
    <row r="146">
      <c r="A146" s="8" t="s">
        <v>505</v>
      </c>
      <c r="B146" s="13" t="str">
        <f>HYPERLINK("https://shopee.co.id/Buy-Pond-s-Triple-Glow-Serum-30ml-Triple-Glow-Serum-Sheet-Mask-Free-Serum-Burst-Cream-20gr-i.14318452.8872048174", "https://shopee.co.id/Buy-Pond-s-Triple-Glow-Serum-30ml-Triple-Glow-Serum-Sheet-Mask-Free-Serum-Burst-Cream-20gr-i.14318452.8872048174")</f>
        <v>https://shopee.co.id/Buy-Pond-s-Triple-Glow-Serum-30ml-Triple-Glow-Serum-Sheet-Mask-Free-Serum-Burst-Cream-20gr-i.14318452.8872048174</v>
      </c>
      <c r="C146" s="8" t="s">
        <v>325</v>
      </c>
      <c r="D146" s="8" t="s">
        <v>326</v>
      </c>
      <c r="E146" s="8" t="s">
        <v>12</v>
      </c>
      <c r="F146" s="8" t="s">
        <v>13</v>
      </c>
      <c r="G146" s="8" t="s">
        <v>296</v>
      </c>
      <c r="H146" s="14" t="str">
        <f>SUBSTITUTE(Sheet1!H146, ",", "")</f>
        <v>691</v>
      </c>
      <c r="I146" s="15" t="str">
        <f>SUBSTITUTE(Sheet1!K146, "Rp", "")</f>
        <v>59475800</v>
      </c>
    </row>
    <row r="147">
      <c r="A147" s="8" t="s">
        <v>427</v>
      </c>
      <c r="B147" s="13" t="str">
        <f>HYPERLINK("https://shopee.co.id/Purivera-Sea-Ceramide-Serum-Bakuchiol-2-Ceramide-3-Buckthorn-Anti-Aging-Skin-Barrier-Retinol-Alt-i.43724442.3485077026", "https://shopee.co.id/Purivera-Sea-Ceramide-Serum-Bakuchiol-2-Ceramide-3-Buckthorn-Anti-Aging-Skin-Barrier-Retinol-Alt-i.43724442.3485077026")</f>
        <v>https://shopee.co.id/Purivera-Sea-Ceramide-Serum-Bakuchiol-2-Ceramide-3-Buckthorn-Anti-Aging-Skin-Barrier-Retinol-Alt-i.43724442.3485077026</v>
      </c>
      <c r="C147" s="8" t="s">
        <v>428</v>
      </c>
      <c r="D147" s="8" t="s">
        <v>429</v>
      </c>
      <c r="E147" s="8" t="s">
        <v>12</v>
      </c>
      <c r="F147" s="8" t="s">
        <v>13</v>
      </c>
      <c r="G147" s="8" t="s">
        <v>61</v>
      </c>
      <c r="H147" s="14" t="str">
        <f>SUBSTITUTE(Sheet1!H147, ",", "")</f>
        <v>679</v>
      </c>
      <c r="I147" s="15" t="str">
        <f>SUBSTITUTE(Sheet1!K147, "Rp", "")</f>
        <v>74681600</v>
      </c>
    </row>
    <row r="148">
      <c r="A148" s="8" t="s">
        <v>367</v>
      </c>
      <c r="B148" s="13" t="str">
        <f>HYPERLINK("https://shopee.co.id/Teratu-Beauty-Skin-Barrier-Serum-i.232394743.8621402097", "https://shopee.co.id/Teratu-Beauty-Skin-Barrier-Serum-i.232394743.8621402097")</f>
        <v>https://shopee.co.id/Teratu-Beauty-Skin-Barrier-Serum-i.232394743.8621402097</v>
      </c>
      <c r="C148" s="8" t="s">
        <v>368</v>
      </c>
      <c r="D148" s="8" t="s">
        <v>369</v>
      </c>
      <c r="E148" s="8" t="s">
        <v>12</v>
      </c>
      <c r="F148" s="8" t="s">
        <v>13</v>
      </c>
      <c r="G148" s="8" t="s">
        <v>370</v>
      </c>
      <c r="H148" s="14" t="str">
        <f>SUBSTITUTE(Sheet1!H148, ",", "")</f>
        <v>655</v>
      </c>
      <c r="I148" s="15" t="str">
        <f>SUBSTITUTE(Sheet1!K148, "Rp", "")</f>
        <v>97595000</v>
      </c>
    </row>
    <row r="149">
      <c r="A149" s="8" t="s">
        <v>390</v>
      </c>
      <c r="B149" s="13" t="str">
        <f>HYPERLINK("https://shopee.co.id/MSBB-Avoskin-Your-Skin-Bae-Niacinamide-12-Centella-Asiatica-i.288588702.9207142992", "https://shopee.co.id/MSBB-Avoskin-Your-Skin-Bae-Niacinamide-12-Centella-Asiatica-i.288588702.9207142992")</f>
        <v>https://shopee.co.id/MSBB-Avoskin-Your-Skin-Bae-Niacinamide-12-Centella-Asiatica-i.288588702.9207142992</v>
      </c>
      <c r="C149" s="8" t="s">
        <v>83</v>
      </c>
      <c r="D149" s="8" t="s">
        <v>79</v>
      </c>
      <c r="E149" s="8" t="s">
        <v>12</v>
      </c>
      <c r="F149" s="8" t="s">
        <v>13</v>
      </c>
      <c r="G149" s="8" t="s">
        <v>80</v>
      </c>
      <c r="H149" s="14" t="str">
        <f>SUBSTITUTE(Sheet1!H149, ",", "")</f>
        <v>638</v>
      </c>
      <c r="I149" s="15" t="str">
        <f>SUBSTITUTE(Sheet1!K149, "Rp", "")</f>
        <v>88682000</v>
      </c>
    </row>
    <row r="150">
      <c r="A150" s="8" t="s">
        <v>597</v>
      </c>
      <c r="B150" s="13" t="str">
        <f>HYPERLINK("https://shopee.co.id/Ella-Skincare-Glass-Skin-Serum-Whitening-i.95154428.1616420979", "https://shopee.co.id/Ella-Skincare-Glass-Skin-Serum-Whitening-i.95154428.1616420979")</f>
        <v>https://shopee.co.id/Ella-Skincare-Glass-Skin-Serum-Whitening-i.95154428.1616420979</v>
      </c>
      <c r="C150" s="8" t="s">
        <v>451</v>
      </c>
      <c r="D150" s="8" t="s">
        <v>598</v>
      </c>
      <c r="E150" s="8" t="s">
        <v>12</v>
      </c>
      <c r="F150" s="8" t="s">
        <v>13</v>
      </c>
      <c r="G150" s="8" t="s">
        <v>409</v>
      </c>
      <c r="H150" s="14" t="str">
        <f>SUBSTITUTE(Sheet1!H150, ",", "")</f>
        <v>637</v>
      </c>
      <c r="I150" s="15" t="str">
        <f>SUBSTITUTE(Sheet1!K150, "Rp", "")</f>
        <v>48810700</v>
      </c>
    </row>
    <row r="151">
      <c r="A151" s="8" t="s">
        <v>560</v>
      </c>
      <c r="B151" s="13" t="str">
        <f>HYPERLINK("https://shopee.co.id/Garnier-Sakura-White-Pinkish-Radiance-Essence-Lotion-Skin-Care-120ml-i.62583853.2043249395", "https://shopee.co.id/Garnier-Sakura-White-Pinkish-Radiance-Essence-Lotion-Skin-Care-120ml-i.62583853.2043249395")</f>
        <v>https://shopee.co.id/Garnier-Sakura-White-Pinkish-Radiance-Essence-Lotion-Skin-Care-120ml-i.62583853.2043249395</v>
      </c>
      <c r="C151" s="8" t="s">
        <v>74</v>
      </c>
      <c r="D151" s="8" t="s">
        <v>75</v>
      </c>
      <c r="E151" s="8" t="s">
        <v>12</v>
      </c>
      <c r="F151" s="8" t="s">
        <v>13</v>
      </c>
      <c r="G151" s="8" t="s">
        <v>61</v>
      </c>
      <c r="H151" s="14" t="str">
        <f>SUBSTITUTE(Sheet1!H151, ",", "")</f>
        <v>633</v>
      </c>
      <c r="I151" s="15" t="str">
        <f>SUBSTITUTE(Sheet1!K151, "Rp", "")</f>
        <v>53672700</v>
      </c>
    </row>
    <row r="152">
      <c r="A152" s="8" t="s">
        <v>386</v>
      </c>
      <c r="B152" s="13" t="str">
        <f>HYPERLINK("https://shopee.co.id/Ponds-Age-Miracle-Serum-Wajah-Retinol-Youthful-Glow-30-Ml-Anti-Aging-Serum-Anti-Wrinkle-i.14318452.1637854710", "https://shopee.co.id/Ponds-Age-Miracle-Serum-Wajah-Retinol-Youthful-Glow-30-Ml-Anti-Aging-Serum-Anti-Wrinkle-i.14318452.1637854710")</f>
        <v>https://shopee.co.id/Ponds-Age-Miracle-Serum-Wajah-Retinol-Youthful-Glow-30-Ml-Anti-Aging-Serum-Anti-Wrinkle-i.14318452.1637854710</v>
      </c>
      <c r="C152" s="8" t="s">
        <v>325</v>
      </c>
      <c r="D152" s="8" t="s">
        <v>326</v>
      </c>
      <c r="E152" s="8" t="s">
        <v>12</v>
      </c>
      <c r="F152" s="8" t="s">
        <v>13</v>
      </c>
      <c r="G152" s="8" t="s">
        <v>296</v>
      </c>
      <c r="H152" s="14" t="str">
        <f>SUBSTITUTE(Sheet1!H152, ",", "")</f>
        <v>632</v>
      </c>
      <c r="I152" s="15" t="str">
        <f>SUBSTITUTE(Sheet1!K152, "Rp", "")</f>
        <v>93061300</v>
      </c>
    </row>
    <row r="153">
      <c r="A153" s="8" t="s">
        <v>316</v>
      </c>
      <c r="B153" s="13" t="str">
        <f>HYPERLINK("https://shopee.co.id/Olay-Serum-Wajah-Regenerist-Anti-Aging-Skincare-50ml-i.11487927.95468637", "https://shopee.co.id/Olay-Serum-Wajah-Regenerist-Anti-Aging-Skincare-50ml-i.11487927.95468637")</f>
        <v>https://shopee.co.id/Olay-Serum-Wajah-Regenerist-Anti-Aging-Skincare-50ml-i.11487927.95468637</v>
      </c>
      <c r="C153" s="8" t="s">
        <v>317</v>
      </c>
      <c r="D153" s="8" t="s">
        <v>318</v>
      </c>
      <c r="E153" s="8" t="s">
        <v>12</v>
      </c>
      <c r="F153" s="8" t="s">
        <v>13</v>
      </c>
      <c r="G153" s="8" t="s">
        <v>296</v>
      </c>
      <c r="H153" s="14" t="str">
        <f>SUBSTITUTE(Sheet1!H153, ",", "")</f>
        <v>630</v>
      </c>
      <c r="I153" s="15" t="str">
        <f>SUBSTITUTE(Sheet1!K153, "Rp", "")</f>
        <v>125472200</v>
      </c>
    </row>
    <row r="154">
      <c r="A154" s="8" t="s">
        <v>400</v>
      </c>
      <c r="B154" s="13" t="str">
        <f>HYPERLINK("https://shopee.co.id/Bening-s-Acne-Serum-i.190390143.4002655404", "https://shopee.co.id/Bening-s-Acne-Serum-i.190390143.4002655404")</f>
        <v>https://shopee.co.id/Bening-s-Acne-Serum-i.190390143.4002655404</v>
      </c>
      <c r="C154" s="8" t="s">
        <v>10</v>
      </c>
      <c r="D154" s="8" t="s">
        <v>11</v>
      </c>
      <c r="E154" s="8" t="s">
        <v>12</v>
      </c>
      <c r="F154" s="8" t="s">
        <v>13</v>
      </c>
      <c r="G154" s="8" t="s">
        <v>14</v>
      </c>
      <c r="H154" s="14" t="str">
        <f>SUBSTITUTE(Sheet1!H154, ",", "")</f>
        <v>627</v>
      </c>
      <c r="I154" s="15" t="str">
        <f>SUBSTITUTE(Sheet1!K154, "Rp", "")</f>
        <v>85185000</v>
      </c>
    </row>
    <row r="155">
      <c r="A155" s="8" t="s">
        <v>304</v>
      </c>
      <c r="B155" s="13" t="str">
        <f>HYPERLINK("https://shopee.co.id/COSRX-Advanced-Snail-Mucin-96-Power-Essence-Skin-Care-100-ML-Esense-wajah-untuk-anti-penuaan--i.404429429.2957199164", "https://shopee.co.id/COSRX-Advanced-Snail-Mucin-96-Power-Essence-Skin-Care-100-ML-Esense-wajah-untuk-anti-penuaan--i.404429429.2957199164")</f>
        <v>https://shopee.co.id/COSRX-Advanced-Snail-Mucin-96-Power-Essence-Skin-Care-100-ML-Esense-wajah-untuk-anti-penuaan--i.404429429.2957199164</v>
      </c>
      <c r="C155" s="8" t="s">
        <v>305</v>
      </c>
      <c r="D155" s="8" t="s">
        <v>306</v>
      </c>
      <c r="E155" s="8" t="s">
        <v>12</v>
      </c>
      <c r="F155" s="8" t="s">
        <v>13</v>
      </c>
      <c r="G155" s="8" t="s">
        <v>21</v>
      </c>
      <c r="H155" s="14" t="str">
        <f>SUBSTITUTE(Sheet1!H155, ",", "")</f>
        <v>618</v>
      </c>
      <c r="I155" s="15" t="str">
        <f>SUBSTITUTE(Sheet1!K155, "Rp", "")</f>
        <v>132419800</v>
      </c>
    </row>
    <row r="156">
      <c r="A156" s="8" t="s">
        <v>1192</v>
      </c>
      <c r="B156" s="13" t="str">
        <f>HYPERLINK("https://shopee.co.id/Dove-Deodorant-Dry-Serum-Regenerate-Care-Collagen-Vitamin-B3-Free-Dove-Deodorant-Ultimate-40Ml-i.14318452.11923410836", "https://shopee.co.id/Dove-Deodorant-Dry-Serum-Regenerate-Care-Collagen-Vitamin-B3-Free-Dove-Deodorant-Ultimate-40Ml-i.14318452.11923410836")</f>
        <v>https://shopee.co.id/Dove-Deodorant-Dry-Serum-Regenerate-Care-Collagen-Vitamin-B3-Free-Dove-Deodorant-Ultimate-40Ml-i.14318452.11923410836</v>
      </c>
      <c r="C156" s="8" t="s">
        <v>591</v>
      </c>
      <c r="D156" s="8" t="s">
        <v>326</v>
      </c>
      <c r="E156" s="8" t="s">
        <v>12</v>
      </c>
      <c r="F156" s="8" t="s">
        <v>13</v>
      </c>
      <c r="G156" s="8" t="s">
        <v>296</v>
      </c>
      <c r="H156" s="14" t="str">
        <f>SUBSTITUTE(Sheet1!H156, ",", "")</f>
        <v>617</v>
      </c>
      <c r="I156" s="15" t="str">
        <f>SUBSTITUTE(Sheet1!K156, "Rp", "")</f>
        <v>13142100</v>
      </c>
    </row>
    <row r="157">
      <c r="A157" s="8" t="s">
        <v>572</v>
      </c>
      <c r="B157" s="13" t="str">
        <f>HYPERLINK("https://shopee.co.id/Cleora-Beauty-Deep-Hydrating-Essence-i.215119251.12702612740", "https://shopee.co.id/Cleora-Beauty-Deep-Hydrating-Essence-i.215119251.12702612740")</f>
        <v>https://shopee.co.id/Cleora-Beauty-Deep-Hydrating-Essence-i.215119251.12702612740</v>
      </c>
      <c r="C157" s="8" t="s">
        <v>573</v>
      </c>
      <c r="D157" s="8" t="s">
        <v>574</v>
      </c>
      <c r="E157" s="8" t="s">
        <v>12</v>
      </c>
      <c r="F157" s="8" t="s">
        <v>13</v>
      </c>
      <c r="G157" s="8" t="s">
        <v>370</v>
      </c>
      <c r="H157" s="14" t="str">
        <f>SUBSTITUTE(Sheet1!H157, ",", "")</f>
        <v>611</v>
      </c>
      <c r="I157" s="15" t="str">
        <f>SUBSTITUTE(Sheet1!K157, "Rp", "")</f>
        <v>51824500</v>
      </c>
    </row>
    <row r="158">
      <c r="A158" s="8" t="s">
        <v>482</v>
      </c>
      <c r="B158" s="13" t="str">
        <f>HYPERLINK("https://shopee.co.id/Dear-Me-Beauty-10-Niacinamide-Watermelon-Extract-Face-Serum-32ml-i.45495764.9048396972", "https://shopee.co.id/Dear-Me-Beauty-10-Niacinamide-Watermelon-Extract-Face-Serum-32ml-i.45495764.9048396972")</f>
        <v>https://shopee.co.id/Dear-Me-Beauty-10-Niacinamide-Watermelon-Extract-Face-Serum-32ml-i.45495764.9048396972</v>
      </c>
      <c r="C158" s="8" t="s">
        <v>70</v>
      </c>
      <c r="D158" s="8" t="s">
        <v>71</v>
      </c>
      <c r="E158" s="8" t="s">
        <v>12</v>
      </c>
      <c r="F158" s="8" t="s">
        <v>13</v>
      </c>
      <c r="G158" s="8" t="s">
        <v>61</v>
      </c>
      <c r="H158" s="14" t="str">
        <f>SUBSTITUTE(Sheet1!H158, ",", "")</f>
        <v>605</v>
      </c>
      <c r="I158" s="15" t="str">
        <f>SUBSTITUTE(Sheet1!K158, "Rp", "")</f>
        <v>64735100</v>
      </c>
    </row>
    <row r="159">
      <c r="A159" s="8" t="s">
        <v>406</v>
      </c>
      <c r="B159" s="13" t="str">
        <f>HYPERLINK("https://shopee.co.id/Glowlabs-Retinol-Cica-Night-Serum-Mild-and-Powerful-Anti-Aging-Skincare--i.336869851.9716809151", "https://shopee.co.id/Glowlabs-Retinol-Cica-Night-Serum-Mild-and-Powerful-Anti-Aging-Skincare--i.336869851.9716809151")</f>
        <v>https://shopee.co.id/Glowlabs-Retinol-Cica-Night-Serum-Mild-and-Powerful-Anti-Aging-Skincare--i.336869851.9716809151</v>
      </c>
      <c r="C159" s="8" t="s">
        <v>407</v>
      </c>
      <c r="D159" s="8" t="s">
        <v>408</v>
      </c>
      <c r="E159" s="8" t="s">
        <v>12</v>
      </c>
      <c r="F159" s="8" t="s">
        <v>13</v>
      </c>
      <c r="G159" s="8" t="s">
        <v>409</v>
      </c>
      <c r="H159" s="14" t="str">
        <f>SUBSTITUTE(Sheet1!H159, ",", "")</f>
        <v>597</v>
      </c>
      <c r="I159" s="15" t="str">
        <f>SUBSTITUTE(Sheet1!K159, "Rp", "")</f>
        <v>81494400</v>
      </c>
    </row>
    <row r="160">
      <c r="A160" s="8" t="s">
        <v>584</v>
      </c>
      <c r="B160" s="13" t="str">
        <f>HYPERLINK("https://shopee.co.id/Safi-White-Expert-Ultimate-Essence-Serum-20ml-Perawatan-Wajah-i.63823668.1158875676", "https://shopee.co.id/Safi-White-Expert-Ultimate-Essence-Serum-20ml-Perawatan-Wajah-i.63823668.1158875676")</f>
        <v>https://shopee.co.id/Safi-White-Expert-Ultimate-Essence-Serum-20ml-Perawatan-Wajah-i.63823668.1158875676</v>
      </c>
      <c r="C160" s="8" t="s">
        <v>278</v>
      </c>
      <c r="D160" s="8" t="s">
        <v>279</v>
      </c>
      <c r="E160" s="8" t="s">
        <v>12</v>
      </c>
      <c r="F160" s="8" t="s">
        <v>13</v>
      </c>
      <c r="G160" s="8" t="s">
        <v>61</v>
      </c>
      <c r="H160" s="14" t="str">
        <f>SUBSTITUTE(Sheet1!H160, ",", "")</f>
        <v>594</v>
      </c>
      <c r="I160" s="15" t="str">
        <f>SUBSTITUTE(Sheet1!K160, "Rp", "")</f>
        <v>49858400</v>
      </c>
    </row>
    <row r="161">
      <c r="A161" s="8" t="s">
        <v>443</v>
      </c>
      <c r="B161" s="13" t="str">
        <f>HYPERLINK("https://shopee.co.id/Aish-Brightening-Serum-Serum-untuk-mencerahkan-dan-melembabkan-kulit-wajah-15ml-i.406360531.8428391845", "https://shopee.co.id/Aish-Brightening-Serum-Serum-untuk-mencerahkan-dan-melembabkan-kulit-wajah-15ml-i.406360531.8428391845")</f>
        <v>https://shopee.co.id/Aish-Brightening-Serum-Serum-untuk-mencerahkan-dan-melembabkan-kulit-wajah-15ml-i.406360531.8428391845</v>
      </c>
      <c r="C161" s="8" t="s">
        <v>348</v>
      </c>
      <c r="D161" s="8" t="s">
        <v>444</v>
      </c>
      <c r="E161" s="8" t="s">
        <v>12</v>
      </c>
      <c r="F161" s="8" t="s">
        <v>13</v>
      </c>
      <c r="G161" s="8" t="s">
        <v>241</v>
      </c>
      <c r="H161" s="14" t="str">
        <f>SUBSTITUTE(Sheet1!H161, ",", "")</f>
        <v>593</v>
      </c>
      <c r="I161" s="15" t="str">
        <f>SUBSTITUTE(Sheet1!K161, "Rp", "")</f>
        <v>70567000</v>
      </c>
    </row>
    <row r="162">
      <c r="A162" s="8" t="s">
        <v>466</v>
      </c>
      <c r="B162" s="13" t="str">
        <f>HYPERLINK("https://shopee.co.id/Serum-Kinclong-Ertos-i.96907343.1628696821", "https://shopee.co.id/Serum-Kinclong-Ertos-i.96907343.1628696821")</f>
        <v>https://shopee.co.id/Serum-Kinclong-Ertos-i.96907343.1628696821</v>
      </c>
      <c r="C162" s="8" t="s">
        <v>467</v>
      </c>
      <c r="D162" s="8" t="s">
        <v>468</v>
      </c>
      <c r="E162" s="8" t="s">
        <v>12</v>
      </c>
      <c r="F162" s="8" t="s">
        <v>13</v>
      </c>
      <c r="G162" s="8" t="s">
        <v>469</v>
      </c>
      <c r="H162" s="14" t="str">
        <f>SUBSTITUTE(Sheet1!H162, ",", "")</f>
        <v>593</v>
      </c>
      <c r="I162" s="15" t="str">
        <f>SUBSTITUTE(Sheet1!K162, "Rp", "")</f>
        <v>66230000</v>
      </c>
    </row>
    <row r="163">
      <c r="A163" s="8" t="s">
        <v>453</v>
      </c>
      <c r="B163" s="13" t="str">
        <f>HYPERLINK("https://shopee.co.id/Olay-Serum-Wajah-Total-Effects-7-in-1-Anti-Aging-Skincare-50ml-i.11487927.95397937", "https://shopee.co.id/Olay-Serum-Wajah-Total-Effects-7-in-1-Anti-Aging-Skincare-50ml-i.11487927.95397937")</f>
        <v>https://shopee.co.id/Olay-Serum-Wajah-Total-Effects-7-in-1-Anti-Aging-Skincare-50ml-i.11487927.95397937</v>
      </c>
      <c r="C163" s="8" t="s">
        <v>317</v>
      </c>
      <c r="D163" s="8" t="s">
        <v>318</v>
      </c>
      <c r="E163" s="8" t="s">
        <v>12</v>
      </c>
      <c r="F163" s="8" t="s">
        <v>13</v>
      </c>
      <c r="G163" s="8" t="s">
        <v>296</v>
      </c>
      <c r="H163" s="14" t="str">
        <f>SUBSTITUTE(Sheet1!H163, ",", "")</f>
        <v>585</v>
      </c>
      <c r="I163" s="15" t="str">
        <f>SUBSTITUTE(Sheet1!K163, "Rp", "")</f>
        <v>69193300</v>
      </c>
    </row>
    <row r="164">
      <c r="A164" s="8" t="s">
        <v>847</v>
      </c>
      <c r="B164" s="13" t="str">
        <f>HYPERLINK("https://shopee.co.id/White-Story-Peeling-Serum-i.405973920.8444709968", "https://shopee.co.id/White-Story-Peeling-Serum-i.405973920.8444709968")</f>
        <v>https://shopee.co.id/White-Story-Peeling-Serum-i.405973920.8444709968</v>
      </c>
      <c r="C164" s="8" t="s">
        <v>55</v>
      </c>
      <c r="D164" s="8" t="s">
        <v>56</v>
      </c>
      <c r="E164" s="8" t="s">
        <v>12</v>
      </c>
      <c r="F164" s="8" t="s">
        <v>13</v>
      </c>
      <c r="G164" s="8" t="s">
        <v>36</v>
      </c>
      <c r="H164" s="14" t="str">
        <f>SUBSTITUTE(Sheet1!H164, ",", "")</f>
        <v>581</v>
      </c>
      <c r="I164" s="15" t="str">
        <f>SUBSTITUTE(Sheet1!K164, "Rp", "")</f>
        <v>27257650</v>
      </c>
    </row>
    <row r="165">
      <c r="A165" s="8" t="s">
        <v>529</v>
      </c>
      <c r="B165" s="13" t="str">
        <f>HYPERLINK("https://shopee.co.id/Nature-Reaction-Wajah-Glowing-Putih-Bersih-Bebas-Jerawat-Kusam-Bintik-Hitam-Terdaftar-BPOM-Original-i.375565670.8461071280", "https://shopee.co.id/Nature-Reaction-Wajah-Glowing-Putih-Bersih-Bebas-Jerawat-Kusam-Bintik-Hitam-Terdaftar-BPOM-Original-i.375565670.8461071280")</f>
        <v>https://shopee.co.id/Nature-Reaction-Wajah-Glowing-Putih-Bersih-Bebas-Jerawat-Kusam-Bintik-Hitam-Terdaftar-BPOM-Original-i.375565670.8461071280</v>
      </c>
      <c r="C165" s="8" t="s">
        <v>530</v>
      </c>
      <c r="D165" s="8" t="s">
        <v>531</v>
      </c>
      <c r="E165" s="8" t="s">
        <v>12</v>
      </c>
      <c r="F165" s="8" t="s">
        <v>13</v>
      </c>
      <c r="G165" s="8" t="s">
        <v>532</v>
      </c>
      <c r="H165" s="14" t="str">
        <f>SUBSTITUTE(Sheet1!H165, ",", "")</f>
        <v>578</v>
      </c>
      <c r="I165" s="15" t="str">
        <f>SUBSTITUTE(Sheet1!K165, "Rp", "")</f>
        <v>56537000</v>
      </c>
    </row>
    <row r="166">
      <c r="A166" s="8" t="s">
        <v>657</v>
      </c>
      <c r="B166" s="13" t="str">
        <f>HYPERLINK("https://shopee.co.id/Cleora-Acne-Serum-i.215119251.9964351826", "https://shopee.co.id/Cleora-Acne-Serum-i.215119251.9964351826")</f>
        <v>https://shopee.co.id/Cleora-Acne-Serum-i.215119251.9964351826</v>
      </c>
      <c r="C166" s="8" t="s">
        <v>573</v>
      </c>
      <c r="D166" s="8" t="s">
        <v>574</v>
      </c>
      <c r="E166" s="8" t="s">
        <v>12</v>
      </c>
      <c r="F166" s="8" t="s">
        <v>13</v>
      </c>
      <c r="G166" s="8" t="s">
        <v>370</v>
      </c>
      <c r="H166" s="14" t="str">
        <f>SUBSTITUTE(Sheet1!H166, ",", "")</f>
        <v>574</v>
      </c>
      <c r="I166" s="15" t="str">
        <f>SUBSTITUTE(Sheet1!K166, "Rp", "")</f>
        <v>43650000</v>
      </c>
    </row>
    <row r="167">
      <c r="A167" s="8" t="s">
        <v>783</v>
      </c>
      <c r="B167" s="13" t="str">
        <f>HYPERLINK("https://shopee.co.id/Hanasui-Intense-Treatment-Serum-Bright-Up-i.129681299.3103573183", "https://shopee.co.id/Hanasui-Intense-Treatment-Serum-Bright-Up-i.129681299.3103573183")</f>
        <v>https://shopee.co.id/Hanasui-Intense-Treatment-Serum-Bright-Up-i.129681299.3103573183</v>
      </c>
      <c r="C167" s="8" t="s">
        <v>784</v>
      </c>
      <c r="D167" s="8" t="s">
        <v>785</v>
      </c>
      <c r="E167" s="8" t="s">
        <v>12</v>
      </c>
      <c r="F167" s="8" t="s">
        <v>13</v>
      </c>
      <c r="G167" s="8" t="s">
        <v>36</v>
      </c>
      <c r="H167" s="14" t="str">
        <f>SUBSTITUTE(Sheet1!H167, ",", "")</f>
        <v>565</v>
      </c>
      <c r="I167" s="15" t="str">
        <f>SUBSTITUTE(Sheet1!K167, "Rp", "")</f>
        <v>31932505</v>
      </c>
    </row>
    <row r="168">
      <c r="A168" s="8" t="s">
        <v>343</v>
      </c>
      <c r="B168" s="13" t="str">
        <f>HYPERLINK("https://shopee.co.id/Nacific-Fresh-Herb-Origin-Serum-50ml--i.238379974.5192586864", "https://shopee.co.id/Nacific-Fresh-Herb-Origin-Serum-50ml--i.238379974.5192586864")</f>
        <v>https://shopee.co.id/Nacific-Fresh-Herb-Origin-Serum-50ml--i.238379974.5192586864</v>
      </c>
      <c r="C168" s="8" t="s">
        <v>344</v>
      </c>
      <c r="D168" s="8" t="s">
        <v>345</v>
      </c>
      <c r="E168" s="8" t="s">
        <v>12</v>
      </c>
      <c r="F168" s="8" t="s">
        <v>13</v>
      </c>
      <c r="G168" s="8" t="s">
        <v>130</v>
      </c>
      <c r="H168" s="14" t="str">
        <f>SUBSTITUTE(Sheet1!H168, ",", "")</f>
        <v>564</v>
      </c>
      <c r="I168" s="15" t="str">
        <f>SUBSTITUTE(Sheet1!K168, "Rp", "")</f>
        <v>106376000</v>
      </c>
    </row>
    <row r="169">
      <c r="A169" s="8" t="s">
        <v>243</v>
      </c>
      <c r="B169" s="13" t="str">
        <f>HYPERLINK("https://shopee.co.id/Niacid-by-Slurp-Laboratories-Korea-All-in-One-Face-Serum-i.349084850.5077926017", "https://shopee.co.id/Niacid-by-Slurp-Laboratories-Korea-All-in-One-Face-Serum-i.349084850.5077926017")</f>
        <v>https://shopee.co.id/Niacid-by-Slurp-Laboratories-Korea-All-in-One-Face-Serum-i.349084850.5077926017</v>
      </c>
      <c r="C169" s="8" t="s">
        <v>244</v>
      </c>
      <c r="D169" s="8" t="s">
        <v>245</v>
      </c>
      <c r="E169" s="8" t="s">
        <v>12</v>
      </c>
      <c r="F169" s="8" t="s">
        <v>13</v>
      </c>
      <c r="G169" s="8" t="s">
        <v>61</v>
      </c>
      <c r="H169" s="14" t="str">
        <f>SUBSTITUTE(Sheet1!H169, ",", "")</f>
        <v>553</v>
      </c>
      <c r="I169" s="15" t="str">
        <f>SUBSTITUTE(Sheet1!K169, "Rp", "")</f>
        <v>189510000</v>
      </c>
    </row>
    <row r="170">
      <c r="A170" s="8" t="s">
        <v>513</v>
      </c>
      <c r="B170" s="13" t="str">
        <f>HYPERLINK("https://shopee.co.id/VAVL-Vightne-Blemish-Serum-15ml-i.270965687.5184906048", "https://shopee.co.id/VAVL-Vightne-Blemish-Serum-15ml-i.270965687.5184906048")</f>
        <v>https://shopee.co.id/VAVL-Vightne-Blemish-Serum-15ml-i.270965687.5184906048</v>
      </c>
      <c r="C170" s="8" t="s">
        <v>514</v>
      </c>
      <c r="D170" s="8" t="s">
        <v>379</v>
      </c>
      <c r="E170" s="8" t="s">
        <v>12</v>
      </c>
      <c r="F170" s="8" t="s">
        <v>13</v>
      </c>
      <c r="G170" s="8" t="s">
        <v>380</v>
      </c>
      <c r="H170" s="14" t="str">
        <f>SUBSTITUTE(Sheet1!H170, ",", "")</f>
        <v>553</v>
      </c>
      <c r="I170" s="15" t="str">
        <f>SUBSTITUTE(Sheet1!K170, "Rp", "")</f>
        <v>58065000</v>
      </c>
    </row>
    <row r="171">
      <c r="A171" s="8" t="s">
        <v>450</v>
      </c>
      <c r="B171" s="13" t="str">
        <f>HYPERLINK("https://shopee.co.id/Airnderm-Aesthetic-Glass-Skin-Serum-by-AIRIN-BEAUTY--i.112372548.8509426689", "https://shopee.co.id/Airnderm-Aesthetic-Glass-Skin-Serum-by-AIRIN-BEAUTY--i.112372548.8509426689")</f>
        <v>https://shopee.co.id/Airnderm-Aesthetic-Glass-Skin-Serum-by-AIRIN-BEAUTY--i.112372548.8509426689</v>
      </c>
      <c r="C171" s="8" t="s">
        <v>451</v>
      </c>
      <c r="D171" s="8" t="s">
        <v>240</v>
      </c>
      <c r="E171" s="8" t="s">
        <v>12</v>
      </c>
      <c r="F171" s="8" t="s">
        <v>13</v>
      </c>
      <c r="G171" s="8" t="s">
        <v>241</v>
      </c>
      <c r="H171" s="14" t="str">
        <f>SUBSTITUTE(Sheet1!H171, ",", "")</f>
        <v>544</v>
      </c>
      <c r="I171" s="15" t="str">
        <f>SUBSTITUTE(Sheet1!K171, "Rp", "")</f>
        <v>69653550</v>
      </c>
    </row>
    <row r="172">
      <c r="A172" s="8" t="s">
        <v>664</v>
      </c>
      <c r="B172" s="13" t="str">
        <f>HYPERLINK("https://shopee.co.id/Aura-Bright-Whitening-Serum-i.127215672.1920914155", "https://shopee.co.id/Aura-Bright-Whitening-Serum-i.127215672.1920914155")</f>
        <v>https://shopee.co.id/Aura-Bright-Whitening-Serum-i.127215672.1920914155</v>
      </c>
      <c r="C172" s="8" t="s">
        <v>90</v>
      </c>
      <c r="D172" s="8" t="s">
        <v>91</v>
      </c>
      <c r="E172" s="8" t="s">
        <v>12</v>
      </c>
      <c r="F172" s="8" t="s">
        <v>13</v>
      </c>
      <c r="G172" s="8" t="s">
        <v>21</v>
      </c>
      <c r="H172" s="14" t="str">
        <f>SUBSTITUTE(Sheet1!H172, ",", "")</f>
        <v>539</v>
      </c>
      <c r="I172" s="15" t="str">
        <f>SUBSTITUTE(Sheet1!K172, "Rp", "")</f>
        <v>42988500</v>
      </c>
    </row>
    <row r="173">
      <c r="A173" s="8" t="s">
        <v>1507</v>
      </c>
      <c r="B173" s="13" t="str">
        <f>HYPERLINK("https://shopee.co.id/Rojukiss-Korean-Serum-8ml-All-Varian-i.136011044.8490126046", "https://shopee.co.id/Rojukiss-Korean-Serum-8ml-All-Varian-i.136011044.8490126046")</f>
        <v>https://shopee.co.id/Rojukiss-Korean-Serum-8ml-All-Varian-i.136011044.8490126046</v>
      </c>
      <c r="C173" s="8" t="s">
        <v>1508</v>
      </c>
      <c r="D173" s="8" t="s">
        <v>632</v>
      </c>
      <c r="E173" s="8" t="s">
        <v>12</v>
      </c>
      <c r="F173" s="8" t="s">
        <v>13</v>
      </c>
      <c r="G173" s="8" t="s">
        <v>21</v>
      </c>
      <c r="H173" s="14" t="str">
        <f>SUBSTITUTE(Sheet1!H173, ",", "")</f>
        <v>539</v>
      </c>
      <c r="I173" s="15" t="str">
        <f>SUBSTITUTE(Sheet1!K173, "Rp", "")</f>
        <v>7492100</v>
      </c>
    </row>
    <row r="174">
      <c r="A174" s="8" t="s">
        <v>671</v>
      </c>
      <c r="B174" s="13" t="str">
        <f>HYPERLINK("https://shopee.co.id/Oh-My-Skin-ESSENCE-4in1-produk-i.226760579.5256332116", "https://shopee.co.id/Oh-My-Skin-ESSENCE-4in1-produk-i.226760579.5256332116")</f>
        <v>https://shopee.co.id/Oh-My-Skin-ESSENCE-4in1-produk-i.226760579.5256332116</v>
      </c>
      <c r="C174" s="8" t="s">
        <v>672</v>
      </c>
      <c r="D174" s="8" t="s">
        <v>673</v>
      </c>
      <c r="E174" s="8" t="s">
        <v>12</v>
      </c>
      <c r="F174" s="8" t="s">
        <v>13</v>
      </c>
      <c r="G174" s="8" t="s">
        <v>674</v>
      </c>
      <c r="H174" s="14" t="str">
        <f>SUBSTITUTE(Sheet1!H174, ",", "")</f>
        <v>537</v>
      </c>
      <c r="I174" s="15" t="str">
        <f>SUBSTITUTE(Sheet1!K174, "Rp", "")</f>
        <v>42328000</v>
      </c>
    </row>
    <row r="175">
      <c r="A175" s="8" t="s">
        <v>372</v>
      </c>
      <c r="B175" s="13" t="str">
        <f>HYPERLINK("https://shopee.co.id/Erha-Age-Corrector-Peptides-Soya-Phytoplacenta-Serum-20-mL-Serum-Anti-Penuaan-i.129153987.1981545218", "https://shopee.co.id/Erha-Age-Corrector-Peptides-Soya-Phytoplacenta-Serum-20-mL-Serum-Anti-Penuaan-i.129153987.1981545218")</f>
        <v>https://shopee.co.id/Erha-Age-Corrector-Peptides-Soya-Phytoplacenta-Serum-20-mL-Serum-Anti-Penuaan-i.129153987.1981545218</v>
      </c>
      <c r="C175" s="8" t="s">
        <v>181</v>
      </c>
      <c r="D175" s="8" t="s">
        <v>182</v>
      </c>
      <c r="E175" s="8" t="s">
        <v>12</v>
      </c>
      <c r="F175" s="8" t="s">
        <v>13</v>
      </c>
      <c r="G175" s="8" t="s">
        <v>61</v>
      </c>
      <c r="H175" s="14" t="str">
        <f>SUBSTITUTE(Sheet1!H175, ",", "")</f>
        <v>522</v>
      </c>
      <c r="I175" s="15" t="str">
        <f>SUBSTITUTE(Sheet1!K175, "Rp", "")</f>
        <v>96714988</v>
      </c>
    </row>
    <row r="176">
      <c r="A176" s="8" t="s">
        <v>361</v>
      </c>
      <c r="B176" s="13" t="str">
        <f>HYPERLINK("https://shopee.co.id/Erha-Truwhite-3-TXA-Hexyl-Resorcinol-Active-Glow-Booster-15ml-Booster-Pencerah-i.129153987.9314241696", "https://shopee.co.id/Erha-Truwhite-3-TXA-Hexyl-Resorcinol-Active-Glow-Booster-15ml-Booster-Pencerah-i.129153987.9314241696")</f>
        <v>https://shopee.co.id/Erha-Truwhite-3-TXA-Hexyl-Resorcinol-Active-Glow-Booster-15ml-Booster-Pencerah-i.129153987.9314241696</v>
      </c>
      <c r="C176" s="8" t="s">
        <v>181</v>
      </c>
      <c r="D176" s="8" t="s">
        <v>182</v>
      </c>
      <c r="E176" s="8" t="s">
        <v>12</v>
      </c>
      <c r="F176" s="8" t="s">
        <v>13</v>
      </c>
      <c r="G176" s="8" t="s">
        <v>61</v>
      </c>
      <c r="H176" s="14" t="str">
        <f>SUBSTITUTE(Sheet1!H176, ",", "")</f>
        <v>514</v>
      </c>
      <c r="I176" s="15" t="str">
        <f>SUBSTITUTE(Sheet1!K176, "Rp", "")</f>
        <v>100112175</v>
      </c>
    </row>
    <row r="177">
      <c r="A177" s="8" t="s">
        <v>1214</v>
      </c>
      <c r="B177" s="13" t="str">
        <f>HYPERLINK("https://shopee.co.id/Hanasui-Whitening-Gold-Serum-New-Look-New-Formula-i.129681299.4497071557", "https://shopee.co.id/Hanasui-Whitening-Gold-Serum-New-Look-New-Formula-i.129681299.4497071557")</f>
        <v>https://shopee.co.id/Hanasui-Whitening-Gold-Serum-New-Look-New-Formula-i.129681299.4497071557</v>
      </c>
      <c r="C177" s="8" t="s">
        <v>784</v>
      </c>
      <c r="D177" s="8" t="s">
        <v>785</v>
      </c>
      <c r="E177" s="8" t="s">
        <v>12</v>
      </c>
      <c r="F177" s="8" t="s">
        <v>13</v>
      </c>
      <c r="G177" s="8" t="s">
        <v>36</v>
      </c>
      <c r="H177" s="14" t="str">
        <f>SUBSTITUTE(Sheet1!H177, ",", "")</f>
        <v>512</v>
      </c>
      <c r="I177" s="15" t="str">
        <f>SUBSTITUTE(Sheet1!K177, "Rp", "")</f>
        <v>12515000</v>
      </c>
    </row>
    <row r="178">
      <c r="A178" s="8" t="s">
        <v>464</v>
      </c>
      <c r="B178" s="13" t="str">
        <f>HYPERLINK("https://shopee.co.id/Safi-Age-Defy-Anti-Aging-Gold-Water-Essence-100ml-Perawatan-Wajah-i.63823668.1158822920", "https://shopee.co.id/Safi-Age-Defy-Anti-Aging-Gold-Water-Essence-100ml-Perawatan-Wajah-i.63823668.1158822920")</f>
        <v>https://shopee.co.id/Safi-Age-Defy-Anti-Aging-Gold-Water-Essence-100ml-Perawatan-Wajah-i.63823668.1158822920</v>
      </c>
      <c r="C178" s="8" t="s">
        <v>278</v>
      </c>
      <c r="D178" s="8" t="s">
        <v>279</v>
      </c>
      <c r="E178" s="8" t="s">
        <v>12</v>
      </c>
      <c r="F178" s="8" t="s">
        <v>13</v>
      </c>
      <c r="G178" s="8" t="s">
        <v>61</v>
      </c>
      <c r="H178" s="14" t="str">
        <f>SUBSTITUTE(Sheet1!H178, ",", "")</f>
        <v>511</v>
      </c>
      <c r="I178" s="15" t="str">
        <f>SUBSTITUTE(Sheet1!K178, "Rp", "")</f>
        <v>66488100</v>
      </c>
    </row>
    <row r="179">
      <c r="A179" s="8" t="s">
        <v>1213</v>
      </c>
      <c r="B179" s="13" t="str">
        <f>HYPERLINK("https://shopee.co.id/Hanasui-Vitamin-C-New-Look-New-Formula-i.129681299.8988422731", "https://shopee.co.id/Hanasui-Vitamin-C-New-Look-New-Formula-i.129681299.8988422731")</f>
        <v>https://shopee.co.id/Hanasui-Vitamin-C-New-Look-New-Formula-i.129681299.8988422731</v>
      </c>
      <c r="C179" s="8" t="s">
        <v>784</v>
      </c>
      <c r="D179" s="8" t="s">
        <v>785</v>
      </c>
      <c r="E179" s="8" t="s">
        <v>12</v>
      </c>
      <c r="F179" s="8" t="s">
        <v>13</v>
      </c>
      <c r="G179" s="8" t="s">
        <v>36</v>
      </c>
      <c r="H179" s="14" t="str">
        <f>SUBSTITUTE(Sheet1!H179, ",", "")</f>
        <v>505</v>
      </c>
      <c r="I179" s="15" t="str">
        <f>SUBSTITUTE(Sheet1!K179, "Rp", "")</f>
        <v>12518750</v>
      </c>
    </row>
    <row r="180">
      <c r="A180" s="8" t="s">
        <v>496</v>
      </c>
      <c r="B180" s="13" t="str">
        <f>HYPERLINK("https://shopee.co.id/Aish-Darkspot-Serum-menyamarkan-flek-hitam-15ml-i.406360531.9028396142", "https://shopee.co.id/Aish-Darkspot-Serum-menyamarkan-flek-hitam-15ml-i.406360531.9028396142")</f>
        <v>https://shopee.co.id/Aish-Darkspot-Serum-menyamarkan-flek-hitam-15ml-i.406360531.9028396142</v>
      </c>
      <c r="C180" s="8" t="s">
        <v>348</v>
      </c>
      <c r="D180" s="8" t="s">
        <v>444</v>
      </c>
      <c r="E180" s="8" t="s">
        <v>12</v>
      </c>
      <c r="F180" s="8" t="s">
        <v>13</v>
      </c>
      <c r="G180" s="8" t="s">
        <v>241</v>
      </c>
      <c r="H180" s="14" t="str">
        <f>SUBSTITUTE(Sheet1!H180, ",", "")</f>
        <v>504</v>
      </c>
      <c r="I180" s="15" t="str">
        <f>SUBSTITUTE(Sheet1!K180, "Rp", "")</f>
        <v>61992000</v>
      </c>
    </row>
    <row r="181">
      <c r="A181" s="8" t="s">
        <v>480</v>
      </c>
      <c r="B181" s="13" t="str">
        <f>HYPERLINK("https://shopee.co.id/L-Oreal-Paris-Your-First-Skin-Care-Kit-i.62579622.3643009649", "https://shopee.co.id/L-Oreal-Paris-Your-First-Skin-Care-Kit-i.62579622.3643009649")</f>
        <v>https://shopee.co.id/L-Oreal-Paris-Your-First-Skin-Care-Kit-i.62579622.3643009649</v>
      </c>
      <c r="C181" s="8" t="s">
        <v>105</v>
      </c>
      <c r="D181" s="8" t="s">
        <v>106</v>
      </c>
      <c r="E181" s="8" t="s">
        <v>12</v>
      </c>
      <c r="F181" s="8" t="s">
        <v>13</v>
      </c>
      <c r="G181" s="8" t="s">
        <v>61</v>
      </c>
      <c r="H181" s="14" t="str">
        <f>SUBSTITUTE(Sheet1!H181, ",", "")</f>
        <v>504</v>
      </c>
      <c r="I181" s="15" t="str">
        <f>SUBSTITUTE(Sheet1!K181, "Rp", "")</f>
        <v>64810200</v>
      </c>
    </row>
    <row r="182">
      <c r="A182" s="8" t="s">
        <v>717</v>
      </c>
      <c r="B182" s="13" t="str">
        <f>HYPERLINK("https://shopee.co.id/All-Perfect-Whitening-Serum-i.167618454.2610569753", "https://shopee.co.id/All-Perfect-Whitening-Serum-i.167618454.2610569753")</f>
        <v>https://shopee.co.id/All-Perfect-Whitening-Serum-i.167618454.2610569753</v>
      </c>
      <c r="C182" s="8" t="s">
        <v>718</v>
      </c>
      <c r="D182" s="8" t="s">
        <v>678</v>
      </c>
      <c r="E182" s="8" t="s">
        <v>12</v>
      </c>
      <c r="F182" s="8" t="s">
        <v>13</v>
      </c>
      <c r="G182" s="8" t="s">
        <v>296</v>
      </c>
      <c r="H182" s="14" t="str">
        <f>SUBSTITUTE(Sheet1!H182, ",", "")</f>
        <v>496</v>
      </c>
      <c r="I182" s="15" t="str">
        <f>SUBSTITUTE(Sheet1!K182, "Rp", "")</f>
        <v>37200000</v>
      </c>
    </row>
    <row r="183">
      <c r="A183" s="8" t="s">
        <v>829</v>
      </c>
      <c r="B183" s="13" t="str">
        <f>HYPERLINK("https://shopee.co.id/Skin-Aqua-Tone-Up-Essence-i.78713320.3333104262", "https://shopee.co.id/Skin-Aqua-Tone-Up-Essence-i.78713320.3333104262")</f>
        <v>https://shopee.co.id/Skin-Aqua-Tone-Up-Essence-i.78713320.3333104262</v>
      </c>
      <c r="C183" s="8" t="s">
        <v>830</v>
      </c>
      <c r="D183" s="8" t="s">
        <v>831</v>
      </c>
      <c r="E183" s="8" t="s">
        <v>12</v>
      </c>
      <c r="F183" s="8" t="s">
        <v>13</v>
      </c>
      <c r="G183" s="8" t="s">
        <v>61</v>
      </c>
      <c r="H183" s="14" t="str">
        <f>SUBSTITUTE(Sheet1!H183, ",", "")</f>
        <v>494</v>
      </c>
      <c r="I183" s="15" t="str">
        <f>SUBSTITUTE(Sheet1!K183, "Rp", "")</f>
        <v>28552800</v>
      </c>
    </row>
    <row r="184">
      <c r="A184" s="8" t="s">
        <v>1229</v>
      </c>
      <c r="B184" s="13" t="str">
        <f>HYPERLINK("https://shopee.co.id/Hanasui-Anti-Acne-Serum-New-Look-New-Formula-i.129681299.11024773256", "https://shopee.co.id/Hanasui-Anti-Acne-Serum-New-Look-New-Formula-i.129681299.11024773256")</f>
        <v>https://shopee.co.id/Hanasui-Anti-Acne-Serum-New-Look-New-Formula-i.129681299.11024773256</v>
      </c>
      <c r="C184" s="8" t="s">
        <v>784</v>
      </c>
      <c r="D184" s="8" t="s">
        <v>785</v>
      </c>
      <c r="E184" s="8" t="s">
        <v>12</v>
      </c>
      <c r="F184" s="8" t="s">
        <v>13</v>
      </c>
      <c r="G184" s="8" t="s">
        <v>36</v>
      </c>
      <c r="H184" s="14" t="str">
        <f>SUBSTITUTE(Sheet1!H184, ",", "")</f>
        <v>490</v>
      </c>
      <c r="I184" s="15" t="str">
        <f>SUBSTITUTE(Sheet1!K184, "Rp", "")</f>
        <v>12250000</v>
      </c>
    </row>
    <row r="185">
      <c r="A185" s="8" t="s">
        <v>903</v>
      </c>
      <c r="B185" s="13" t="str">
        <f>HYPERLINK("https://shopee.co.id/-BPOM-BREYLEE-Serum-Treatment-Wajah-Berjerawat-17ml--i.324706771.4857906570", "https://shopee.co.id/-BPOM-BREYLEE-Serum-Treatment-Wajah-Berjerawat-17ml--i.324706771.4857906570")</f>
        <v>https://shopee.co.id/-BPOM-BREYLEE-Serum-Treatment-Wajah-Berjerawat-17ml--i.324706771.4857906570</v>
      </c>
      <c r="C185" s="8" t="s">
        <v>852</v>
      </c>
      <c r="D185" s="8" t="s">
        <v>853</v>
      </c>
      <c r="E185" s="8" t="s">
        <v>12</v>
      </c>
      <c r="F185" s="8" t="s">
        <v>13</v>
      </c>
      <c r="G185" s="8" t="s">
        <v>532</v>
      </c>
      <c r="H185" s="14" t="str">
        <f>SUBSTITUTE(Sheet1!H185, ",", "")</f>
        <v>488</v>
      </c>
      <c r="I185" s="15" t="str">
        <f>SUBSTITUTE(Sheet1!K185, "Rp", "")</f>
        <v>23598100</v>
      </c>
    </row>
    <row r="186">
      <c r="A186" s="8" t="s">
        <v>1027</v>
      </c>
      <c r="B186" s="13" t="str">
        <f>HYPERLINK("https://shopee.co.id/BREYLEE-Serum-Wajah-1pc-17ml--i.324706771.7057931704", "https://shopee.co.id/BREYLEE-Serum-Wajah-1pc-17ml--i.324706771.7057931704")</f>
        <v>https://shopee.co.id/BREYLEE-Serum-Wajah-1pc-17ml--i.324706771.7057931704</v>
      </c>
      <c r="C186" s="8" t="s">
        <v>852</v>
      </c>
      <c r="D186" s="8" t="s">
        <v>853</v>
      </c>
      <c r="E186" s="8" t="s">
        <v>12</v>
      </c>
      <c r="F186" s="8" t="s">
        <v>13</v>
      </c>
      <c r="G186" s="8" t="s">
        <v>532</v>
      </c>
      <c r="H186" s="14" t="str">
        <f>SUBSTITUTE(Sheet1!H186, ",", "")</f>
        <v>486</v>
      </c>
      <c r="I186" s="15" t="str">
        <f>SUBSTITUTE(Sheet1!K186, "Rp", "")</f>
        <v>17864800</v>
      </c>
    </row>
    <row r="187">
      <c r="A187" s="8" t="s">
        <v>538</v>
      </c>
      <c r="B187" s="13" t="str">
        <f>HYPERLINK("https://shopee.co.id/ADLEEVA-by-ADEEVA-Flawless-Brightening-Serum-i.180408602.5800618016", "https://shopee.co.id/ADLEEVA-by-ADEEVA-Flawless-Brightening-Serum-i.180408602.5800618016")</f>
        <v>https://shopee.co.id/ADLEEVA-by-ADEEVA-Flawless-Brightening-Serum-i.180408602.5800618016</v>
      </c>
      <c r="C187" s="8" t="s">
        <v>539</v>
      </c>
      <c r="D187" s="8" t="s">
        <v>540</v>
      </c>
      <c r="E187" s="8" t="s">
        <v>12</v>
      </c>
      <c r="F187" s="8" t="s">
        <v>13</v>
      </c>
      <c r="G187" s="8" t="s">
        <v>541</v>
      </c>
      <c r="H187" s="14" t="str">
        <f>SUBSTITUTE(Sheet1!H187, ",", "")</f>
        <v>474</v>
      </c>
      <c r="I187" s="15" t="str">
        <f>SUBSTITUTE(Sheet1!K187, "Rp", "")</f>
        <v>55936000</v>
      </c>
    </row>
    <row r="188">
      <c r="A188" s="8" t="s">
        <v>610</v>
      </c>
      <c r="B188" s="13" t="str">
        <f>HYPERLINK("https://shopee.co.id/Erto-s-Pore-Minimizer-Serum-i.96907343.1980405480", "https://shopee.co.id/Erto-s-Pore-Minimizer-Serum-i.96907343.1980405480")</f>
        <v>https://shopee.co.id/Erto-s-Pore-Minimizer-Serum-i.96907343.1980405480</v>
      </c>
      <c r="C188" s="8" t="s">
        <v>467</v>
      </c>
      <c r="D188" s="8" t="s">
        <v>468</v>
      </c>
      <c r="E188" s="8" t="s">
        <v>12</v>
      </c>
      <c r="F188" s="8" t="s">
        <v>13</v>
      </c>
      <c r="G188" s="8" t="s">
        <v>469</v>
      </c>
      <c r="H188" s="14" t="str">
        <f>SUBSTITUTE(Sheet1!H188, ",", "")</f>
        <v>466</v>
      </c>
      <c r="I188" s="15" t="str">
        <f>SUBSTITUTE(Sheet1!K188, "Rp", "")</f>
        <v>47964000</v>
      </c>
    </row>
    <row r="189">
      <c r="A189" s="8" t="s">
        <v>396</v>
      </c>
      <c r="B189" s="13" t="str">
        <f>HYPERLINK("https://shopee.co.id/Dear-Me-Beauty-10-Vitamin-C-Orange-Extract-Face-Serum-32ml-i.45495764.8685436515", "https://shopee.co.id/Dear-Me-Beauty-10-Vitamin-C-Orange-Extract-Face-Serum-32ml-i.45495764.8685436515")</f>
        <v>https://shopee.co.id/Dear-Me-Beauty-10-Vitamin-C-Orange-Extract-Face-Serum-32ml-i.45495764.8685436515</v>
      </c>
      <c r="C189" s="8" t="s">
        <v>70</v>
      </c>
      <c r="D189" s="8" t="s">
        <v>71</v>
      </c>
      <c r="E189" s="8" t="s">
        <v>12</v>
      </c>
      <c r="F189" s="8" t="s">
        <v>13</v>
      </c>
      <c r="G189" s="8" t="s">
        <v>61</v>
      </c>
      <c r="H189" s="14" t="str">
        <f>SUBSTITUTE(Sheet1!H189, ",", "")</f>
        <v>462</v>
      </c>
      <c r="I189" s="15" t="str">
        <f>SUBSTITUTE(Sheet1!K189, "Rp", "")</f>
        <v>85569750</v>
      </c>
    </row>
    <row r="190">
      <c r="A190" s="8" t="s">
        <v>440</v>
      </c>
      <c r="B190" s="13" t="str">
        <f>HYPERLINK("https://shopee.co.id/SOMETHINC-LEVEL-1-Retinol-20ml-i.68111.5732594794", "https://shopee.co.id/SOMETHINC-LEVEL-1-Retinol-20ml-i.68111.5732594794")</f>
        <v>https://shopee.co.id/SOMETHINC-LEVEL-1-Retinol-20ml-i.68111.5732594794</v>
      </c>
      <c r="C190" s="8" t="s">
        <v>45</v>
      </c>
      <c r="D190" s="8" t="s">
        <v>441</v>
      </c>
      <c r="E190" s="8" t="s">
        <v>12</v>
      </c>
      <c r="F190" s="8" t="s">
        <v>13</v>
      </c>
      <c r="G190" s="8" t="s">
        <v>130</v>
      </c>
      <c r="H190" s="14" t="str">
        <f>SUBSTITUTE(Sheet1!H190, ",", "")</f>
        <v>460</v>
      </c>
      <c r="I190" s="15" t="str">
        <f>SUBSTITUTE(Sheet1!K190, "Rp", "")</f>
        <v>71300000</v>
      </c>
    </row>
    <row r="191">
      <c r="A191" s="8" t="s">
        <v>1335</v>
      </c>
      <c r="B191" s="13" t="str">
        <f>HYPERLINK("https://shopee.co.id/Garnier-Bright-Complete-White-Speed-Day-Serum-Cream-Uva-Uvb-Skin-Care-20-ml-i.62583853.1022726854", "https://shopee.co.id/Garnier-Bright-Complete-White-Speed-Day-Serum-Cream-Uva-Uvb-Skin-Care-20-ml-i.62583853.1022726854")</f>
        <v>https://shopee.co.id/Garnier-Bright-Complete-White-Speed-Day-Serum-Cream-Uva-Uvb-Skin-Care-20-ml-i.62583853.1022726854</v>
      </c>
      <c r="C191" s="8" t="s">
        <v>74</v>
      </c>
      <c r="D191" s="8" t="s">
        <v>75</v>
      </c>
      <c r="E191" s="8" t="s">
        <v>12</v>
      </c>
      <c r="F191" s="8" t="s">
        <v>13</v>
      </c>
      <c r="G191" s="8" t="s">
        <v>61</v>
      </c>
      <c r="H191" s="14" t="str">
        <f>SUBSTITUTE(Sheet1!H191, ",", "")</f>
        <v>456</v>
      </c>
      <c r="I191" s="15" t="str">
        <f>SUBSTITUTE(Sheet1!K191, "Rp", "")</f>
        <v>10117200</v>
      </c>
    </row>
    <row r="192">
      <c r="A192" s="8" t="s">
        <v>494</v>
      </c>
      <c r="B192" s="13" t="str">
        <f>HYPERLINK("https://shopee.co.id/AVOSKIN-Your-Skin-Bae-Alpha-Arbutin-3-Grapeseed-30ml-i.270965687.7670648934", "https://shopee.co.id/AVOSKIN-Your-Skin-Bae-Alpha-Arbutin-3-Grapeseed-30ml-i.270965687.7670648934")</f>
        <v>https://shopee.co.id/AVOSKIN-Your-Skin-Bae-Alpha-Arbutin-3-Grapeseed-30ml-i.270965687.7670648934</v>
      </c>
      <c r="C192" s="8" t="s">
        <v>83</v>
      </c>
      <c r="D192" s="8" t="s">
        <v>379</v>
      </c>
      <c r="E192" s="8" t="s">
        <v>12</v>
      </c>
      <c r="F192" s="8" t="s">
        <v>13</v>
      </c>
      <c r="G192" s="8" t="s">
        <v>380</v>
      </c>
      <c r="H192" s="14" t="str">
        <f>SUBSTITUTE(Sheet1!H192, ",", "")</f>
        <v>449</v>
      </c>
      <c r="I192" s="15" t="str">
        <f>SUBSTITUTE(Sheet1!K192, "Rp", "")</f>
        <v>62299000</v>
      </c>
    </row>
    <row r="193">
      <c r="A193" s="8" t="s">
        <v>699</v>
      </c>
      <c r="B193" s="13" t="str">
        <f>HYPERLINK("https://shopee.co.id/Ella-skin-Care-Serum-Matcha-Sebo-Control-i.95154428.11536523512", "https://shopee.co.id/Ella-skin-Care-Serum-Matcha-Sebo-Control-i.95154428.11536523512")</f>
        <v>https://shopee.co.id/Ella-skin-Care-Serum-Matcha-Sebo-Control-i.95154428.11536523512</v>
      </c>
      <c r="C193" s="8" t="s">
        <v>700</v>
      </c>
      <c r="D193" s="8" t="s">
        <v>598</v>
      </c>
      <c r="E193" s="8" t="s">
        <v>12</v>
      </c>
      <c r="F193" s="8" t="s">
        <v>13</v>
      </c>
      <c r="G193" s="8" t="s">
        <v>409</v>
      </c>
      <c r="H193" s="14" t="str">
        <f>SUBSTITUTE(Sheet1!H193, ",", "")</f>
        <v>448</v>
      </c>
      <c r="I193" s="15" t="str">
        <f>SUBSTITUTE(Sheet1!K193, "Rp", "")</f>
        <v>39262350</v>
      </c>
    </row>
    <row r="194">
      <c r="A194" s="8" t="s">
        <v>570</v>
      </c>
      <c r="B194" s="13" t="str">
        <f>HYPERLINK("https://shopee.co.id/Aish-Acne-Care-Serum-Serum-untuk-merawat-kulit-berjerawat-15ml-i.406360531.9428393278", "https://shopee.co.id/Aish-Acne-Care-Serum-Serum-untuk-merawat-kulit-berjerawat-15ml-i.406360531.9428393278")</f>
        <v>https://shopee.co.id/Aish-Acne-Care-Serum-Serum-untuk-merawat-kulit-berjerawat-15ml-i.406360531.9428393278</v>
      </c>
      <c r="C194" s="8" t="s">
        <v>348</v>
      </c>
      <c r="D194" s="8" t="s">
        <v>444</v>
      </c>
      <c r="E194" s="8" t="s">
        <v>12</v>
      </c>
      <c r="F194" s="8" t="s">
        <v>13</v>
      </c>
      <c r="G194" s="8" t="s">
        <v>241</v>
      </c>
      <c r="H194" s="14" t="str">
        <f>SUBSTITUTE(Sheet1!H194, ",", "")</f>
        <v>439</v>
      </c>
      <c r="I194" s="15" t="str">
        <f>SUBSTITUTE(Sheet1!K194, "Rp", "")</f>
        <v>52241000</v>
      </c>
    </row>
    <row r="195">
      <c r="A195" s="8" t="s">
        <v>455</v>
      </c>
      <c r="B195" s="13" t="str">
        <f>HYPERLINK("https://shopee.co.id/Benton-Snail-Bee-High-Content-Essence-60ml-i.180415888.4203962148", "https://shopee.co.id/Benton-Snail-Bee-High-Content-Essence-60ml-i.180415888.4203962148")</f>
        <v>https://shopee.co.id/Benton-Snail-Bee-High-Content-Essence-60ml-i.180415888.4203962148</v>
      </c>
      <c r="C195" s="8" t="s">
        <v>456</v>
      </c>
      <c r="D195" s="8" t="s">
        <v>457</v>
      </c>
      <c r="E195" s="8" t="s">
        <v>12</v>
      </c>
      <c r="F195" s="8" t="s">
        <v>13</v>
      </c>
      <c r="G195" s="8" t="s">
        <v>80</v>
      </c>
      <c r="H195" s="14" t="str">
        <f>SUBSTITUTE(Sheet1!H195, ",", "")</f>
        <v>439</v>
      </c>
      <c r="I195" s="15" t="str">
        <f>SUBSTITUTE(Sheet1!K195, "Rp", "")</f>
        <v>68385000</v>
      </c>
    </row>
    <row r="196">
      <c r="A196" s="8" t="s">
        <v>1105</v>
      </c>
      <c r="B196" s="13" t="str">
        <f>HYPERLINK("https://shopee.co.id/Implora-Serum-All-Varian-20ml-Acne-Luminous-Midnight-Peeling-i.136011044.9585921004", "https://shopee.co.id/Implora-Serum-All-Varian-20ml-Acne-Luminous-Midnight-Peeling-i.136011044.9585921004")</f>
        <v>https://shopee.co.id/Implora-Serum-All-Varian-20ml-Acne-Luminous-Midnight-Peeling-i.136011044.9585921004</v>
      </c>
      <c r="C196" s="8" t="s">
        <v>113</v>
      </c>
      <c r="D196" s="8" t="s">
        <v>632</v>
      </c>
      <c r="E196" s="8" t="s">
        <v>12</v>
      </c>
      <c r="F196" s="8" t="s">
        <v>13</v>
      </c>
      <c r="G196" s="8" t="s">
        <v>21</v>
      </c>
      <c r="H196" s="14" t="str">
        <f>SUBSTITUTE(Sheet1!H196, ",", "")</f>
        <v>432</v>
      </c>
      <c r="I196" s="15" t="str">
        <f>SUBSTITUTE(Sheet1!K196, "Rp", "")</f>
        <v>14989100</v>
      </c>
    </row>
    <row r="197">
      <c r="A197" s="8" t="s">
        <v>588</v>
      </c>
      <c r="B197" s="13" t="str">
        <f>HYPERLINK("https://shopee.co.id/Everwhite-Peptide-Anti-Aging-Serum-i.85451896.4457905955", "https://shopee.co.id/Everwhite-Peptide-Anti-Aging-Serum-i.85451896.4457905955")</f>
        <v>https://shopee.co.id/Everwhite-Peptide-Anti-Aging-Serum-i.85451896.4457905955</v>
      </c>
      <c r="C197" s="8" t="s">
        <v>157</v>
      </c>
      <c r="D197" s="8" t="s">
        <v>158</v>
      </c>
      <c r="E197" s="8" t="s">
        <v>12</v>
      </c>
      <c r="F197" s="8" t="s">
        <v>13</v>
      </c>
      <c r="G197" s="8" t="s">
        <v>61</v>
      </c>
      <c r="H197" s="14" t="str">
        <f>SUBSTITUTE(Sheet1!H197, ",", "")</f>
        <v>430</v>
      </c>
      <c r="I197" s="15" t="str">
        <f>SUBSTITUTE(Sheet1!K197, "Rp", "")</f>
        <v>49587150</v>
      </c>
    </row>
    <row r="198">
      <c r="A198" s="8" t="s">
        <v>522</v>
      </c>
      <c r="B198" s="13" t="str">
        <f>HYPERLINK("https://shopee.co.id/Skin-Game-Skin-Barricade-Serum-30-gr-i.108420030.6083584246", "https://shopee.co.id/Skin-Game-Skin-Barricade-Serum-30-gr-i.108420030.6083584246")</f>
        <v>https://shopee.co.id/Skin-Game-Skin-Barricade-Serum-30-gr-i.108420030.6083584246</v>
      </c>
      <c r="C198" s="8" t="s">
        <v>523</v>
      </c>
      <c r="D198" s="8" t="s">
        <v>524</v>
      </c>
      <c r="E198" s="8" t="s">
        <v>12</v>
      </c>
      <c r="F198" s="8" t="s">
        <v>13</v>
      </c>
      <c r="G198" s="8" t="s">
        <v>61</v>
      </c>
      <c r="H198" s="14" t="str">
        <f>SUBSTITUTE(Sheet1!H198, ",", "")</f>
        <v>429</v>
      </c>
      <c r="I198" s="15" t="str">
        <f>SUBSTITUTE(Sheet1!K198, "Rp", "")</f>
        <v>56783900</v>
      </c>
    </row>
    <row r="199">
      <c r="A199" s="8" t="s">
        <v>848</v>
      </c>
      <c r="B199" s="13" t="str">
        <f>HYPERLINK("https://shopee.co.id/Natur-E-Advanced-Anti-Aging-Serum-DANASE15--i.129461339.1945350566", "https://shopee.co.id/Natur-E-Advanced-Anti-Aging-Serum-DANASE15--i.129461339.1945350566")</f>
        <v>https://shopee.co.id/Natur-E-Advanced-Anti-Aging-Serum-DANASE15--i.129461339.1945350566</v>
      </c>
      <c r="C199" s="8" t="s">
        <v>849</v>
      </c>
      <c r="D199" s="8" t="s">
        <v>850</v>
      </c>
      <c r="E199" s="8" t="s">
        <v>12</v>
      </c>
      <c r="F199" s="8" t="s">
        <v>13</v>
      </c>
      <c r="G199" s="8" t="s">
        <v>296</v>
      </c>
      <c r="H199" s="14" t="str">
        <f>SUBSTITUTE(Sheet1!H199, ",", "")</f>
        <v>428</v>
      </c>
      <c r="I199" s="15" t="str">
        <f>SUBSTITUTE(Sheet1!K199, "Rp", "")</f>
        <v>27224000</v>
      </c>
    </row>
    <row r="200">
      <c r="A200" s="8" t="s">
        <v>1090</v>
      </c>
      <c r="B200" s="13" t="str">
        <f>HYPERLINK("https://shopee.co.id/Garnier-Sakura-White-Whitening-Serum-Day-Cream-UV-40-ml-Untuk-Kulit-Cerah-Merona--i.62583853.1022726839", "https://shopee.co.id/Garnier-Sakura-White-Whitening-Serum-Day-Cream-UV-40-ml-Untuk-Kulit-Cerah-Merona--i.62583853.1022726839")</f>
        <v>https://shopee.co.id/Garnier-Sakura-White-Whitening-Serum-Day-Cream-UV-40-ml-Untuk-Kulit-Cerah-Merona--i.62583853.1022726839</v>
      </c>
      <c r="C200" s="8" t="s">
        <v>74</v>
      </c>
      <c r="D200" s="8" t="s">
        <v>75</v>
      </c>
      <c r="E200" s="8" t="s">
        <v>12</v>
      </c>
      <c r="F200" s="8" t="s">
        <v>13</v>
      </c>
      <c r="G200" s="8" t="s">
        <v>61</v>
      </c>
      <c r="H200" s="14" t="str">
        <f>SUBSTITUTE(Sheet1!H200, ",", "")</f>
        <v>422</v>
      </c>
      <c r="I200" s="15" t="str">
        <f>SUBSTITUTE(Sheet1!K200, "Rp", "")</f>
        <v>15677500</v>
      </c>
    </row>
    <row r="201">
      <c r="A201" s="8" t="s">
        <v>527</v>
      </c>
      <c r="B201" s="13" t="str">
        <f>HYPERLINK("https://shopee.co.id/Garnier-Sakura-White-Day-Treatment-Skin-Care-Perawatan-Siang-Hari-Untuk-Kulit-Cerah-Merona--i.62583853.5638436667", "https://shopee.co.id/Garnier-Sakura-White-Day-Treatment-Skin-Care-Perawatan-Siang-Hari-Untuk-Kulit-Cerah-Merona--i.62583853.5638436667")</f>
        <v>https://shopee.co.id/Garnier-Sakura-White-Day-Treatment-Skin-Care-Perawatan-Siang-Hari-Untuk-Kulit-Cerah-Merona--i.62583853.5638436667</v>
      </c>
      <c r="C201" s="8" t="s">
        <v>74</v>
      </c>
      <c r="D201" s="8" t="s">
        <v>75</v>
      </c>
      <c r="E201" s="8" t="s">
        <v>12</v>
      </c>
      <c r="F201" s="8" t="s">
        <v>13</v>
      </c>
      <c r="G201" s="8" t="s">
        <v>61</v>
      </c>
      <c r="H201" s="14" t="str">
        <f>SUBSTITUTE(Sheet1!H201, ",", "")</f>
        <v>421</v>
      </c>
      <c r="I201" s="15" t="str">
        <f>SUBSTITUTE(Sheet1!K201, "Rp", "")</f>
        <v>56602900</v>
      </c>
    </row>
    <row r="202">
      <c r="A202" s="8" t="s">
        <v>293</v>
      </c>
      <c r="B202" s="13" t="str">
        <f>HYPERLINK("https://shopee.co.id/-innisfree-Green-Tea-Seed-Serum-Niacinamide-Hyaluronic-Acid-Hydration-Serum-Wajah-Skincare-i.61504589.1005136681", "https://shopee.co.id/-innisfree-Green-Tea-Seed-Serum-Niacinamide-Hyaluronic-Acid-Hydration-Serum-Wajah-Skincare-i.61504589.1005136681")</f>
        <v>https://shopee.co.id/-innisfree-Green-Tea-Seed-Serum-Niacinamide-Hyaluronic-Acid-Hydration-Serum-Wajah-Skincare-i.61504589.1005136681</v>
      </c>
      <c r="C202" s="8" t="s">
        <v>294</v>
      </c>
      <c r="D202" s="8" t="s">
        <v>295</v>
      </c>
      <c r="E202" s="8" t="s">
        <v>12</v>
      </c>
      <c r="F202" s="8" t="s">
        <v>13</v>
      </c>
      <c r="G202" s="8" t="s">
        <v>296</v>
      </c>
      <c r="H202" s="14" t="str">
        <f>SUBSTITUTE(Sheet1!H202, ",", "")</f>
        <v>419</v>
      </c>
      <c r="I202" s="15" t="str">
        <f>SUBSTITUTE(Sheet1!K202, "Rp", "")</f>
        <v>139924000</v>
      </c>
    </row>
    <row r="203">
      <c r="A203" s="8" t="s">
        <v>665</v>
      </c>
      <c r="B203" s="13" t="str">
        <f>HYPERLINK("https://shopee.co.id/True-to-Skin-Niacinamide-10-Zinc-1-Allantoin-Brightening-Serum-i.344023672.7466096641", "https://shopee.co.id/True-to-Skin-Niacinamide-10-Zinc-1-Allantoin-Brightening-Serum-i.344023672.7466096641")</f>
        <v>https://shopee.co.id/True-to-Skin-Niacinamide-10-Zinc-1-Allantoin-Brightening-Serum-i.344023672.7466096641</v>
      </c>
      <c r="C203" s="8" t="s">
        <v>666</v>
      </c>
      <c r="D203" s="8" t="s">
        <v>667</v>
      </c>
      <c r="E203" s="8" t="s">
        <v>12</v>
      </c>
      <c r="F203" s="8" t="s">
        <v>13</v>
      </c>
      <c r="G203" s="8" t="s">
        <v>130</v>
      </c>
      <c r="H203" s="14" t="str">
        <f>SUBSTITUTE(Sheet1!H203, ",", "")</f>
        <v>419</v>
      </c>
      <c r="I203" s="15" t="str">
        <f>SUBSTITUTE(Sheet1!K203, "Rp", "")</f>
        <v>42580850</v>
      </c>
    </row>
    <row r="204">
      <c r="A204" s="8" t="s">
        <v>854</v>
      </c>
      <c r="B204" s="13" t="str">
        <f>HYPERLINK("https://shopee.co.id/Wardah-White-Secret-Pure-Treatment-Essence-50-ml-Hydrating-Toner-Mencerahkan-dengan-Edelweiss-i.59763733.6172702499", "https://shopee.co.id/Wardah-White-Secret-Pure-Treatment-Essence-50-ml-Hydrating-Toner-Mencerahkan-dengan-Edelweiss-i.59763733.6172702499")</f>
        <v>https://shopee.co.id/Wardah-White-Secret-Pure-Treatment-Essence-50-ml-Hydrating-Toner-Mencerahkan-dengan-Edelweiss-i.59763733.6172702499</v>
      </c>
      <c r="C204" s="8" t="s">
        <v>169</v>
      </c>
      <c r="D204" s="8" t="s">
        <v>170</v>
      </c>
      <c r="E204" s="8" t="s">
        <v>12</v>
      </c>
      <c r="F204" s="8" t="s">
        <v>13</v>
      </c>
      <c r="G204" s="8" t="s">
        <v>98</v>
      </c>
      <c r="H204" s="14" t="str">
        <f>SUBSTITUTE(Sheet1!H204, ",", "")</f>
        <v>419</v>
      </c>
      <c r="I204" s="15" t="str">
        <f>SUBSTITUTE(Sheet1!K204, "Rp", "")</f>
        <v>27086400</v>
      </c>
    </row>
    <row r="205">
      <c r="A205" s="8" t="s">
        <v>913</v>
      </c>
      <c r="B205" s="13" t="str">
        <f>HYPERLINK("https://shopee.co.id/Hanasui-Intense-Treatment-Serum-Propolis-i.129681299.3103651881", "https://shopee.co.id/Hanasui-Intense-Treatment-Serum-Propolis-i.129681299.3103651881")</f>
        <v>https://shopee.co.id/Hanasui-Intense-Treatment-Serum-Propolis-i.129681299.3103651881</v>
      </c>
      <c r="C205" s="8" t="s">
        <v>784</v>
      </c>
      <c r="D205" s="8" t="s">
        <v>785</v>
      </c>
      <c r="E205" s="8" t="s">
        <v>12</v>
      </c>
      <c r="F205" s="8" t="s">
        <v>13</v>
      </c>
      <c r="G205" s="8" t="s">
        <v>36</v>
      </c>
      <c r="H205" s="14" t="str">
        <f>SUBSTITUTE(Sheet1!H205, ",", "")</f>
        <v>417</v>
      </c>
      <c r="I205" s="15" t="str">
        <f>SUBSTITUTE(Sheet1!K205, "Rp", "")</f>
        <v>23442520</v>
      </c>
    </row>
    <row r="206">
      <c r="A206" s="8" t="s">
        <v>382</v>
      </c>
      <c r="B206" s="13" t="str">
        <f>HYPERLINK("https://shopee.co.id/L-Oreal-Paris-Revitalift-Crystal-Micro-Essence-Water-Serum-Skin-Care-130-ml-i.62579622.2379827393", "https://shopee.co.id/L-Oreal-Paris-Revitalift-Crystal-Micro-Essence-Water-Serum-Skin-Care-130-ml-i.62579622.2379827393")</f>
        <v>https://shopee.co.id/L-Oreal-Paris-Revitalift-Crystal-Micro-Essence-Water-Serum-Skin-Care-130-ml-i.62579622.2379827393</v>
      </c>
      <c r="C206" s="8" t="s">
        <v>105</v>
      </c>
      <c r="D206" s="8" t="s">
        <v>106</v>
      </c>
      <c r="E206" s="8" t="s">
        <v>12</v>
      </c>
      <c r="F206" s="8" t="s">
        <v>13</v>
      </c>
      <c r="G206" s="8" t="s">
        <v>61</v>
      </c>
      <c r="H206" s="14" t="str">
        <f>SUBSTITUTE(Sheet1!H206, ",", "")</f>
        <v>410</v>
      </c>
      <c r="I206" s="15" t="str">
        <f>SUBSTITUTE(Sheet1!K206, "Rp", "")</f>
        <v>94215000</v>
      </c>
    </row>
    <row r="207">
      <c r="A207" s="8" t="s">
        <v>608</v>
      </c>
      <c r="B207" s="13" t="str">
        <f>HYPERLINK("https://shopee.co.id/Adleeva-Acne-Fighter-Serum-i.180408602.6400627780", "https://shopee.co.id/Adleeva-Acne-Fighter-Serum-i.180408602.6400627780")</f>
        <v>https://shopee.co.id/Adleeva-Acne-Fighter-Serum-i.180408602.6400627780</v>
      </c>
      <c r="C207" s="8" t="s">
        <v>539</v>
      </c>
      <c r="D207" s="8" t="s">
        <v>540</v>
      </c>
      <c r="E207" s="8" t="s">
        <v>12</v>
      </c>
      <c r="F207" s="8" t="s">
        <v>13</v>
      </c>
      <c r="G207" s="8" t="s">
        <v>541</v>
      </c>
      <c r="H207" s="14" t="str">
        <f>SUBSTITUTE(Sheet1!H207, ",", "")</f>
        <v>408</v>
      </c>
      <c r="I207" s="15" t="str">
        <f>SUBSTITUTE(Sheet1!K207, "Rp", "")</f>
        <v>48035000</v>
      </c>
    </row>
    <row r="208">
      <c r="A208" s="8" t="s">
        <v>525</v>
      </c>
      <c r="B208" s="13" t="str">
        <f>HYPERLINK("https://shopee.co.id/MSBB-Avoskin-Your-Skin-Bae-Marine-Collagen-10-Ginseng-Root-i.288588702.6069142036", "https://shopee.co.id/MSBB-Avoskin-Your-Skin-Bae-Marine-Collagen-10-Ginseng-Root-i.288588702.6069142036")</f>
        <v>https://shopee.co.id/MSBB-Avoskin-Your-Skin-Bae-Marine-Collagen-10-Ginseng-Root-i.288588702.6069142036</v>
      </c>
      <c r="C208" s="8" t="s">
        <v>83</v>
      </c>
      <c r="D208" s="8" t="s">
        <v>79</v>
      </c>
      <c r="E208" s="8" t="s">
        <v>12</v>
      </c>
      <c r="F208" s="8" t="s">
        <v>13</v>
      </c>
      <c r="G208" s="8" t="s">
        <v>80</v>
      </c>
      <c r="H208" s="14" t="str">
        <f>SUBSTITUTE(Sheet1!H208, ",", "")</f>
        <v>408</v>
      </c>
      <c r="I208" s="15" t="str">
        <f>SUBSTITUTE(Sheet1!K208, "Rp", "")</f>
        <v>56712000</v>
      </c>
    </row>
    <row r="209">
      <c r="A209" s="8" t="s">
        <v>622</v>
      </c>
      <c r="B209" s="13" t="str">
        <f>HYPERLINK("https://shopee.co.id/Somethinc-10-Niacinamide-Moisture-Sabi-White-Max-Brightening-Serum-20ml-i.110573301.5579522383", "https://shopee.co.id/Somethinc-10-Niacinamide-Moisture-Sabi-White-Max-Brightening-Serum-20ml-i.110573301.5579522383")</f>
        <v>https://shopee.co.id/Somethinc-10-Niacinamide-Moisture-Sabi-White-Max-Brightening-Serum-20ml-i.110573301.5579522383</v>
      </c>
      <c r="C209" s="8" t="s">
        <v>45</v>
      </c>
      <c r="D209" s="8" t="s">
        <v>227</v>
      </c>
      <c r="E209" s="8" t="s">
        <v>12</v>
      </c>
      <c r="F209" s="8" t="s">
        <v>13</v>
      </c>
      <c r="G209" s="8" t="s">
        <v>61</v>
      </c>
      <c r="H209" s="14" t="str">
        <f>SUBSTITUTE(Sheet1!H209, ",", "")</f>
        <v>408</v>
      </c>
      <c r="I209" s="15" t="str">
        <f>SUBSTITUTE(Sheet1!K209, "Rp", "")</f>
        <v>47124000</v>
      </c>
    </row>
    <row r="210">
      <c r="A210" s="8" t="s">
        <v>220</v>
      </c>
      <c r="B210" s="13" t="str">
        <f>HYPERLINK("https://shopee.co.id/The-Body-Shop-Drops-Of-Light-Brigthening-Serum-30ml-i.28053737.1381710783", "https://shopee.co.id/The-Body-Shop-Drops-Of-Light-Brigthening-Serum-30ml-i.28053737.1381710783")</f>
        <v>https://shopee.co.id/The-Body-Shop-Drops-Of-Light-Brigthening-Serum-30ml-i.28053737.1381710783</v>
      </c>
      <c r="C210" s="8" t="s">
        <v>221</v>
      </c>
      <c r="D210" s="8" t="s">
        <v>222</v>
      </c>
      <c r="E210" s="8" t="s">
        <v>12</v>
      </c>
      <c r="F210" s="8" t="s">
        <v>13</v>
      </c>
      <c r="G210" s="8" t="s">
        <v>80</v>
      </c>
      <c r="H210" s="14" t="str">
        <f>SUBSTITUTE(Sheet1!H210, ",", "")</f>
        <v>405</v>
      </c>
      <c r="I210" s="15" t="str">
        <f>SUBSTITUTE(Sheet1!K210, "Rp", "")</f>
        <v>210548500</v>
      </c>
    </row>
    <row r="211">
      <c r="A211" s="8" t="s">
        <v>618</v>
      </c>
      <c r="B211" s="13" t="str">
        <f>HYPERLINK("https://shopee.co.id/Lovila-Glow-Activation-Booster-Serum-i.227193745.6217013163", "https://shopee.co.id/Lovila-Glow-Activation-Booster-Serum-i.227193745.6217013163")</f>
        <v>https://shopee.co.id/Lovila-Glow-Activation-Booster-Serum-i.227193745.6217013163</v>
      </c>
      <c r="C211" s="8" t="s">
        <v>619</v>
      </c>
      <c r="D211" s="8" t="s">
        <v>620</v>
      </c>
      <c r="E211" s="8" t="s">
        <v>12</v>
      </c>
      <c r="F211" s="8" t="s">
        <v>13</v>
      </c>
      <c r="G211" s="8" t="s">
        <v>469</v>
      </c>
      <c r="H211" s="14" t="str">
        <f>SUBSTITUTE(Sheet1!H211, ",", "")</f>
        <v>402</v>
      </c>
      <c r="I211" s="15" t="str">
        <f>SUBSTITUTE(Sheet1!K211, "Rp", "")</f>
        <v>47282899</v>
      </c>
    </row>
    <row r="212">
      <c r="A212" s="8" t="s">
        <v>134</v>
      </c>
      <c r="B212" s="13" t="str">
        <f>HYPERLINK("https://shopee.co.id/-GIFT-ElsheSkin-Serum-Sample-3ml-i.9035345.11727337001", "https://shopee.co.id/-GIFT-ElsheSkin-Serum-Sample-3ml-i.9035345.11727337001")</f>
        <v>https://shopee.co.id/-GIFT-ElsheSkin-Serum-Sample-3ml-i.9035345.11727337001</v>
      </c>
      <c r="C212" s="8" t="s">
        <v>135</v>
      </c>
      <c r="D212" s="8" t="s">
        <v>136</v>
      </c>
      <c r="E212" s="8" t="s">
        <v>12</v>
      </c>
      <c r="F212" s="8" t="s">
        <v>13</v>
      </c>
      <c r="G212" s="8" t="s">
        <v>80</v>
      </c>
      <c r="H212" s="14" t="str">
        <f>SUBSTITUTE(Sheet1!H212, ",", "")</f>
        <v>400</v>
      </c>
      <c r="I212" s="15" t="str">
        <f>SUBSTITUTE(Sheet1!K212, "Rp", "")</f>
        <v>399249675</v>
      </c>
    </row>
    <row r="213">
      <c r="A213" s="8" t="s">
        <v>802</v>
      </c>
      <c r="B213" s="13" t="str">
        <f>HYPERLINK("https://shopee.co.id/Dear-Me-Beauty-Hyaluronic-Acid-Pomegranate-Extract-Face-Serum-12ml-i.45495764.8748397064", "https://shopee.co.id/Dear-Me-Beauty-Hyaluronic-Acid-Pomegranate-Extract-Face-Serum-12ml-i.45495764.8748397064")</f>
        <v>https://shopee.co.id/Dear-Me-Beauty-Hyaluronic-Acid-Pomegranate-Extract-Face-Serum-12ml-i.45495764.8748397064</v>
      </c>
      <c r="C213" s="8" t="s">
        <v>70</v>
      </c>
      <c r="D213" s="8" t="s">
        <v>71</v>
      </c>
      <c r="E213" s="8" t="s">
        <v>12</v>
      </c>
      <c r="F213" s="8" t="s">
        <v>13</v>
      </c>
      <c r="G213" s="8" t="s">
        <v>61</v>
      </c>
      <c r="H213" s="14" t="str">
        <f>SUBSTITUTE(Sheet1!H213, ",", "")</f>
        <v>398</v>
      </c>
      <c r="I213" s="15" t="str">
        <f>SUBSTITUTE(Sheet1!K213, "Rp", "")</f>
        <v>30936400</v>
      </c>
    </row>
    <row r="214">
      <c r="A214" s="8" t="s">
        <v>564</v>
      </c>
      <c r="B214" s="13" t="str">
        <f>HYPERLINK("https://shopee.co.id/SNP-PREP-PEPTARONIC-SERUM-i.88399725.4220148328", "https://shopee.co.id/SNP-PREP-PEPTARONIC-SERUM-i.88399725.4220148328")</f>
        <v>https://shopee.co.id/SNP-PREP-PEPTARONIC-SERUM-i.88399725.4220148328</v>
      </c>
      <c r="C214" s="8" t="s">
        <v>565</v>
      </c>
      <c r="D214" s="8" t="s">
        <v>566</v>
      </c>
      <c r="E214" s="8" t="s">
        <v>12</v>
      </c>
      <c r="F214" s="8" t="s">
        <v>13</v>
      </c>
      <c r="G214" s="8" t="s">
        <v>98</v>
      </c>
      <c r="H214" s="14" t="str">
        <f>SUBSTITUTE(Sheet1!H214, ",", "")</f>
        <v>396</v>
      </c>
      <c r="I214" s="15" t="str">
        <f>SUBSTITUTE(Sheet1!K214, "Rp", "")</f>
        <v>52819200</v>
      </c>
    </row>
    <row r="215">
      <c r="A215" s="8" t="s">
        <v>690</v>
      </c>
      <c r="B215" s="13" t="str">
        <f>HYPERLINK("https://shopee.co.id/Niacinamide-Serum-i.96907343.5323745630", "https://shopee.co.id/Niacinamide-Serum-i.96907343.5323745630")</f>
        <v>https://shopee.co.id/Niacinamide-Serum-i.96907343.5323745630</v>
      </c>
      <c r="C215" s="8" t="s">
        <v>467</v>
      </c>
      <c r="D215" s="8" t="s">
        <v>468</v>
      </c>
      <c r="E215" s="8" t="s">
        <v>12</v>
      </c>
      <c r="F215" s="8" t="s">
        <v>13</v>
      </c>
      <c r="G215" s="8" t="s">
        <v>469</v>
      </c>
      <c r="H215" s="14" t="str">
        <f>SUBSTITUTE(Sheet1!H215, ",", "")</f>
        <v>394</v>
      </c>
      <c r="I215" s="15" t="str">
        <f>SUBSTITUTE(Sheet1!K215, "Rp", "")</f>
        <v>40376000</v>
      </c>
    </row>
    <row r="216">
      <c r="A216" s="8" t="s">
        <v>722</v>
      </c>
      <c r="B216" s="13" t="str">
        <f>HYPERLINK("https://shopee.co.id/L-Oreal-Paris-Revitalift-Crystal-Micro-Essence-Serum-Mask-Skin-Care-Pack-of-5--i.62579622.3839606400", "https://shopee.co.id/L-Oreal-Paris-Revitalift-Crystal-Micro-Essence-Serum-Mask-Skin-Care-Pack-of-5--i.62579622.3839606400")</f>
        <v>https://shopee.co.id/L-Oreal-Paris-Revitalift-Crystal-Micro-Essence-Serum-Mask-Skin-Care-Pack-of-5--i.62579622.3839606400</v>
      </c>
      <c r="C216" s="8" t="s">
        <v>105</v>
      </c>
      <c r="D216" s="8" t="s">
        <v>106</v>
      </c>
      <c r="E216" s="8" t="s">
        <v>12</v>
      </c>
      <c r="F216" s="8" t="s">
        <v>13</v>
      </c>
      <c r="G216" s="8" t="s">
        <v>61</v>
      </c>
      <c r="H216" s="14" t="str">
        <f>SUBSTITUTE(Sheet1!H216, ",", "")</f>
        <v>392</v>
      </c>
      <c r="I216" s="15" t="str">
        <f>SUBSTITUTE(Sheet1!K216, "Rp", "")</f>
        <v>36660900</v>
      </c>
    </row>
    <row r="217">
      <c r="A217" s="8" t="s">
        <v>421</v>
      </c>
      <c r="B217" s="13" t="str">
        <f>HYPERLINK("https://shopee.co.id/ElsheSkin-Radiant-Supple-Serum-i.9035345.8920423527", "https://shopee.co.id/ElsheSkin-Radiant-Supple-Serum-i.9035345.8920423527")</f>
        <v>https://shopee.co.id/ElsheSkin-Radiant-Supple-Serum-i.9035345.8920423527</v>
      </c>
      <c r="C217" s="8" t="s">
        <v>135</v>
      </c>
      <c r="D217" s="8" t="s">
        <v>136</v>
      </c>
      <c r="E217" s="8" t="s">
        <v>12</v>
      </c>
      <c r="F217" s="8" t="s">
        <v>13</v>
      </c>
      <c r="G217" s="8" t="s">
        <v>80</v>
      </c>
      <c r="H217" s="14" t="str">
        <f>SUBSTITUTE(Sheet1!H217, ",", "")</f>
        <v>391</v>
      </c>
      <c r="I217" s="15" t="str">
        <f>SUBSTITUTE(Sheet1!K217, "Rp", "")</f>
        <v>76443250</v>
      </c>
    </row>
    <row r="218">
      <c r="A218" s="8" t="s">
        <v>551</v>
      </c>
      <c r="B218" s="13" t="str">
        <f>HYPERLINK("https://shopee.co.id/AVOSKIN-YOUR-SKIN-BAE-SERIES-ALPHA-ARBUTIN-3-GRAPESEED-BRIGHTENING-AND-ANTIOXIDANT-SERUM-30-ML-i.50972887.6672704907", "https://shopee.co.id/AVOSKIN-YOUR-SKIN-BAE-SERIES-ALPHA-ARBUTIN-3-GRAPESEED-BRIGHTENING-AND-ANTIOXIDANT-SERUM-30-ML-i.50972887.6672704907")</f>
        <v>https://shopee.co.id/AVOSKIN-YOUR-SKIN-BAE-SERIES-ALPHA-ARBUTIN-3-GRAPESEED-BRIGHTENING-AND-ANTIOXIDANT-SERUM-30-ML-i.50972887.6672704907</v>
      </c>
      <c r="C218" s="8" t="s">
        <v>83</v>
      </c>
      <c r="D218" s="8" t="s">
        <v>552</v>
      </c>
      <c r="E218" s="8" t="s">
        <v>12</v>
      </c>
      <c r="F218" s="8" t="s">
        <v>13</v>
      </c>
      <c r="G218" s="8" t="s">
        <v>61</v>
      </c>
      <c r="H218" s="14" t="str">
        <f>SUBSTITUTE(Sheet1!H218, ",", "")</f>
        <v>390</v>
      </c>
      <c r="I218" s="15" t="str">
        <f>SUBSTITUTE(Sheet1!K218, "Rp", "")</f>
        <v>54210000</v>
      </c>
    </row>
    <row r="219">
      <c r="A219" s="8" t="s">
        <v>556</v>
      </c>
      <c r="B219" s="13" t="str">
        <f>HYPERLINK("https://shopee.co.id/Avoskin-Your-Skin-Bae-Alpha-Arbutin-3-Grapeseed-30ml-i.30736001.9049361834", "https://shopee.co.id/Avoskin-Your-Skin-Bae-Alpha-Arbutin-3-Grapeseed-30ml-i.30736001.9049361834")</f>
        <v>https://shopee.co.id/Avoskin-Your-Skin-Bae-Alpha-Arbutin-3-Grapeseed-30ml-i.30736001.9049361834</v>
      </c>
      <c r="C219" s="8" t="s">
        <v>83</v>
      </c>
      <c r="D219" s="8" t="s">
        <v>335</v>
      </c>
      <c r="E219" s="8" t="s">
        <v>12</v>
      </c>
      <c r="F219" s="8" t="s">
        <v>13</v>
      </c>
      <c r="G219" s="8" t="s">
        <v>36</v>
      </c>
      <c r="H219" s="14" t="str">
        <f>SUBSTITUTE(Sheet1!H219, ",", "")</f>
        <v>389</v>
      </c>
      <c r="I219" s="15" t="str">
        <f>SUBSTITUTE(Sheet1!K219, "Rp", "")</f>
        <v>54071000</v>
      </c>
    </row>
    <row r="220">
      <c r="A220" s="8" t="s">
        <v>1364</v>
      </c>
      <c r="B220" s="13" t="str">
        <f>HYPERLINK("https://shopee.co.id/Hanasui-Whitening-Gold-Serum-New-Look-New-Formula--i.129681299.2334973160", "https://shopee.co.id/Hanasui-Whitening-Gold-Serum-New-Look-New-Formula--i.129681299.2334973160")</f>
        <v>https://shopee.co.id/Hanasui-Whitening-Gold-Serum-New-Look-New-Formula--i.129681299.2334973160</v>
      </c>
      <c r="C220" s="8" t="s">
        <v>784</v>
      </c>
      <c r="D220" s="8" t="s">
        <v>785</v>
      </c>
      <c r="E220" s="8" t="s">
        <v>12</v>
      </c>
      <c r="F220" s="8" t="s">
        <v>13</v>
      </c>
      <c r="G220" s="8" t="s">
        <v>36</v>
      </c>
      <c r="H220" s="14" t="str">
        <f>SUBSTITUTE(Sheet1!H220, ",", "")</f>
        <v>385</v>
      </c>
      <c r="I220" s="15" t="str">
        <f>SUBSTITUTE(Sheet1!K220, "Rp", "")</f>
        <v>9619000</v>
      </c>
    </row>
    <row r="221">
      <c r="A221" s="8" t="s">
        <v>837</v>
      </c>
      <c r="B221" s="13" t="str">
        <f>HYPERLINK("https://shopee.co.id/Wardah-Renew-You-Treatment-Essence-50-ml-Hydrating-Toner-Anti-Aging-dengan-Apple-PhytoCell-Extract-i.59763733.9710893265", "https://shopee.co.id/Wardah-Renew-You-Treatment-Essence-50-ml-Hydrating-Toner-Anti-Aging-dengan-Apple-PhytoCell-Extract-i.59763733.9710893265")</f>
        <v>https://shopee.co.id/Wardah-Renew-You-Treatment-Essence-50-ml-Hydrating-Toner-Anti-Aging-dengan-Apple-PhytoCell-Extract-i.59763733.9710893265</v>
      </c>
      <c r="C221" s="8" t="s">
        <v>169</v>
      </c>
      <c r="D221" s="8" t="s">
        <v>170</v>
      </c>
      <c r="E221" s="8" t="s">
        <v>12</v>
      </c>
      <c r="F221" s="8" t="s">
        <v>13</v>
      </c>
      <c r="G221" s="8" t="s">
        <v>98</v>
      </c>
      <c r="H221" s="14" t="str">
        <f>SUBSTITUTE(Sheet1!H221, ",", "")</f>
        <v>380</v>
      </c>
      <c r="I221" s="15" t="str">
        <f>SUBSTITUTE(Sheet1!K221, "Rp", "")</f>
        <v>28054260</v>
      </c>
    </row>
    <row r="222">
      <c r="A222" s="8" t="s">
        <v>1032</v>
      </c>
      <c r="B222" s="13" t="str">
        <f>HYPERLINK("https://shopee.co.id/White-Story-Hydrating-Serum-i.405973920.8644709031", "https://shopee.co.id/White-Story-Hydrating-Serum-i.405973920.8644709031")</f>
        <v>https://shopee.co.id/White-Story-Hydrating-Serum-i.405973920.8644709031</v>
      </c>
      <c r="C222" s="8" t="s">
        <v>55</v>
      </c>
      <c r="D222" s="8" t="s">
        <v>56</v>
      </c>
      <c r="E222" s="8" t="s">
        <v>12</v>
      </c>
      <c r="F222" s="8" t="s">
        <v>13</v>
      </c>
      <c r="G222" s="8" t="s">
        <v>36</v>
      </c>
      <c r="H222" s="14" t="str">
        <f>SUBSTITUTE(Sheet1!H222, ",", "")</f>
        <v>379</v>
      </c>
      <c r="I222" s="15" t="str">
        <f>SUBSTITUTE(Sheet1!K222, "Rp", "")</f>
        <v>17787150</v>
      </c>
    </row>
    <row r="223">
      <c r="A223" s="8" t="s">
        <v>662</v>
      </c>
      <c r="B223" s="13" t="str">
        <f>HYPERLINK("https://shopee.co.id/MSBB-Nutrishe-Intensive-Bright-Glow-Serum-20Ml-i.288588702.11314825205", "https://shopee.co.id/MSBB-Nutrishe-Intensive-Bright-Glow-Serum-20Ml-i.288588702.11314825205")</f>
        <v>https://shopee.co.id/MSBB-Nutrishe-Intensive-Bright-Glow-Serum-20Ml-i.288588702.11314825205</v>
      </c>
      <c r="C223" s="8" t="s">
        <v>195</v>
      </c>
      <c r="D223" s="8" t="s">
        <v>79</v>
      </c>
      <c r="E223" s="8" t="s">
        <v>12</v>
      </c>
      <c r="F223" s="8" t="s">
        <v>13</v>
      </c>
      <c r="G223" s="8" t="s">
        <v>80</v>
      </c>
      <c r="H223" s="14" t="str">
        <f>SUBSTITUTE(Sheet1!H223, ",", "")</f>
        <v>374</v>
      </c>
      <c r="I223" s="15" t="str">
        <f>SUBSTITUTE(Sheet1!K223, "Rp", "")</f>
        <v>43160130</v>
      </c>
    </row>
    <row r="224">
      <c r="A224" s="8" t="s">
        <v>507</v>
      </c>
      <c r="B224" s="13" t="str">
        <f>HYPERLINK("https://shopee.co.id/Dear-Me-Beauty-2-Salicylic-Acid-BHA-Lemon-Extract-Face-Serum-32ml-i.45495764.8948396961", "https://shopee.co.id/Dear-Me-Beauty-2-Salicylic-Acid-BHA-Lemon-Extract-Face-Serum-32ml-i.45495764.8948396961")</f>
        <v>https://shopee.co.id/Dear-Me-Beauty-2-Salicylic-Acid-BHA-Lemon-Extract-Face-Serum-32ml-i.45495764.8948396961</v>
      </c>
      <c r="C224" s="8" t="s">
        <v>70</v>
      </c>
      <c r="D224" s="8" t="s">
        <v>71</v>
      </c>
      <c r="E224" s="8" t="s">
        <v>12</v>
      </c>
      <c r="F224" s="8" t="s">
        <v>13</v>
      </c>
      <c r="G224" s="8" t="s">
        <v>61</v>
      </c>
      <c r="H224" s="14" t="str">
        <f>SUBSTITUTE(Sheet1!H224, ",", "")</f>
        <v>372</v>
      </c>
      <c r="I224" s="15" t="str">
        <f>SUBSTITUTE(Sheet1!K224, "Rp", "")</f>
        <v>58504050</v>
      </c>
    </row>
    <row r="225">
      <c r="A225" s="8" t="s">
        <v>1077</v>
      </c>
      <c r="B225" s="13" t="str">
        <f>HYPERLINK("https://shopee.co.id/-BPOM-BREYLEE-Step-2-Pore-Minimizer-Serum-Pengecil-Pori-Wajah-17ml--i.324706771.9824093329", "https://shopee.co.id/-BPOM-BREYLEE-Step-2-Pore-Minimizer-Serum-Pengecil-Pori-Wajah-17ml--i.324706771.9824093329")</f>
        <v>https://shopee.co.id/-BPOM-BREYLEE-Step-2-Pore-Minimizer-Serum-Pengecil-Pori-Wajah-17ml--i.324706771.9824093329</v>
      </c>
      <c r="C225" s="8" t="s">
        <v>852</v>
      </c>
      <c r="D225" s="8" t="s">
        <v>853</v>
      </c>
      <c r="E225" s="8" t="s">
        <v>12</v>
      </c>
      <c r="F225" s="8" t="s">
        <v>13</v>
      </c>
      <c r="G225" s="8" t="s">
        <v>532</v>
      </c>
      <c r="H225" s="14" t="str">
        <f>SUBSTITUTE(Sheet1!H225, ",", "")</f>
        <v>367</v>
      </c>
      <c r="I225" s="15" t="str">
        <f>SUBSTITUTE(Sheet1!K225, "Rp", "")</f>
        <v>16148000</v>
      </c>
    </row>
    <row r="226">
      <c r="A226" s="8" t="s">
        <v>593</v>
      </c>
      <c r="B226" s="13" t="str">
        <f>HYPERLINK("https://shopee.co.id/Wardah-Renew-You-Treatment-Essence-100-ml-Hydrating-Toner-Anti-Aging-dengan-Apple-PhytoCell-Extrac-i.59763733.1080221419", "https://shopee.co.id/Wardah-Renew-You-Treatment-Essence-100-ml-Hydrating-Toner-Anti-Aging-dengan-Apple-PhytoCell-Extrac-i.59763733.1080221419")</f>
        <v>https://shopee.co.id/Wardah-Renew-You-Treatment-Essence-100-ml-Hydrating-Toner-Anti-Aging-dengan-Apple-PhytoCell-Extrac-i.59763733.1080221419</v>
      </c>
      <c r="C226" s="8" t="s">
        <v>169</v>
      </c>
      <c r="D226" s="8" t="s">
        <v>170</v>
      </c>
      <c r="E226" s="8" t="s">
        <v>12</v>
      </c>
      <c r="F226" s="8" t="s">
        <v>13</v>
      </c>
      <c r="G226" s="8" t="s">
        <v>98</v>
      </c>
      <c r="H226" s="14" t="str">
        <f>SUBSTITUTE(Sheet1!H226, ",", "")</f>
        <v>367</v>
      </c>
      <c r="I226" s="15" t="str">
        <f>SUBSTITUTE(Sheet1!K226, "Rp", "")</f>
        <v>49263200</v>
      </c>
    </row>
    <row r="227">
      <c r="A227" s="8" t="s">
        <v>516</v>
      </c>
      <c r="B227" s="13" t="str">
        <f>HYPERLINK("https://shopee.co.id/Noera-Acne-Fight-Serum-Serum-Wajah-Acne-Kulit-Berjerawat-Moisturizer-i.10339663.4590757235", "https://shopee.co.id/Noera-Acne-Fight-Serum-Serum-Wajah-Acne-Kulit-Berjerawat-Moisturizer-i.10339663.4590757235")</f>
        <v>https://shopee.co.id/Noera-Acne-Fight-Serum-Serum-Wajah-Acne-Kulit-Berjerawat-Moisturizer-i.10339663.4590757235</v>
      </c>
      <c r="C227" s="8" t="s">
        <v>517</v>
      </c>
      <c r="D227" s="8" t="s">
        <v>518</v>
      </c>
      <c r="E227" s="8" t="s">
        <v>12</v>
      </c>
      <c r="F227" s="8" t="s">
        <v>13</v>
      </c>
      <c r="G227" s="8" t="s">
        <v>370</v>
      </c>
      <c r="H227" s="14" t="str">
        <f>SUBSTITUTE(Sheet1!H227, ",", "")</f>
        <v>364</v>
      </c>
      <c r="I227" s="15" t="str">
        <f>SUBSTITUTE(Sheet1!K227, "Rp", "")</f>
        <v>57876000</v>
      </c>
    </row>
    <row r="228">
      <c r="A228" s="8" t="s">
        <v>692</v>
      </c>
      <c r="B228" s="13" t="str">
        <f>HYPERLINK("https://shopee.co.id/True-to-Skin-Bakuchiol-Anti-aging-Serum-Natural-Retinol-Water-Based-serum-FREE-SAMPLE-POTONGAN-40K-i.344023672.4966121874", "https://shopee.co.id/True-to-Skin-Bakuchiol-Anti-aging-Serum-Natural-Retinol-Water-Based-serum-FREE-SAMPLE-POTONGAN-40K-i.344023672.4966121874")</f>
        <v>https://shopee.co.id/True-to-Skin-Bakuchiol-Anti-aging-Serum-Natural-Retinol-Water-Based-serum-FREE-SAMPLE-POTONGAN-40K-i.344023672.4966121874</v>
      </c>
      <c r="C228" s="8" t="s">
        <v>666</v>
      </c>
      <c r="D228" s="8" t="s">
        <v>667</v>
      </c>
      <c r="E228" s="8" t="s">
        <v>12</v>
      </c>
      <c r="F228" s="8" t="s">
        <v>13</v>
      </c>
      <c r="G228" s="8" t="s">
        <v>130</v>
      </c>
      <c r="H228" s="14" t="str">
        <f>SUBSTITUTE(Sheet1!H228, ",", "")</f>
        <v>362</v>
      </c>
      <c r="I228" s="15" t="str">
        <f>SUBSTITUTE(Sheet1!K228, "Rp", "")</f>
        <v>40330290</v>
      </c>
    </row>
    <row r="229">
      <c r="A229" s="8" t="s">
        <v>1599</v>
      </c>
      <c r="B229" s="13" t="str">
        <f>HYPERLINK("https://shopee.co.id/Ponds-Bright-Beauty-Power-Serum-7-5-gr-i.65323877.9678002965", "https://shopee.co.id/Ponds-Bright-Beauty-Power-Serum-7-5-gr-i.65323877.9678002965")</f>
        <v>https://shopee.co.id/Ponds-Bright-Beauty-Power-Serum-7-5-gr-i.65323877.9678002965</v>
      </c>
      <c r="C229" s="8" t="s">
        <v>325</v>
      </c>
      <c r="D229" s="8" t="s">
        <v>1600</v>
      </c>
      <c r="E229" s="8" t="s">
        <v>12</v>
      </c>
      <c r="F229" s="8" t="s">
        <v>13</v>
      </c>
      <c r="G229" s="8" t="s">
        <v>296</v>
      </c>
      <c r="H229" s="14" t="str">
        <f>SUBSTITUTE(Sheet1!H229, ",", "")</f>
        <v>360</v>
      </c>
      <c r="I229" s="15" t="str">
        <f>SUBSTITUTE(Sheet1!K229, "Rp", "")</f>
        <v>6394000</v>
      </c>
    </row>
    <row r="230">
      <c r="A230" s="8" t="s">
        <v>886</v>
      </c>
      <c r="B230" s="13" t="str">
        <f>HYPERLINK("https://shopee.co.id/Buy-Pond-s-Triple-Glow-Serum-30ml-Free-Triple-Glow-Serum-Sheet-Mask-i.14318452.11614596372", "https://shopee.co.id/Buy-Pond-s-Triple-Glow-Serum-30ml-Free-Triple-Glow-Serum-Sheet-Mask-i.14318452.11614596372")</f>
        <v>https://shopee.co.id/Buy-Pond-s-Triple-Glow-Serum-30ml-Free-Triple-Glow-Serum-Sheet-Mask-i.14318452.11614596372</v>
      </c>
      <c r="C230" s="8" t="s">
        <v>325</v>
      </c>
      <c r="D230" s="8" t="s">
        <v>326</v>
      </c>
      <c r="E230" s="8" t="s">
        <v>12</v>
      </c>
      <c r="F230" s="8" t="s">
        <v>13</v>
      </c>
      <c r="G230" s="8" t="s">
        <v>296</v>
      </c>
      <c r="H230" s="14" t="str">
        <f>SUBSTITUTE(Sheet1!H230, ",", "")</f>
        <v>359</v>
      </c>
      <c r="I230" s="15" t="str">
        <f>SUBSTITUTE(Sheet1!K230, "Rp", "")</f>
        <v>24828000</v>
      </c>
    </row>
    <row r="231">
      <c r="A231" s="8" t="s">
        <v>543</v>
      </c>
      <c r="B231" s="13" t="str">
        <f>HYPERLINK("https://shopee.co.id/Pond-S-Age-Miracle-Mini-Serum-15-Ml-Serum-Sheet-Mask-Eye-Mask-Free-Eye-Cream-15-Ml-i.14318452.5083494701", "https://shopee.co.id/Pond-S-Age-Miracle-Mini-Serum-15-Ml-Serum-Sheet-Mask-Eye-Mask-Free-Eye-Cream-15-Ml-i.14318452.5083494701")</f>
        <v>https://shopee.co.id/Pond-S-Age-Miracle-Mini-Serum-15-Ml-Serum-Sheet-Mask-Eye-Mask-Free-Eye-Cream-15-Ml-i.14318452.5083494701</v>
      </c>
      <c r="C231" s="8" t="s">
        <v>325</v>
      </c>
      <c r="D231" s="8" t="s">
        <v>326</v>
      </c>
      <c r="E231" s="8" t="s">
        <v>12</v>
      </c>
      <c r="F231" s="8" t="s">
        <v>13</v>
      </c>
      <c r="G231" s="8" t="s">
        <v>296</v>
      </c>
      <c r="H231" s="14" t="str">
        <f>SUBSTITUTE(Sheet1!H231, ",", "")</f>
        <v>359</v>
      </c>
      <c r="I231" s="15" t="str">
        <f>SUBSTITUTE(Sheet1!K231, "Rp", "")</f>
        <v>55671100</v>
      </c>
    </row>
    <row r="232">
      <c r="A232" s="8" t="s">
        <v>586</v>
      </c>
      <c r="B232" s="13" t="str">
        <f>HYPERLINK("https://shopee.co.id/MSBB-Avoskin-Your-Skin-Bae-Vitamin-C-3-Niacinamide-2-Mandarin-Orange-Fruit-Extract-i.288588702.9828929619", "https://shopee.co.id/MSBB-Avoskin-Your-Skin-Bae-Vitamin-C-3-Niacinamide-2-Mandarin-Orange-Fruit-Extract-i.288588702.9828929619")</f>
        <v>https://shopee.co.id/MSBB-Avoskin-Your-Skin-Bae-Vitamin-C-3-Niacinamide-2-Mandarin-Orange-Fruit-Extract-i.288588702.9828929619</v>
      </c>
      <c r="C232" s="8" t="s">
        <v>83</v>
      </c>
      <c r="D232" s="8" t="s">
        <v>79</v>
      </c>
      <c r="E232" s="8" t="s">
        <v>12</v>
      </c>
      <c r="F232" s="8" t="s">
        <v>13</v>
      </c>
      <c r="G232" s="8" t="s">
        <v>80</v>
      </c>
      <c r="H232" s="14" t="str">
        <f>SUBSTITUTE(Sheet1!H232, ",", "")</f>
        <v>358</v>
      </c>
      <c r="I232" s="15" t="str">
        <f>SUBSTITUTE(Sheet1!K232, "Rp", "")</f>
        <v>49762000</v>
      </c>
    </row>
    <row r="233">
      <c r="A233" s="8" t="s">
        <v>631</v>
      </c>
      <c r="B233" s="13" t="str">
        <f>HYPERLINK("https://shopee.co.id/Avoskin-Your-Skin-Bae-Serum-All-Varian-i.136011044.5269966934", "https://shopee.co.id/Avoskin-Your-Skin-Bae-Serum-All-Varian-i.136011044.5269966934")</f>
        <v>https://shopee.co.id/Avoskin-Your-Skin-Bae-Serum-All-Varian-i.136011044.5269966934</v>
      </c>
      <c r="C233" s="8" t="s">
        <v>83</v>
      </c>
      <c r="D233" s="8" t="s">
        <v>632</v>
      </c>
      <c r="E233" s="8" t="s">
        <v>12</v>
      </c>
      <c r="F233" s="8" t="s">
        <v>13</v>
      </c>
      <c r="G233" s="8" t="s">
        <v>21</v>
      </c>
      <c r="H233" s="14" t="str">
        <f>SUBSTITUTE(Sheet1!H233, ",", "")</f>
        <v>356</v>
      </c>
      <c r="I233" s="15" t="str">
        <f>SUBSTITUTE(Sheet1!K233, "Rp", "")</f>
        <v>45861525</v>
      </c>
    </row>
    <row r="234">
      <c r="A234" s="8" t="s">
        <v>642</v>
      </c>
      <c r="B234" s="13" t="str">
        <f>HYPERLINK("https://shopee.co.id/Bio-Talk-BPOM-Centella-Calendula-Intensive-Bright-Serum-i.12803922.7879449823", "https://shopee.co.id/Bio-Talk-BPOM-Centella-Calendula-Intensive-Bright-Serum-i.12803922.7879449823")</f>
        <v>https://shopee.co.id/Bio-Talk-BPOM-Centella-Calendula-Intensive-Bright-Serum-i.12803922.7879449823</v>
      </c>
      <c r="C234" s="8" t="s">
        <v>643</v>
      </c>
      <c r="D234" s="8" t="s">
        <v>644</v>
      </c>
      <c r="E234" s="8" t="s">
        <v>12</v>
      </c>
      <c r="F234" s="8" t="s">
        <v>13</v>
      </c>
      <c r="G234" s="8" t="s">
        <v>21</v>
      </c>
      <c r="H234" s="14" t="str">
        <f>SUBSTITUTE(Sheet1!H234, ",", "")</f>
        <v>352</v>
      </c>
      <c r="I234" s="15" t="str">
        <f>SUBSTITUTE(Sheet1!K234, "Rp", "")</f>
        <v>45354870</v>
      </c>
    </row>
    <row r="235">
      <c r="A235" s="8" t="s">
        <v>731</v>
      </c>
      <c r="B235" s="13" t="str">
        <f>HYPERLINK("https://shopee.co.id/Retinol-Serum-Ertos-i.96907343.5027304478", "https://shopee.co.id/Retinol-Serum-Ertos-i.96907343.5027304478")</f>
        <v>https://shopee.co.id/Retinol-Serum-Ertos-i.96907343.5027304478</v>
      </c>
      <c r="C235" s="8" t="s">
        <v>467</v>
      </c>
      <c r="D235" s="8" t="s">
        <v>468</v>
      </c>
      <c r="E235" s="8" t="s">
        <v>12</v>
      </c>
      <c r="F235" s="8" t="s">
        <v>13</v>
      </c>
      <c r="G235" s="8" t="s">
        <v>469</v>
      </c>
      <c r="H235" s="14" t="str">
        <f>SUBSTITUTE(Sheet1!H235, ",", "")</f>
        <v>351</v>
      </c>
      <c r="I235" s="15" t="str">
        <f>SUBSTITUTE(Sheet1!K235, "Rp", "")</f>
        <v>35940000</v>
      </c>
    </row>
    <row r="236">
      <c r="A236" s="8" t="s">
        <v>817</v>
      </c>
      <c r="B236" s="13" t="str">
        <f>HYPERLINK("https://shopee.co.id/Purivera-Blue-Grapeseed-Serum-Oil-Anti-Acne-Jerawat-Bakuchiol-As-Salicylic-Acid-2-Alternative-i.43724442.3005575313", "https://shopee.co.id/Purivera-Blue-Grapeseed-Serum-Oil-Anti-Acne-Jerawat-Bakuchiol-As-Salicylic-Acid-2-Alternative-i.43724442.3005575313")</f>
        <v>https://shopee.co.id/Purivera-Blue-Grapeseed-Serum-Oil-Anti-Acne-Jerawat-Bakuchiol-As-Salicylic-Acid-2-Alternative-i.43724442.3005575313</v>
      </c>
      <c r="C236" s="8" t="s">
        <v>428</v>
      </c>
      <c r="D236" s="8" t="s">
        <v>429</v>
      </c>
      <c r="E236" s="8" t="s">
        <v>12</v>
      </c>
      <c r="F236" s="8" t="s">
        <v>13</v>
      </c>
      <c r="G236" s="8" t="s">
        <v>61</v>
      </c>
      <c r="H236" s="14" t="str">
        <f>SUBSTITUTE(Sheet1!H236, ",", "")</f>
        <v>344</v>
      </c>
      <c r="I236" s="15" t="str">
        <f>SUBSTITUTE(Sheet1!K236, "Rp", "")</f>
        <v>29689000</v>
      </c>
    </row>
    <row r="237">
      <c r="A237" s="8" t="s">
        <v>484</v>
      </c>
      <c r="B237" s="13" t="str">
        <f>HYPERLINK("https://shopee.co.id/Garnier-Sakura-White-Serum-Day-Cream-Night-Cream-Rangkaian-Garnier-Sakura-White-Serum-Cream-i.62583853.5541488143", "https://shopee.co.id/Garnier-Sakura-White-Serum-Day-Cream-Night-Cream-Rangkaian-Garnier-Sakura-White-Serum-Cream-i.62583853.5541488143")</f>
        <v>https://shopee.co.id/Garnier-Sakura-White-Serum-Day-Cream-Night-Cream-Rangkaian-Garnier-Sakura-White-Serum-Cream-i.62583853.5541488143</v>
      </c>
      <c r="C237" s="8" t="s">
        <v>74</v>
      </c>
      <c r="D237" s="8" t="s">
        <v>75</v>
      </c>
      <c r="E237" s="8" t="s">
        <v>12</v>
      </c>
      <c r="F237" s="8" t="s">
        <v>13</v>
      </c>
      <c r="G237" s="8" t="s">
        <v>61</v>
      </c>
      <c r="H237" s="14" t="str">
        <f>SUBSTITUTE(Sheet1!H237, ",", "")</f>
        <v>343</v>
      </c>
      <c r="I237" s="15" t="str">
        <f>SUBSTITUTE(Sheet1!K237, "Rp", "")</f>
        <v>63933700</v>
      </c>
    </row>
    <row r="238">
      <c r="A238" s="8" t="s">
        <v>332</v>
      </c>
      <c r="B238" s="13" t="str">
        <f>HYPERLINK("https://shopee.co.id/Trueve-Paket-Glowing-Anti-Jerawat-i.310417610.4763876792", "https://shopee.co.id/Trueve-Paket-Glowing-Anti-Jerawat-i.310417610.4763876792")</f>
        <v>https://shopee.co.id/Trueve-Paket-Glowing-Anti-Jerawat-i.310417610.4763876792</v>
      </c>
      <c r="C238" s="8" t="s">
        <v>34</v>
      </c>
      <c r="D238" s="8" t="s">
        <v>35</v>
      </c>
      <c r="E238" s="8" t="s">
        <v>12</v>
      </c>
      <c r="F238" s="8" t="s">
        <v>13</v>
      </c>
      <c r="G238" s="8" t="s">
        <v>36</v>
      </c>
      <c r="H238" s="14" t="str">
        <f>SUBSTITUTE(Sheet1!H238, ",", "")</f>
        <v>342</v>
      </c>
      <c r="I238" s="15" t="str">
        <f>SUBSTITUTE(Sheet1!K238, "Rp", "")</f>
        <v>111272100</v>
      </c>
    </row>
    <row r="239">
      <c r="A239" s="8" t="s">
        <v>1447</v>
      </c>
      <c r="B239" s="13" t="str">
        <f>HYPERLINK("https://shopee.co.id/Hanasui-Glow-10-Power-Essence-i.129681299.4185134248", "https://shopee.co.id/Hanasui-Glow-10-Power-Essence-i.129681299.4185134248")</f>
        <v>https://shopee.co.id/Hanasui-Glow-10-Power-Essence-i.129681299.4185134248</v>
      </c>
      <c r="C239" s="8" t="s">
        <v>784</v>
      </c>
      <c r="D239" s="8" t="s">
        <v>785</v>
      </c>
      <c r="E239" s="8" t="s">
        <v>12</v>
      </c>
      <c r="F239" s="8" t="s">
        <v>13</v>
      </c>
      <c r="G239" s="8" t="s">
        <v>36</v>
      </c>
      <c r="H239" s="14" t="str">
        <f>SUBSTITUTE(Sheet1!H239, ",", "")</f>
        <v>341</v>
      </c>
      <c r="I239" s="15" t="str">
        <f>SUBSTITUTE(Sheet1!K239, "Rp", "")</f>
        <v>8266750</v>
      </c>
    </row>
    <row r="240">
      <c r="A240" s="8" t="s">
        <v>771</v>
      </c>
      <c r="B240" s="13" t="str">
        <f>HYPERLINK("https://shopee.co.id/The-Aubree-Niacinamide-Skin-Booster-30-ml-i.495290309.7595374405", "https://shopee.co.id/The-Aubree-Niacinamide-Skin-Booster-30-ml-i.495290309.7595374405")</f>
        <v>https://shopee.co.id/The-Aubree-Niacinamide-Skin-Booster-30-ml-i.495290309.7595374405</v>
      </c>
      <c r="C240" s="8" t="s">
        <v>772</v>
      </c>
      <c r="D240" s="8" t="s">
        <v>773</v>
      </c>
      <c r="E240" s="8" t="s">
        <v>12</v>
      </c>
      <c r="F240" s="8" t="s">
        <v>13</v>
      </c>
      <c r="G240" s="8" t="s">
        <v>241</v>
      </c>
      <c r="H240" s="14" t="str">
        <f>SUBSTITUTE(Sheet1!H240, ",", "")</f>
        <v>340</v>
      </c>
      <c r="I240" s="15" t="str">
        <f>SUBSTITUTE(Sheet1!K240, "Rp", "")</f>
        <v>32702670</v>
      </c>
    </row>
    <row r="241">
      <c r="A241" s="8" t="s">
        <v>474</v>
      </c>
      <c r="B241" s="13" t="str">
        <f>HYPERLINK("https://shopee.co.id/PYUNKANG-YUL-Moisture-Serum-100ml-i.180485193.6005578616", "https://shopee.co.id/PYUNKANG-YUL-Moisture-Serum-100ml-i.180485193.6005578616")</f>
        <v>https://shopee.co.id/PYUNKANG-YUL-Moisture-Serum-100ml-i.180485193.6005578616</v>
      </c>
      <c r="C241" s="8" t="s">
        <v>475</v>
      </c>
      <c r="D241" s="8" t="s">
        <v>476</v>
      </c>
      <c r="E241" s="8" t="s">
        <v>12</v>
      </c>
      <c r="F241" s="8" t="s">
        <v>13</v>
      </c>
      <c r="G241" s="8" t="s">
        <v>80</v>
      </c>
      <c r="H241" s="14" t="str">
        <f>SUBSTITUTE(Sheet1!H241, ",", "")</f>
        <v>336</v>
      </c>
      <c r="I241" s="15" t="str">
        <f>SUBSTITUTE(Sheet1!K241, "Rp", "")</f>
        <v>65442000</v>
      </c>
    </row>
    <row r="242">
      <c r="A242" s="8" t="s">
        <v>626</v>
      </c>
      <c r="B242" s="13" t="str">
        <f>HYPERLINK("https://shopee.co.id/Calm-PIE-PIH-Serum-Gel-Moisturizer-i.59474489.9776892074", "https://shopee.co.id/Calm-PIE-PIH-Serum-Gel-Moisturizer-i.59474489.9776892074")</f>
        <v>https://shopee.co.id/Calm-PIE-PIH-Serum-Gel-Moisturizer-i.59474489.9776892074</v>
      </c>
      <c r="C242" s="8" t="s">
        <v>627</v>
      </c>
      <c r="D242" s="8" t="s">
        <v>627</v>
      </c>
      <c r="E242" s="8" t="s">
        <v>12</v>
      </c>
      <c r="F242" s="8" t="s">
        <v>13</v>
      </c>
      <c r="G242" s="8" t="s">
        <v>21</v>
      </c>
      <c r="H242" s="14" t="str">
        <f>SUBSTITUTE(Sheet1!H242, ",", "")</f>
        <v>333</v>
      </c>
      <c r="I242" s="15" t="str">
        <f>SUBSTITUTE(Sheet1!K242, "Rp", "")</f>
        <v>46287000</v>
      </c>
    </row>
    <row r="243">
      <c r="A243" s="8" t="s">
        <v>259</v>
      </c>
      <c r="B243" s="13" t="str">
        <f>HYPERLINK("https://shopee.co.id/La-Roche-Posay-Hyalu-B5-Anti-Aging-Serum-30ml-Serum-Hyaluronic-Acid-Kulit-Sensitif-Kering-Kerutan-i.433144176.8551394134", "https://shopee.co.id/La-Roche-Posay-Hyalu-B5-Anti-Aging-Serum-30ml-Serum-Hyaluronic-Acid-Kulit-Sensitif-Kering-Kerutan-i.433144176.8551394134")</f>
        <v>https://shopee.co.id/La-Roche-Posay-Hyalu-B5-Anti-Aging-Serum-30ml-Serum-Hyaluronic-Acid-Kulit-Sensitif-Kering-Kerutan-i.433144176.8551394134</v>
      </c>
      <c r="C243" s="8" t="s">
        <v>147</v>
      </c>
      <c r="D243" s="8" t="s">
        <v>148</v>
      </c>
      <c r="E243" s="8" t="s">
        <v>12</v>
      </c>
      <c r="F243" s="8" t="s">
        <v>13</v>
      </c>
      <c r="G243" s="8" t="s">
        <v>61</v>
      </c>
      <c r="H243" s="14" t="str">
        <f>SUBSTITUTE(Sheet1!H243, ",", "")</f>
        <v>331</v>
      </c>
      <c r="I243" s="15" t="str">
        <f>SUBSTITUTE(Sheet1!K243, "Rp", "")</f>
        <v>167887300</v>
      </c>
    </row>
    <row r="244">
      <c r="A244" s="8" t="s">
        <v>360</v>
      </c>
      <c r="B244" s="13" t="str">
        <f>HYPERLINK("https://shopee.co.id/L-Oreal-Paris-Revitalift-Crystal-Micro-Essence-Serum-Skin-Care-65-ml-Clinical-Essence-30-ml-i.62579622.6248734751", "https://shopee.co.id/L-Oreal-Paris-Revitalift-Crystal-Micro-Essence-Serum-Skin-Care-65-ml-Clinical-Essence-30-ml-i.62579622.6248734751")</f>
        <v>https://shopee.co.id/L-Oreal-Paris-Revitalift-Crystal-Micro-Essence-Serum-Skin-Care-65-ml-Clinical-Essence-30-ml-i.62579622.6248734751</v>
      </c>
      <c r="C244" s="8" t="s">
        <v>105</v>
      </c>
      <c r="D244" s="8" t="s">
        <v>106</v>
      </c>
      <c r="E244" s="8" t="s">
        <v>12</v>
      </c>
      <c r="F244" s="8" t="s">
        <v>13</v>
      </c>
      <c r="G244" s="8" t="s">
        <v>61</v>
      </c>
      <c r="H244" s="14" t="str">
        <f>SUBSTITUTE(Sheet1!H244, ",", "")</f>
        <v>325</v>
      </c>
      <c r="I244" s="15" t="str">
        <f>SUBSTITUTE(Sheet1!K244, "Rp", "")</f>
        <v>100118700</v>
      </c>
    </row>
    <row r="245">
      <c r="A245" s="8" t="s">
        <v>806</v>
      </c>
      <c r="B245" s="13" t="str">
        <f>HYPERLINK("https://shopee.co.id/Mineral-Botanica-Hyaluronic-Acid-Serum-with-Kakadu-Plum-Fruit-Extract--i.124549994.9827217847", "https://shopee.co.id/Mineral-Botanica-Hyaluronic-Acid-Serum-with-Kakadu-Plum-Fruit-Extract--i.124549994.9827217847")</f>
        <v>https://shopee.co.id/Mineral-Botanica-Hyaluronic-Acid-Serum-with-Kakadu-Plum-Fruit-Extract--i.124549994.9827217847</v>
      </c>
      <c r="C245" s="8" t="s">
        <v>807</v>
      </c>
      <c r="D245" s="8" t="s">
        <v>808</v>
      </c>
      <c r="E245" s="8" t="s">
        <v>12</v>
      </c>
      <c r="F245" s="8" t="s">
        <v>13</v>
      </c>
      <c r="G245" s="8" t="s">
        <v>80</v>
      </c>
      <c r="H245" s="14" t="str">
        <f>SUBSTITUTE(Sheet1!H245, ",", "")</f>
        <v>324</v>
      </c>
      <c r="I245" s="15" t="str">
        <f>SUBSTITUTE(Sheet1!K245, "Rp", "")</f>
        <v>30693526</v>
      </c>
    </row>
    <row r="246">
      <c r="A246" s="8" t="s">
        <v>500</v>
      </c>
      <c r="B246" s="13" t="str">
        <f>HYPERLINK("https://shopee.co.id/LACOCO-Darkspot-Essence-12ml-i.270965687.9314339022", "https://shopee.co.id/LACOCO-Darkspot-Essence-12ml-i.270965687.9314339022")</f>
        <v>https://shopee.co.id/LACOCO-Darkspot-Essence-12ml-i.270965687.9314339022</v>
      </c>
      <c r="C246" s="8" t="s">
        <v>501</v>
      </c>
      <c r="D246" s="8" t="s">
        <v>379</v>
      </c>
      <c r="E246" s="8" t="s">
        <v>12</v>
      </c>
      <c r="F246" s="8" t="s">
        <v>13</v>
      </c>
      <c r="G246" s="8" t="s">
        <v>380</v>
      </c>
      <c r="H246" s="14" t="str">
        <f>SUBSTITUTE(Sheet1!H246, ",", "")</f>
        <v>321</v>
      </c>
      <c r="I246" s="15" t="str">
        <f>SUBSTITUTE(Sheet1!K246, "Rp", "")</f>
        <v>60990000</v>
      </c>
    </row>
    <row r="247">
      <c r="A247" s="8" t="s">
        <v>462</v>
      </c>
      <c r="B247" s="13" t="str">
        <f>HYPERLINK("https://shopee.co.id/-innisfree-Green-Tea-Seed-Serum-Deluxe-Bundle-i.61504589.5191196871", "https://shopee.co.id/-innisfree-Green-Tea-Seed-Serum-Deluxe-Bundle-i.61504589.5191196871")</f>
        <v>https://shopee.co.id/-innisfree-Green-Tea-Seed-Serum-Deluxe-Bundle-i.61504589.5191196871</v>
      </c>
      <c r="C247" s="8" t="s">
        <v>294</v>
      </c>
      <c r="D247" s="8" t="s">
        <v>295</v>
      </c>
      <c r="E247" s="8" t="s">
        <v>12</v>
      </c>
      <c r="F247" s="8" t="s">
        <v>13</v>
      </c>
      <c r="G247" s="8" t="s">
        <v>296</v>
      </c>
      <c r="H247" s="14" t="str">
        <f>SUBSTITUTE(Sheet1!H247, ",", "")</f>
        <v>320</v>
      </c>
      <c r="I247" s="15" t="str">
        <f>SUBSTITUTE(Sheet1!K247, "Rp", "")</f>
        <v>67170000</v>
      </c>
    </row>
    <row r="248">
      <c r="A248" s="8" t="s">
        <v>616</v>
      </c>
      <c r="B248" s="13" t="str">
        <f>HYPERLINK("https://shopee.co.id/Skin-Game-Acne-Combat-Serum-30-gr-i.108420030.8832897374", "https://shopee.co.id/Skin-Game-Acne-Combat-Serum-30-gr-i.108420030.8832897374")</f>
        <v>https://shopee.co.id/Skin-Game-Acne-Combat-Serum-30-gr-i.108420030.8832897374</v>
      </c>
      <c r="C248" s="8" t="s">
        <v>523</v>
      </c>
      <c r="D248" s="8" t="s">
        <v>524</v>
      </c>
      <c r="E248" s="8" t="s">
        <v>12</v>
      </c>
      <c r="F248" s="8" t="s">
        <v>13</v>
      </c>
      <c r="G248" s="8" t="s">
        <v>61</v>
      </c>
      <c r="H248" s="14" t="str">
        <f>SUBSTITUTE(Sheet1!H248, ",", "")</f>
        <v>319</v>
      </c>
      <c r="I248" s="15" t="str">
        <f>SUBSTITUTE(Sheet1!K248, "Rp", "")</f>
        <v>47426700</v>
      </c>
    </row>
    <row r="249">
      <c r="A249" s="8" t="s">
        <v>724</v>
      </c>
      <c r="B249" s="13" t="str">
        <f>HYPERLINK("https://shopee.co.id/Ella-Skincare-Advance-Serum-Vitamin-C-i.95154428.6733168525", "https://shopee.co.id/Ella-Skincare-Advance-Serum-Vitamin-C-i.95154428.6733168525")</f>
        <v>https://shopee.co.id/Ella-Skincare-Advance-Serum-Vitamin-C-i.95154428.6733168525</v>
      </c>
      <c r="C249" s="8" t="s">
        <v>700</v>
      </c>
      <c r="D249" s="8" t="s">
        <v>598</v>
      </c>
      <c r="E249" s="8" t="s">
        <v>12</v>
      </c>
      <c r="F249" s="8" t="s">
        <v>13</v>
      </c>
      <c r="G249" s="8" t="s">
        <v>409</v>
      </c>
      <c r="H249" s="14" t="str">
        <f>SUBSTITUTE(Sheet1!H249, ",", "")</f>
        <v>318</v>
      </c>
      <c r="I249" s="15" t="str">
        <f>SUBSTITUTE(Sheet1!K249, "Rp", "")</f>
        <v>36144500</v>
      </c>
    </row>
    <row r="250">
      <c r="A250" s="8" t="s">
        <v>1018</v>
      </c>
      <c r="B250" s="13" t="str">
        <f>HYPERLINK("https://shopee.co.id/Real-White-Alpha-Arbutin-Serum-i.349337394.7574587165", "https://shopee.co.id/Real-White-Alpha-Arbutin-Serum-i.349337394.7574587165")</f>
        <v>https://shopee.co.id/Real-White-Alpha-Arbutin-Serum-i.349337394.7574587165</v>
      </c>
      <c r="C250" s="8" t="s">
        <v>547</v>
      </c>
      <c r="D250" s="8" t="s">
        <v>548</v>
      </c>
      <c r="E250" s="8" t="s">
        <v>12</v>
      </c>
      <c r="F250" s="8" t="s">
        <v>13</v>
      </c>
      <c r="G250" s="8" t="s">
        <v>380</v>
      </c>
      <c r="H250" s="14" t="str">
        <f>SUBSTITUTE(Sheet1!H250, ",", "")</f>
        <v>318</v>
      </c>
      <c r="I250" s="15" t="str">
        <f>SUBSTITUTE(Sheet1!K250, "Rp", "")</f>
        <v>18351000</v>
      </c>
    </row>
    <row r="251">
      <c r="A251" s="8" t="s">
        <v>18</v>
      </c>
      <c r="B251" s="13" t="str">
        <f>HYPERLINK("https://shopee.co.id/Scarlett-Whitening-Mini-Size-Glowtening-Serum-i.255365082.11816839383", "https://shopee.co.id/Scarlett-Whitening-Mini-Size-Glowtening-Serum-i.255365082.11816839383")</f>
        <v>https://shopee.co.id/Scarlett-Whitening-Mini-Size-Glowtening-Serum-i.255365082.11816839383</v>
      </c>
      <c r="C251" s="8" t="s">
        <v>19</v>
      </c>
      <c r="D251" s="8" t="s">
        <v>20</v>
      </c>
      <c r="E251" s="8" t="s">
        <v>12</v>
      </c>
      <c r="F251" s="8" t="s">
        <v>13</v>
      </c>
      <c r="G251" s="8" t="s">
        <v>21</v>
      </c>
      <c r="H251" s="14" t="str">
        <f>SUBSTITUTE(Sheet1!H251, ",", "")</f>
        <v>318</v>
      </c>
      <c r="I251" s="15" t="str">
        <f>SUBSTITUTE(Sheet1!K251, "Rp", "")</f>
        <v>3179999682</v>
      </c>
    </row>
    <row r="252">
      <c r="A252" s="8" t="s">
        <v>612</v>
      </c>
      <c r="B252" s="13" t="str">
        <f>HYPERLINK("https://shopee.co.id/THE-BATH-BOX-Brassica-Lightening-Serum-With-Niacinamide-Whitening-Serum-i.52581685.1139779255", "https://shopee.co.id/THE-BATH-BOX-Brassica-Lightening-Serum-With-Niacinamide-Whitening-Serum-i.52581685.1139779255")</f>
        <v>https://shopee.co.id/THE-BATH-BOX-Brassica-Lightening-Serum-With-Niacinamide-Whitening-Serum-i.52581685.1139779255</v>
      </c>
      <c r="C252" s="8" t="s">
        <v>613</v>
      </c>
      <c r="D252" s="8" t="s">
        <v>614</v>
      </c>
      <c r="E252" s="8" t="s">
        <v>12</v>
      </c>
      <c r="F252" s="8" t="s">
        <v>13</v>
      </c>
      <c r="G252" s="8" t="s">
        <v>61</v>
      </c>
      <c r="H252" s="14" t="str">
        <f>SUBSTITUTE(Sheet1!H252, ",", "")</f>
        <v>318</v>
      </c>
      <c r="I252" s="15" t="str">
        <f>SUBSTITUTE(Sheet1!K252, "Rp", "")</f>
        <v>47731800</v>
      </c>
    </row>
    <row r="253">
      <c r="A253" s="8" t="s">
        <v>251</v>
      </c>
      <c r="B253" s="13" t="str">
        <f>HYPERLINK("https://shopee.co.id/Hyalu-B5-Serum-30ml-Bundle-FREE-Hyalu-B5-10ml-Uvidea-Anthelios-50-Spf-Sunscreen-3ml-Senilai-330K-i.433144176.11511752557", "https://shopee.co.id/Hyalu-B5-Serum-30ml-Bundle-FREE-Hyalu-B5-10ml-Uvidea-Anthelios-50-Spf-Sunscreen-3ml-Senilai-330K-i.433144176.11511752557")</f>
        <v>https://shopee.co.id/Hyalu-B5-Serum-30ml-Bundle-FREE-Hyalu-B5-10ml-Uvidea-Anthelios-50-Spf-Sunscreen-3ml-Senilai-330K-i.433144176.11511752557</v>
      </c>
      <c r="C253" s="8" t="s">
        <v>147</v>
      </c>
      <c r="D253" s="8" t="s">
        <v>148</v>
      </c>
      <c r="E253" s="8" t="s">
        <v>12</v>
      </c>
      <c r="F253" s="8" t="s">
        <v>13</v>
      </c>
      <c r="G253" s="8" t="s">
        <v>61</v>
      </c>
      <c r="H253" s="14" t="str">
        <f>SUBSTITUTE(Sheet1!H253, ",", "")</f>
        <v>315</v>
      </c>
      <c r="I253" s="15" t="str">
        <f>SUBSTITUTE(Sheet1!K253, "Rp", "")</f>
        <v>182891000</v>
      </c>
    </row>
    <row r="254">
      <c r="A254" s="8" t="s">
        <v>489</v>
      </c>
      <c r="B254" s="13" t="str">
        <f>HYPERLINK("https://shopee.co.id/L-Oreal-Paris-Revitalift-Daily-Intensive-Serum-Skin-Care-30ml-Untuk-Kulit-Cerah-Tampak-Muda--i.62579622.1023031324", "https://shopee.co.id/L-Oreal-Paris-Revitalift-Daily-Intensive-Serum-Skin-Care-30ml-Untuk-Kulit-Cerah-Tampak-Muda--i.62579622.1023031324")</f>
        <v>https://shopee.co.id/L-Oreal-Paris-Revitalift-Daily-Intensive-Serum-Skin-Care-30ml-Untuk-Kulit-Cerah-Tampak-Muda--i.62579622.1023031324</v>
      </c>
      <c r="C254" s="8" t="s">
        <v>105</v>
      </c>
      <c r="D254" s="8" t="s">
        <v>106</v>
      </c>
      <c r="E254" s="8" t="s">
        <v>12</v>
      </c>
      <c r="F254" s="8" t="s">
        <v>13</v>
      </c>
      <c r="G254" s="8" t="s">
        <v>61</v>
      </c>
      <c r="H254" s="14" t="str">
        <f>SUBSTITUTE(Sheet1!H254, ",", "")</f>
        <v>315</v>
      </c>
      <c r="I254" s="15" t="str">
        <f>SUBSTITUTE(Sheet1!K254, "Rp", "")</f>
        <v>62829600</v>
      </c>
    </row>
    <row r="255">
      <c r="A255" s="8" t="s">
        <v>1409</v>
      </c>
      <c r="B255" s="13" t="str">
        <f>HYPERLINK("https://shopee.co.id/Azarine-AHA-BHA-Miraclear-Herbal-Peeling-Serum-20ml-i.110573301.9942619390", "https://shopee.co.id/Azarine-AHA-BHA-Miraclear-Herbal-Peeling-Serum-20ml-i.110573301.9942619390")</f>
        <v>https://shopee.co.id/Azarine-AHA-BHA-Miraclear-Herbal-Peeling-Serum-20ml-i.110573301.9942619390</v>
      </c>
      <c r="C255" s="8" t="s">
        <v>233</v>
      </c>
      <c r="D255" s="8" t="s">
        <v>227</v>
      </c>
      <c r="E255" s="8" t="s">
        <v>12</v>
      </c>
      <c r="F255" s="8" t="s">
        <v>13</v>
      </c>
      <c r="G255" s="8" t="s">
        <v>61</v>
      </c>
      <c r="H255" s="14" t="str">
        <f>SUBSTITUTE(Sheet1!H255, ",", "")</f>
        <v>313</v>
      </c>
      <c r="I255" s="15" t="str">
        <f>SUBSTITUTE(Sheet1!K255, "Rp", "")</f>
        <v>8779500</v>
      </c>
    </row>
    <row r="256">
      <c r="A256" s="8" t="s">
        <v>1384</v>
      </c>
      <c r="B256" s="13" t="str">
        <f>HYPERLINK("https://shopee.co.id/YOU-Golden-Age-Refining-Serum-5ml-TRAVEL-SIZE-i.72375863.7894736238", "https://shopee.co.id/YOU-Golden-Age-Refining-Serum-5ml-TRAVEL-SIZE-i.72375863.7894736238")</f>
        <v>https://shopee.co.id/YOU-Golden-Age-Refining-Serum-5ml-TRAVEL-SIZE-i.72375863.7894736238</v>
      </c>
      <c r="C256" s="8" t="s">
        <v>128</v>
      </c>
      <c r="D256" s="8" t="s">
        <v>129</v>
      </c>
      <c r="E256" s="8" t="s">
        <v>12</v>
      </c>
      <c r="F256" s="8" t="s">
        <v>13</v>
      </c>
      <c r="G256" s="8" t="s">
        <v>130</v>
      </c>
      <c r="H256" s="14" t="str">
        <f>SUBSTITUTE(Sheet1!H256, ",", "")</f>
        <v>312</v>
      </c>
      <c r="I256" s="15" t="str">
        <f>SUBSTITUTE(Sheet1!K256, "Rp", "")</f>
        <v>9261000</v>
      </c>
    </row>
    <row r="257">
      <c r="A257" s="8" t="s">
        <v>437</v>
      </c>
      <c r="B257" s="13" t="str">
        <f>HYPERLINK("https://shopee.co.id/MSBB-Avoskin-Miraculous-Retinol-Ampoule-i.288588702.5344501825", "https://shopee.co.id/MSBB-Avoskin-Miraculous-Retinol-Ampoule-i.288588702.5344501825")</f>
        <v>https://shopee.co.id/MSBB-Avoskin-Miraculous-Retinol-Ampoule-i.288588702.5344501825</v>
      </c>
      <c r="C257" s="8" t="s">
        <v>83</v>
      </c>
      <c r="D257" s="8" t="s">
        <v>79</v>
      </c>
      <c r="E257" s="8" t="s">
        <v>12</v>
      </c>
      <c r="F257" s="8" t="s">
        <v>13</v>
      </c>
      <c r="G257" s="8" t="s">
        <v>80</v>
      </c>
      <c r="H257" s="14" t="str">
        <f>SUBSTITUTE(Sheet1!H257, ",", "")</f>
        <v>311</v>
      </c>
      <c r="I257" s="15" t="str">
        <f>SUBSTITUTE(Sheet1!K257, "Rp", "")</f>
        <v>73656690</v>
      </c>
    </row>
    <row r="258">
      <c r="A258" s="8" t="s">
        <v>634</v>
      </c>
      <c r="B258" s="13" t="str">
        <f>HYPERLINK("https://shopee.co.id/Skin-Game-Spot-Guard-Serum-30-gr-i.108420030.9032907269", "https://shopee.co.id/Skin-Game-Spot-Guard-Serum-30-gr-i.108420030.9032907269")</f>
        <v>https://shopee.co.id/Skin-Game-Spot-Guard-Serum-30-gr-i.108420030.9032907269</v>
      </c>
      <c r="C258" s="8" t="s">
        <v>523</v>
      </c>
      <c r="D258" s="8" t="s">
        <v>524</v>
      </c>
      <c r="E258" s="8" t="s">
        <v>12</v>
      </c>
      <c r="F258" s="8" t="s">
        <v>13</v>
      </c>
      <c r="G258" s="8" t="s">
        <v>61</v>
      </c>
      <c r="H258" s="14" t="str">
        <f>SUBSTITUTE(Sheet1!H258, ",", "")</f>
        <v>308</v>
      </c>
      <c r="I258" s="15" t="str">
        <f>SUBSTITUTE(Sheet1!K258, "Rp", "")</f>
        <v>45713200</v>
      </c>
    </row>
    <row r="259">
      <c r="A259" s="8" t="s">
        <v>747</v>
      </c>
      <c r="B259" s="13" t="str">
        <f>HYPERLINK("https://shopee.co.id/Purivera-Fermented-Red-Serum-Oil-Whitening-Glowing-Vitamin-C-Kojic-Acid-Natural-Alternative-i.43724442.3184381744", "https://shopee.co.id/Purivera-Fermented-Red-Serum-Oil-Whitening-Glowing-Vitamin-C-Kojic-Acid-Natural-Alternative-i.43724442.3184381744")</f>
        <v>https://shopee.co.id/Purivera-Fermented-Red-Serum-Oil-Whitening-Glowing-Vitamin-C-Kojic-Acid-Natural-Alternative-i.43724442.3184381744</v>
      </c>
      <c r="C259" s="8" t="s">
        <v>428</v>
      </c>
      <c r="D259" s="8" t="s">
        <v>429</v>
      </c>
      <c r="E259" s="8" t="s">
        <v>12</v>
      </c>
      <c r="F259" s="8" t="s">
        <v>13</v>
      </c>
      <c r="G259" s="8" t="s">
        <v>61</v>
      </c>
      <c r="H259" s="14" t="str">
        <f>SUBSTITUTE(Sheet1!H259, ",", "")</f>
        <v>303</v>
      </c>
      <c r="I259" s="15" t="str">
        <f>SUBSTITUTE(Sheet1!K259, "Rp", "")</f>
        <v>35187750</v>
      </c>
    </row>
    <row r="260">
      <c r="A260" s="8" t="s">
        <v>653</v>
      </c>
      <c r="B260" s="13" t="str">
        <f>HYPERLINK("https://shopee.co.id/Skin-Soul-Brightening-24K-Snail-Gold-Face-Serum-By-Amanda-Manopo-i.382216837.8285821739", "https://shopee.co.id/Skin-Soul-Brightening-24K-Snail-Gold-Face-Serum-By-Amanda-Manopo-i.382216837.8285821739")</f>
        <v>https://shopee.co.id/Skin-Soul-Brightening-24K-Snail-Gold-Face-Serum-By-Amanda-Manopo-i.382216837.8285821739</v>
      </c>
      <c r="C260" s="8" t="s">
        <v>654</v>
      </c>
      <c r="D260" s="8" t="s">
        <v>655</v>
      </c>
      <c r="E260" s="8" t="s">
        <v>12</v>
      </c>
      <c r="F260" s="8" t="s">
        <v>13</v>
      </c>
      <c r="G260" s="8" t="s">
        <v>21</v>
      </c>
      <c r="H260" s="14" t="str">
        <f>SUBSTITUTE(Sheet1!H260, ",", "")</f>
        <v>303</v>
      </c>
      <c r="I260" s="15" t="str">
        <f>SUBSTITUTE(Sheet1!K260, "Rp", "")</f>
        <v>43935000</v>
      </c>
    </row>
    <row r="261">
      <c r="A261" s="8" t="s">
        <v>261</v>
      </c>
      <c r="B261" s="13" t="str">
        <f>HYPERLINK("https://shopee.co.id/La-Roche-Posay-Effaclar-Salicylic-Acid-Serum-30ml-Serum-Wajah-Kulit-Jerawat-Berminyak-i.433144176.10521129148", "https://shopee.co.id/La-Roche-Posay-Effaclar-Salicylic-Acid-Serum-30ml-Serum-Wajah-Kulit-Jerawat-Berminyak-i.433144176.10521129148")</f>
        <v>https://shopee.co.id/La-Roche-Posay-Effaclar-Salicylic-Acid-Serum-30ml-Serum-Wajah-Kulit-Jerawat-Berminyak-i.433144176.10521129148</v>
      </c>
      <c r="C261" s="8" t="s">
        <v>147</v>
      </c>
      <c r="D261" s="8" t="s">
        <v>148</v>
      </c>
      <c r="E261" s="8" t="s">
        <v>12</v>
      </c>
      <c r="F261" s="8" t="s">
        <v>13</v>
      </c>
      <c r="G261" s="8" t="s">
        <v>61</v>
      </c>
      <c r="H261" s="14" t="str">
        <f>SUBSTITUTE(Sheet1!H261, ",", "")</f>
        <v>301</v>
      </c>
      <c r="I261" s="15" t="str">
        <f>SUBSTITUTE(Sheet1!K261, "Rp", "")</f>
        <v>162025500</v>
      </c>
    </row>
    <row r="262">
      <c r="A262" s="8" t="s">
        <v>861</v>
      </c>
      <c r="B262" s="13" t="str">
        <f>HYPERLINK("https://shopee.co.id/Somethinc-Bakuchiol-Skinpair-Serum-20ml-i.110573301.8715961656", "https://shopee.co.id/Somethinc-Bakuchiol-Skinpair-Serum-20ml-i.110573301.8715961656")</f>
        <v>https://shopee.co.id/Somethinc-Bakuchiol-Skinpair-Serum-20ml-i.110573301.8715961656</v>
      </c>
      <c r="C262" s="8" t="s">
        <v>45</v>
      </c>
      <c r="D262" s="8" t="s">
        <v>227</v>
      </c>
      <c r="E262" s="8" t="s">
        <v>12</v>
      </c>
      <c r="F262" s="8" t="s">
        <v>13</v>
      </c>
      <c r="G262" s="8" t="s">
        <v>61</v>
      </c>
      <c r="H262" s="14" t="str">
        <f>SUBSTITUTE(Sheet1!H262, ",", "")</f>
        <v>298</v>
      </c>
      <c r="I262" s="15" t="str">
        <f>SUBSTITUTE(Sheet1!K262, "Rp", "")</f>
        <v>26276000</v>
      </c>
    </row>
    <row r="263">
      <c r="A263" s="8" t="s">
        <v>1034</v>
      </c>
      <c r="B263" s="13" t="str">
        <f>HYPERLINK("https://shopee.co.id/BUHOTEI-Scarlett-Whitening-Glowtening-Serum-Whitening-Acne-Serum-Whitening-Brightly-Ever-After-Serum-i.403097854.9788613647", "https://shopee.co.id/BUHOTEI-Scarlett-Whitening-Glowtening-Serum-Whitening-Acne-Serum-Whitening-Brightly-Ever-After-Serum-i.403097854.9788613647")</f>
        <v>https://shopee.co.id/BUHOTEI-Scarlett-Whitening-Glowtening-Serum-Whitening-Acne-Serum-Whitening-Brightly-Ever-After-Serum-i.403097854.9788613647</v>
      </c>
      <c r="C263" s="8" t="s">
        <v>19</v>
      </c>
      <c r="D263" s="8" t="s">
        <v>1035</v>
      </c>
      <c r="E263" s="8" t="s">
        <v>12</v>
      </c>
      <c r="F263" s="8" t="s">
        <v>13</v>
      </c>
      <c r="G263" s="8" t="s">
        <v>61</v>
      </c>
      <c r="H263" s="14" t="str">
        <f>SUBSTITUTE(Sheet1!H263, ",", "")</f>
        <v>297</v>
      </c>
      <c r="I263" s="15" t="str">
        <f>SUBSTITUTE(Sheet1!K263, "Rp", "")</f>
        <v>17682500</v>
      </c>
    </row>
    <row r="264">
      <c r="A264" s="8" t="s">
        <v>536</v>
      </c>
      <c r="B264" s="13" t="str">
        <f>HYPERLINK("https://shopee.co.id/Nacific-Phyto-Niacin-Whitening-Essence-50ml--i.238379974.10113370335", "https://shopee.co.id/Nacific-Phyto-Niacin-Whitening-Essence-50ml--i.238379974.10113370335")</f>
        <v>https://shopee.co.id/Nacific-Phyto-Niacin-Whitening-Essence-50ml--i.238379974.10113370335</v>
      </c>
      <c r="C264" s="8" t="s">
        <v>344</v>
      </c>
      <c r="D264" s="8" t="s">
        <v>345</v>
      </c>
      <c r="E264" s="8" t="s">
        <v>12</v>
      </c>
      <c r="F264" s="8" t="s">
        <v>13</v>
      </c>
      <c r="G264" s="8" t="s">
        <v>130</v>
      </c>
      <c r="H264" s="14" t="str">
        <f>SUBSTITUTE(Sheet1!H264, ",", "")</f>
        <v>297</v>
      </c>
      <c r="I264" s="15" t="str">
        <f>SUBSTITUTE(Sheet1!K264, "Rp", "")</f>
        <v>55963000</v>
      </c>
    </row>
    <row r="265">
      <c r="A265" s="8" t="s">
        <v>603</v>
      </c>
      <c r="B265" s="13" t="str">
        <f>HYPERLINK("https://shopee.co.id/MSBB-Nutrishe-Intensive-Bright-Glow-Serum-i.288588702.3782590270", "https://shopee.co.id/MSBB-Nutrishe-Intensive-Bright-Glow-Serum-i.288588702.3782590270")</f>
        <v>https://shopee.co.id/MSBB-Nutrishe-Intensive-Bright-Glow-Serum-i.288588702.3782590270</v>
      </c>
      <c r="C265" s="8" t="s">
        <v>195</v>
      </c>
      <c r="D265" s="8" t="s">
        <v>79</v>
      </c>
      <c r="E265" s="8" t="s">
        <v>12</v>
      </c>
      <c r="F265" s="8" t="s">
        <v>13</v>
      </c>
      <c r="G265" s="8" t="s">
        <v>80</v>
      </c>
      <c r="H265" s="14" t="str">
        <f>SUBSTITUTE(Sheet1!H265, ",", "")</f>
        <v>296</v>
      </c>
      <c r="I265" s="15" t="str">
        <f>SUBSTITUTE(Sheet1!K265, "Rp", "")</f>
        <v>48545250</v>
      </c>
    </row>
    <row r="266">
      <c r="A266" s="8" t="s">
        <v>851</v>
      </c>
      <c r="B266" s="13" t="str">
        <f>HYPERLINK("https://shopee.co.id/-BPOM-BREYLEE-Pomegranate-Serum-Mencerahkan-Wajah-30-ml--i.324706771.3193111527", "https://shopee.co.id/-BPOM-BREYLEE-Pomegranate-Serum-Mencerahkan-Wajah-30-ml--i.324706771.3193111527")</f>
        <v>https://shopee.co.id/-BPOM-BREYLEE-Pomegranate-Serum-Mencerahkan-Wajah-30-ml--i.324706771.3193111527</v>
      </c>
      <c r="C266" s="8" t="s">
        <v>852</v>
      </c>
      <c r="D266" s="8" t="s">
        <v>853</v>
      </c>
      <c r="E266" s="8" t="s">
        <v>12</v>
      </c>
      <c r="F266" s="8" t="s">
        <v>13</v>
      </c>
      <c r="G266" s="8" t="s">
        <v>532</v>
      </c>
      <c r="H266" s="14" t="str">
        <f>SUBSTITUTE(Sheet1!H266, ",", "")</f>
        <v>295</v>
      </c>
      <c r="I266" s="15" t="str">
        <f>SUBSTITUTE(Sheet1!K266, "Rp", "")</f>
        <v>27113500</v>
      </c>
    </row>
    <row r="267">
      <c r="A267" s="8" t="s">
        <v>1098</v>
      </c>
      <c r="B267" s="13" t="str">
        <f>HYPERLINK("https://shopee.co.id/Bio-Essence-Bio-Gold-Radiance-Cleanser-100-gr-Foam-Cleanser-i.63822287.1671468798", "https://shopee.co.id/Bio-Essence-Bio-Gold-Radiance-Cleanser-100-gr-Foam-Cleanser-i.63822287.1671468798")</f>
        <v>https://shopee.co.id/Bio-Essence-Bio-Gold-Radiance-Cleanser-100-gr-Foam-Cleanser-i.63822287.1671468798</v>
      </c>
      <c r="C267" s="8" t="s">
        <v>834</v>
      </c>
      <c r="D267" s="8" t="s">
        <v>835</v>
      </c>
      <c r="E267" s="8" t="s">
        <v>12</v>
      </c>
      <c r="F267" s="8" t="s">
        <v>13</v>
      </c>
      <c r="G267" s="8" t="s">
        <v>61</v>
      </c>
      <c r="H267" s="14" t="str">
        <f>SUBSTITUTE(Sheet1!H267, ",", "")</f>
        <v>295</v>
      </c>
      <c r="I267" s="15" t="str">
        <f>SUBSTITUTE(Sheet1!K267, "Rp", "")</f>
        <v>15263638</v>
      </c>
    </row>
    <row r="268">
      <c r="A268" s="8" t="s">
        <v>801</v>
      </c>
      <c r="B268" s="13" t="str">
        <f>HYPERLINK("https://shopee.co.id/L-Oreal-Paris-Crystal-Micro-Essence-22-ml-x-2-pcs-i.62579622.3253737581", "https://shopee.co.id/L-Oreal-Paris-Crystal-Micro-Essence-22-ml-x-2-pcs-i.62579622.3253737581")</f>
        <v>https://shopee.co.id/L-Oreal-Paris-Crystal-Micro-Essence-22-ml-x-2-pcs-i.62579622.3253737581</v>
      </c>
      <c r="C268" s="8" t="s">
        <v>105</v>
      </c>
      <c r="D268" s="8" t="s">
        <v>106</v>
      </c>
      <c r="E268" s="8" t="s">
        <v>12</v>
      </c>
      <c r="F268" s="8" t="s">
        <v>13</v>
      </c>
      <c r="G268" s="8" t="s">
        <v>61</v>
      </c>
      <c r="H268" s="16">
        <v>292.0</v>
      </c>
      <c r="I268" s="15" t="str">
        <f>SUBSTITUTE(Sheet1!K268, "Rp", "")</f>
        <v>31174200</v>
      </c>
    </row>
    <row r="269">
      <c r="A269" s="8" t="s">
        <v>1735</v>
      </c>
      <c r="B269" s="13" t="str">
        <f>HYPERLINK("https://shopee.co.id/SYB-Forte-Red-Jelly-Glow-Serum-i.150222332.7416583814", "https://shopee.co.id/SYB-Forte-Red-Jelly-Glow-Serum-i.150222332.7416583814")</f>
        <v>https://shopee.co.id/SYB-Forte-Red-Jelly-Glow-Serum-i.150222332.7416583814</v>
      </c>
      <c r="C269" s="8" t="s">
        <v>1736</v>
      </c>
      <c r="D269" s="8" t="s">
        <v>1737</v>
      </c>
      <c r="E269" s="8" t="s">
        <v>12</v>
      </c>
      <c r="F269" s="8" t="s">
        <v>13</v>
      </c>
      <c r="G269" s="8" t="s">
        <v>350</v>
      </c>
      <c r="H269" s="16">
        <v>291.0</v>
      </c>
      <c r="I269" s="15" t="str">
        <f>SUBSTITUTE(Sheet1!K269, "Rp", "")</f>
        <v>5120700</v>
      </c>
    </row>
    <row r="270">
      <c r="A270" s="8" t="s">
        <v>846</v>
      </c>
      <c r="B270" s="13" t="str">
        <f>HYPERLINK("https://shopee.co.id/Airnderm-Aesthetic-Anti-Acne-Serum-by-AIRIN-BEAUTY--i.112372548.2791648220", "https://shopee.co.id/Airnderm-Aesthetic-Anti-Acne-Serum-by-AIRIN-BEAUTY--i.112372548.2791648220")</f>
        <v>https://shopee.co.id/Airnderm-Aesthetic-Anti-Acne-Serum-by-AIRIN-BEAUTY--i.112372548.2791648220</v>
      </c>
      <c r="C270" s="8" t="s">
        <v>239</v>
      </c>
      <c r="D270" s="8" t="s">
        <v>240</v>
      </c>
      <c r="E270" s="8" t="s">
        <v>12</v>
      </c>
      <c r="F270" s="8" t="s">
        <v>13</v>
      </c>
      <c r="G270" s="8" t="s">
        <v>241</v>
      </c>
      <c r="H270" s="16">
        <v>288.0</v>
      </c>
      <c r="I270" s="15" t="str">
        <f>SUBSTITUTE(Sheet1!K270, "Rp", "")</f>
        <v>27268450</v>
      </c>
    </row>
    <row r="271">
      <c r="A271" s="8" t="s">
        <v>636</v>
      </c>
      <c r="B271" s="13" t="str">
        <f>HYPERLINK("https://shopee.co.id/MSBB-Avoskin-Your-Skin-Bae-Ceramide-LC-S-20-1-Mugwort-Cica-Toner-i.288588702.8573167349", "https://shopee.co.id/MSBB-Avoskin-Your-Skin-Bae-Ceramide-LC-S-20-1-Mugwort-Cica-Toner-i.288588702.8573167349")</f>
        <v>https://shopee.co.id/MSBB-Avoskin-Your-Skin-Bae-Ceramide-LC-S-20-1-Mugwort-Cica-Toner-i.288588702.8573167349</v>
      </c>
      <c r="C271" s="8" t="s">
        <v>78</v>
      </c>
      <c r="D271" s="8" t="s">
        <v>79</v>
      </c>
      <c r="E271" s="8" t="s">
        <v>12</v>
      </c>
      <c r="F271" s="8" t="s">
        <v>13</v>
      </c>
      <c r="G271" s="8" t="s">
        <v>80</v>
      </c>
      <c r="H271" s="16">
        <v>287.0</v>
      </c>
      <c r="I271" s="15" t="str">
        <f>SUBSTITUTE(Sheet1!K271, "Rp", "")</f>
        <v>45633000</v>
      </c>
    </row>
    <row r="272">
      <c r="A272" s="8" t="s">
        <v>549</v>
      </c>
      <c r="B272" s="13" t="str">
        <f>HYPERLINK("https://shopee.co.id/Olay-Serum-Wajah-White-Radiance-Light-Perfecting-Essence-Pencerah-Skincare-30ml-i.11487927.224987734", "https://shopee.co.id/Olay-Serum-Wajah-White-Radiance-Light-Perfecting-Essence-Pencerah-Skincare-30ml-i.11487927.224987734")</f>
        <v>https://shopee.co.id/Olay-Serum-Wajah-White-Radiance-Light-Perfecting-Essence-Pencerah-Skincare-30ml-i.11487927.224987734</v>
      </c>
      <c r="C272" s="8" t="s">
        <v>317</v>
      </c>
      <c r="D272" s="8" t="s">
        <v>318</v>
      </c>
      <c r="E272" s="8" t="s">
        <v>12</v>
      </c>
      <c r="F272" s="8" t="s">
        <v>13</v>
      </c>
      <c r="G272" s="8" t="s">
        <v>296</v>
      </c>
      <c r="H272" s="16">
        <v>286.0</v>
      </c>
      <c r="I272" s="15" t="str">
        <f>SUBSTITUTE(Sheet1!K272, "Rp", "")</f>
        <v>54947000</v>
      </c>
    </row>
    <row r="273">
      <c r="A273" s="8" t="s">
        <v>1025</v>
      </c>
      <c r="B273" s="13" t="str">
        <f>HYPERLINK("https://shopee.co.id/Scarlett-Whitening-Brightly-Acne-Ever-After-Serum-15-Ml-i.53887195.7963526067", "https://shopee.co.id/Scarlett-Whitening-Brightly-Acne-Ever-After-Serum-15-Ml-i.53887195.7963526067")</f>
        <v>https://shopee.co.id/Scarlett-Whitening-Brightly-Acne-Ever-After-Serum-15-Ml-i.53887195.7963526067</v>
      </c>
      <c r="C273" s="8" t="s">
        <v>19</v>
      </c>
      <c r="D273" s="8" t="s">
        <v>1026</v>
      </c>
      <c r="E273" s="8" t="s">
        <v>12</v>
      </c>
      <c r="F273" s="8" t="s">
        <v>13</v>
      </c>
      <c r="G273" s="8" t="s">
        <v>80</v>
      </c>
      <c r="H273" s="16">
        <v>286.0</v>
      </c>
      <c r="I273" s="15" t="str">
        <f>SUBSTITUTE(Sheet1!K273, "Rp", "")</f>
        <v>17942434</v>
      </c>
    </row>
    <row r="274">
      <c r="A274" s="8" t="s">
        <v>491</v>
      </c>
      <c r="B274" s="13" t="str">
        <f>HYPERLINK("https://shopee.co.id/COSRX-Advanced-Snail-Mucin-96-Power-Essence-100-ml-Esens-Lendir-Siput-Skincare-i.224957239.7231700971", "https://shopee.co.id/COSRX-Advanced-Snail-Mucin-96-Power-Essence-100-ml-Esens-Lendir-Siput-Skincare-i.224957239.7231700971")</f>
        <v>https://shopee.co.id/COSRX-Advanced-Snail-Mucin-96-Power-Essence-100-ml-Esens-Lendir-Siput-Skincare-i.224957239.7231700971</v>
      </c>
      <c r="C274" s="8" t="s">
        <v>305</v>
      </c>
      <c r="D274" s="8" t="s">
        <v>492</v>
      </c>
      <c r="E274" s="8" t="s">
        <v>12</v>
      </c>
      <c r="F274" s="8" t="s">
        <v>13</v>
      </c>
      <c r="G274" s="8" t="s">
        <v>21</v>
      </c>
      <c r="H274" s="16">
        <v>284.0</v>
      </c>
      <c r="I274" s="15" t="str">
        <f>SUBSTITUTE(Sheet1!K274, "Rp", "")</f>
        <v>62662566</v>
      </c>
    </row>
    <row r="275">
      <c r="A275" s="8" t="s">
        <v>749</v>
      </c>
      <c r="B275" s="13" t="str">
        <f>HYPERLINK("https://shopee.co.id/Airnderm-Aesthetic-Retinol-Serum-by-AIRIN-BEAUTY--i.112372548.7545489260", "https://shopee.co.id/Airnderm-Aesthetic-Retinol-Serum-by-AIRIN-BEAUTY--i.112372548.7545489260")</f>
        <v>https://shopee.co.id/Airnderm-Aesthetic-Retinol-Serum-by-AIRIN-BEAUTY--i.112372548.7545489260</v>
      </c>
      <c r="C275" s="8" t="s">
        <v>239</v>
      </c>
      <c r="D275" s="8" t="s">
        <v>240</v>
      </c>
      <c r="E275" s="8" t="s">
        <v>12</v>
      </c>
      <c r="F275" s="8" t="s">
        <v>13</v>
      </c>
      <c r="G275" s="8" t="s">
        <v>241</v>
      </c>
      <c r="H275" s="16">
        <v>283.0</v>
      </c>
      <c r="I275" s="15" t="str">
        <f>SUBSTITUTE(Sheet1!K275, "Rp", "")</f>
        <v>35037500</v>
      </c>
    </row>
    <row r="276">
      <c r="A276" s="8" t="s">
        <v>726</v>
      </c>
      <c r="B276" s="13" t="str">
        <f>HYPERLINK("https://shopee.co.id/Nama-C-Booster-Brightening-Age-Defying-Face-Serum-i.389941587.10531639291", "https://shopee.co.id/Nama-C-Booster-Brightening-Age-Defying-Face-Serum-i.389941587.10531639291")</f>
        <v>https://shopee.co.id/Nama-C-Booster-Brightening-Age-Defying-Face-Serum-i.389941587.10531639291</v>
      </c>
      <c r="C276" s="8" t="s">
        <v>727</v>
      </c>
      <c r="D276" s="8" t="s">
        <v>728</v>
      </c>
      <c r="E276" s="8" t="s">
        <v>12</v>
      </c>
      <c r="F276" s="8" t="s">
        <v>13</v>
      </c>
      <c r="G276" s="8" t="s">
        <v>21</v>
      </c>
      <c r="H276" s="16">
        <v>280.0</v>
      </c>
      <c r="I276" s="15" t="str">
        <f>SUBSTITUTE(Sheet1!K276, "Rp", "")</f>
        <v>36120000</v>
      </c>
    </row>
    <row r="277">
      <c r="A277" s="8" t="s">
        <v>415</v>
      </c>
      <c r="B277" s="13" t="str">
        <f>HYPERLINK("https://shopee.co.id/Some-By-Mi-Snail-Truecica-Miracle-Repair-Cream-i.455311481.8965069152", "https://shopee.co.id/Some-By-Mi-Snail-Truecica-Miracle-Repair-Cream-i.455311481.8965069152")</f>
        <v>https://shopee.co.id/Some-By-Mi-Snail-Truecica-Miracle-Repair-Cream-i.455311481.8965069152</v>
      </c>
      <c r="C277" s="8" t="s">
        <v>213</v>
      </c>
      <c r="D277" s="8" t="s">
        <v>214</v>
      </c>
      <c r="E277" s="8" t="s">
        <v>12</v>
      </c>
      <c r="F277" s="8" t="s">
        <v>13</v>
      </c>
      <c r="G277" s="8" t="s">
        <v>130</v>
      </c>
      <c r="H277" s="16">
        <v>279.0</v>
      </c>
      <c r="I277" s="15" t="str">
        <f>SUBSTITUTE(Sheet1!K277, "Rp", "")</f>
        <v>78593400</v>
      </c>
    </row>
    <row r="278">
      <c r="A278" s="8" t="s">
        <v>330</v>
      </c>
      <c r="B278" s="13" t="str">
        <f>HYPERLINK("https://shopee.co.id/YOU-Golden-Age-Special-Glowing-Complete-Bundle-Free-Gift-i.72375863.4585388741", "https://shopee.co.id/YOU-Golden-Age-Special-Glowing-Complete-Bundle-Free-Gift-i.72375863.4585388741")</f>
        <v>https://shopee.co.id/YOU-Golden-Age-Special-Glowing-Complete-Bundle-Free-Gift-i.72375863.4585388741</v>
      </c>
      <c r="C278" s="8" t="s">
        <v>128</v>
      </c>
      <c r="D278" s="8" t="s">
        <v>129</v>
      </c>
      <c r="E278" s="8" t="s">
        <v>12</v>
      </c>
      <c r="F278" s="8" t="s">
        <v>13</v>
      </c>
      <c r="G278" s="8" t="s">
        <v>130</v>
      </c>
      <c r="H278" s="16">
        <v>275.0</v>
      </c>
      <c r="I278" s="15" t="str">
        <f>SUBSTITUTE(Sheet1!K278, "Rp", "")</f>
        <v>111832200</v>
      </c>
    </row>
    <row r="279">
      <c r="A279" s="8" t="s">
        <v>744</v>
      </c>
      <c r="B279" s="13" t="str">
        <f>HYPERLINK("https://shopee.co.id/Avoskin-Your-Skin-Bae-Serum-30ml-i.10689.3376975791", "https://shopee.co.id/Avoskin-Your-Skin-Bae-Serum-30ml-i.10689.3376975791")</f>
        <v>https://shopee.co.id/Avoskin-Your-Skin-Bae-Serum-30ml-i.10689.3376975791</v>
      </c>
      <c r="C279" s="8" t="s">
        <v>83</v>
      </c>
      <c r="D279" s="8" t="s">
        <v>745</v>
      </c>
      <c r="E279" s="8" t="s">
        <v>12</v>
      </c>
      <c r="F279" s="8" t="s">
        <v>13</v>
      </c>
      <c r="G279" s="8" t="s">
        <v>61</v>
      </c>
      <c r="H279" s="16">
        <v>273.0</v>
      </c>
      <c r="I279" s="15" t="str">
        <f>SUBSTITUTE(Sheet1!K279, "Rp", "")</f>
        <v>35217000</v>
      </c>
    </row>
    <row r="280">
      <c r="A280" s="8" t="s">
        <v>624</v>
      </c>
      <c r="B280" s="13" t="str">
        <f>HYPERLINK("https://shopee.co.id/Dear-Me-Beauty-8-Snap-8-Peptide-Avocado-Extract-Face-Serum-12ml-i.45495764.3041294402", "https://shopee.co.id/Dear-Me-Beauty-8-Snap-8-Peptide-Avocado-Extract-Face-Serum-12ml-i.45495764.3041294402")</f>
        <v>https://shopee.co.id/Dear-Me-Beauty-8-Snap-8-Peptide-Avocado-Extract-Face-Serum-12ml-i.45495764.3041294402</v>
      </c>
      <c r="C280" s="8" t="s">
        <v>70</v>
      </c>
      <c r="D280" s="8" t="s">
        <v>71</v>
      </c>
      <c r="E280" s="8" t="s">
        <v>12</v>
      </c>
      <c r="F280" s="8" t="s">
        <v>13</v>
      </c>
      <c r="G280" s="8" t="s">
        <v>61</v>
      </c>
      <c r="H280" s="16">
        <v>263.0</v>
      </c>
      <c r="I280" s="15" t="str">
        <f>SUBSTITUTE(Sheet1!K280, "Rp", "")</f>
        <v>46504200</v>
      </c>
    </row>
    <row r="281">
      <c r="A281" s="8" t="s">
        <v>545</v>
      </c>
      <c r="B281" s="13" t="str">
        <f>HYPERLINK("https://shopee.co.id/Wardah-Crystallure-Supreme-Activating-Booster-Essence-30-ml-Pelembab-Wajah-i.59763733.6810542741", "https://shopee.co.id/Wardah-Crystallure-Supreme-Activating-Booster-Essence-30-ml-Pelembab-Wajah-i.59763733.6810542741")</f>
        <v>https://shopee.co.id/Wardah-Crystallure-Supreme-Activating-Booster-Essence-30-ml-Pelembab-Wajah-i.59763733.6810542741</v>
      </c>
      <c r="C281" s="8" t="s">
        <v>169</v>
      </c>
      <c r="D281" s="8" t="s">
        <v>170</v>
      </c>
      <c r="E281" s="8" t="s">
        <v>12</v>
      </c>
      <c r="F281" s="8" t="s">
        <v>13</v>
      </c>
      <c r="G281" s="8" t="s">
        <v>98</v>
      </c>
      <c r="H281" s="16">
        <v>263.0</v>
      </c>
      <c r="I281" s="15" t="str">
        <f>SUBSTITUTE(Sheet1!K281, "Rp", "")</f>
        <v>55375000</v>
      </c>
    </row>
    <row r="282">
      <c r="A282" s="8" t="s">
        <v>1007</v>
      </c>
      <c r="B282" s="13" t="str">
        <f>HYPERLINK("https://shopee.co.id/Garnier-Sakura-Glow-Hyaluron-Water-Glow-Essence-Skin-Care-x-2pcs-Untuk-Kulit-Glowing-Dari-Dalam--i.62583853.8051302464", "https://shopee.co.id/Garnier-Sakura-Glow-Hyaluron-Water-Glow-Essence-Skin-Care-x-2pcs-Untuk-Kulit-Glowing-Dari-Dalam--i.62583853.8051302464")</f>
        <v>https://shopee.co.id/Garnier-Sakura-Glow-Hyaluron-Water-Glow-Essence-Skin-Care-x-2pcs-Untuk-Kulit-Glowing-Dari-Dalam--i.62583853.8051302464</v>
      </c>
      <c r="C282" s="8" t="s">
        <v>74</v>
      </c>
      <c r="D282" s="8" t="s">
        <v>75</v>
      </c>
      <c r="E282" s="8" t="s">
        <v>12</v>
      </c>
      <c r="F282" s="8" t="s">
        <v>13</v>
      </c>
      <c r="G282" s="8" t="s">
        <v>61</v>
      </c>
      <c r="H282" s="16">
        <v>261.0</v>
      </c>
      <c r="I282" s="15" t="str">
        <f>SUBSTITUTE(Sheet1!K282, "Rp", "")</f>
        <v>18753300</v>
      </c>
    </row>
    <row r="283">
      <c r="A283" s="8" t="s">
        <v>1024</v>
      </c>
      <c r="B283" s="13" t="str">
        <f>HYPERLINK("https://shopee.co.id/Skin-Aqua-Tone-Up-UV-Essence-40gr-i.30736001.5436807934", "https://shopee.co.id/Skin-Aqua-Tone-Up-UV-Essence-40gr-i.30736001.5436807934")</f>
        <v>https://shopee.co.id/Skin-Aqua-Tone-Up-UV-Essence-40gr-i.30736001.5436807934</v>
      </c>
      <c r="C283" s="8" t="s">
        <v>830</v>
      </c>
      <c r="D283" s="8" t="s">
        <v>335</v>
      </c>
      <c r="E283" s="8" t="s">
        <v>12</v>
      </c>
      <c r="F283" s="8" t="s">
        <v>13</v>
      </c>
      <c r="G283" s="8" t="s">
        <v>36</v>
      </c>
      <c r="H283" s="16">
        <v>260.0</v>
      </c>
      <c r="I283" s="15" t="str">
        <f>SUBSTITUTE(Sheet1!K283, "Rp", "")</f>
        <v>17974000</v>
      </c>
    </row>
    <row r="284">
      <c r="A284" s="8" t="s">
        <v>1094</v>
      </c>
      <c r="B284" s="13" t="str">
        <f>HYPERLINK("https://shopee.co.id/Precious-Skin-Kojic-Brightening-Whitening-Intensive-Serum-Body-Face-Face-Body-Serum-30ml-i.156582062.4512634572", "https://shopee.co.id/Precious-Skin-Kojic-Brightening-Whitening-Intensive-Serum-Body-Face-Face-Body-Serum-30ml-i.156582062.4512634572")</f>
        <v>https://shopee.co.id/Precious-Skin-Kojic-Brightening-Whitening-Intensive-Serum-Body-Face-Face-Body-Serum-30ml-i.156582062.4512634572</v>
      </c>
      <c r="C284" s="8" t="s">
        <v>1095</v>
      </c>
      <c r="D284" s="8" t="s">
        <v>1096</v>
      </c>
      <c r="E284" s="8" t="s">
        <v>12</v>
      </c>
      <c r="F284" s="8" t="s">
        <v>13</v>
      </c>
      <c r="G284" s="8" t="s">
        <v>61</v>
      </c>
      <c r="H284" s="16">
        <v>259.0</v>
      </c>
      <c r="I284" s="15" t="str">
        <f>SUBSTITUTE(Sheet1!K284, "Rp", "")</f>
        <v>15540000</v>
      </c>
    </row>
    <row r="285">
      <c r="A285" s="8" t="s">
        <v>328</v>
      </c>
      <c r="B285" s="13" t="str">
        <f>HYPERLINK("https://shopee.co.id/Bio-Beauty-Lab-Bundling-Phyto-10ml-Acne-Treatment-i.127156054.6393775610", "https://shopee.co.id/Bio-Beauty-Lab-Bundling-Phyto-10ml-Acne-Treatment-i.127156054.6393775610")</f>
        <v>https://shopee.co.id/Bio-Beauty-Lab-Bundling-Phyto-10ml-Acne-Treatment-i.127156054.6393775610</v>
      </c>
      <c r="C285" s="8" t="s">
        <v>120</v>
      </c>
      <c r="D285" s="8" t="s">
        <v>121</v>
      </c>
      <c r="E285" s="8" t="s">
        <v>12</v>
      </c>
      <c r="F285" s="8" t="s">
        <v>13</v>
      </c>
      <c r="G285" s="8" t="s">
        <v>21</v>
      </c>
      <c r="H285" s="16">
        <v>253.0</v>
      </c>
      <c r="I285" s="15" t="str">
        <f>SUBSTITUTE(Sheet1!K285, "Rp", "")</f>
        <v>112874250</v>
      </c>
    </row>
    <row r="286">
      <c r="A286" s="8" t="s">
        <v>953</v>
      </c>
      <c r="B286" s="13" t="str">
        <f>HYPERLINK("https://shopee.co.id/Ella-Skincare-Bye-Oily-Skin-Serum-i.95154428.5633155636", "https://shopee.co.id/Ella-Skincare-Bye-Oily-Skin-Serum-i.95154428.5633155636")</f>
        <v>https://shopee.co.id/Ella-Skincare-Bye-Oily-Skin-Serum-i.95154428.5633155636</v>
      </c>
      <c r="C286" s="8" t="s">
        <v>954</v>
      </c>
      <c r="D286" s="8" t="s">
        <v>598</v>
      </c>
      <c r="E286" s="8" t="s">
        <v>12</v>
      </c>
      <c r="F286" s="8" t="s">
        <v>13</v>
      </c>
      <c r="G286" s="8" t="s">
        <v>409</v>
      </c>
      <c r="H286" s="16">
        <v>252.0</v>
      </c>
      <c r="I286" s="15" t="str">
        <f>SUBSTITUTE(Sheet1!K286, "Rp", "")</f>
        <v>21024750</v>
      </c>
    </row>
    <row r="287">
      <c r="A287" s="8" t="s">
        <v>905</v>
      </c>
      <c r="B287" s="13" t="str">
        <f>HYPERLINK("https://shopee.co.id/GF-TRILOGY-VITAMIN-C-BOOSTER-TREATMENT-5ML-i.53497038.6368870780", "https://shopee.co.id/GF-TRILOGY-VITAMIN-C-BOOSTER-TREATMENT-5ML-i.53497038.6368870780")</f>
        <v>https://shopee.co.id/GF-TRILOGY-VITAMIN-C-BOOSTER-TREATMENT-5ML-i.53497038.6368870780</v>
      </c>
      <c r="C287" s="8" t="s">
        <v>906</v>
      </c>
      <c r="D287" s="8" t="s">
        <v>907</v>
      </c>
      <c r="E287" s="8" t="s">
        <v>12</v>
      </c>
      <c r="F287" s="8" t="s">
        <v>13</v>
      </c>
      <c r="G287" s="8" t="s">
        <v>61</v>
      </c>
      <c r="H287" s="16">
        <v>252.0</v>
      </c>
      <c r="I287" s="15" t="str">
        <f>SUBSTITUTE(Sheet1!K287, "Rp", "")</f>
        <v>23583000</v>
      </c>
    </row>
    <row r="288">
      <c r="A288" s="8" t="s">
        <v>1560</v>
      </c>
      <c r="B288" s="13" t="str">
        <f>HYPERLINK("https://shopee.co.id/Implora-Face-Serum-20ml-Brightening-Acne-Serum-Midnight-Serum-Peeling-Serum-i.50948181.5596856568", "https://shopee.co.id/Implora-Face-Serum-20ml-Brightening-Acne-Serum-Midnight-Serum-Peeling-Serum-i.50948181.5596856568")</f>
        <v>https://shopee.co.id/Implora-Face-Serum-20ml-Brightening-Acne-Serum-Midnight-Serum-Peeling-Serum-i.50948181.5596856568</v>
      </c>
      <c r="C288" s="8" t="s">
        <v>113</v>
      </c>
      <c r="D288" s="8" t="s">
        <v>1129</v>
      </c>
      <c r="E288" s="8" t="s">
        <v>12</v>
      </c>
      <c r="F288" s="8" t="s">
        <v>13</v>
      </c>
      <c r="G288" s="8" t="s">
        <v>1130</v>
      </c>
      <c r="H288" s="16">
        <v>251.0</v>
      </c>
      <c r="I288" s="15" t="str">
        <f>SUBSTITUTE(Sheet1!K288, "Rp", "")</f>
        <v>7016921</v>
      </c>
    </row>
    <row r="289">
      <c r="A289" s="8" t="s">
        <v>1418</v>
      </c>
      <c r="B289" s="13" t="str">
        <f>HYPERLINK("https://shopee.co.id/Garnier-Light-Complete-White-Speed-Day-Serum-Cream-Uva-Uvb-Skin-Care-40-ml-i.62583853.1022726825", "https://shopee.co.id/Garnier-Light-Complete-White-Speed-Day-Serum-Cream-Uva-Uvb-Skin-Care-40-ml-i.62583853.1022726825")</f>
        <v>https://shopee.co.id/Garnier-Light-Complete-White-Speed-Day-Serum-Cream-Uva-Uvb-Skin-Care-40-ml-i.62583853.1022726825</v>
      </c>
      <c r="C289" s="8" t="s">
        <v>74</v>
      </c>
      <c r="D289" s="8" t="s">
        <v>75</v>
      </c>
      <c r="E289" s="8" t="s">
        <v>12</v>
      </c>
      <c r="F289" s="8" t="s">
        <v>13</v>
      </c>
      <c r="G289" s="8" t="s">
        <v>61</v>
      </c>
      <c r="H289" s="16">
        <v>249.0</v>
      </c>
      <c r="I289" s="15" t="str">
        <f>SUBSTITUTE(Sheet1!K289, "Rp", "")</f>
        <v>8584500</v>
      </c>
    </row>
    <row r="290">
      <c r="A290" s="8" t="s">
        <v>1045</v>
      </c>
      <c r="B290" s="13" t="str">
        <f>HYPERLINK("https://shopee.co.id/Clorismen-SC-Serum-i.17760039.8455700158", "https://shopee.co.id/Clorismen-SC-Serum-i.17760039.8455700158")</f>
        <v>https://shopee.co.id/Clorismen-SC-Serum-i.17760039.8455700158</v>
      </c>
      <c r="C290" s="8" t="s">
        <v>1046</v>
      </c>
      <c r="D290" s="8" t="s">
        <v>1047</v>
      </c>
      <c r="E290" s="8" t="s">
        <v>12</v>
      </c>
      <c r="F290" s="8" t="s">
        <v>13</v>
      </c>
      <c r="G290" s="8" t="s">
        <v>1048</v>
      </c>
      <c r="H290" s="16">
        <v>248.0</v>
      </c>
      <c r="I290" s="15" t="str">
        <f>SUBSTITUTE(Sheet1!K290, "Rp", "")</f>
        <v>17112000</v>
      </c>
    </row>
    <row r="291">
      <c r="A291" s="8" t="s">
        <v>741</v>
      </c>
      <c r="B291" s="13" t="str">
        <f>HYPERLINK("https://shopee.co.id/Scarlett-Whitening-Toner-Package-i.255365082.11829844562", "https://shopee.co.id/Scarlett-Whitening-Toner-Package-i.255365082.11829844562")</f>
        <v>https://shopee.co.id/Scarlett-Whitening-Toner-Package-i.255365082.11829844562</v>
      </c>
      <c r="C291" s="8" t="s">
        <v>19</v>
      </c>
      <c r="D291" s="8" t="s">
        <v>20</v>
      </c>
      <c r="E291" s="8" t="s">
        <v>12</v>
      </c>
      <c r="F291" s="8" t="s">
        <v>13</v>
      </c>
      <c r="G291" s="8" t="s">
        <v>21</v>
      </c>
      <c r="H291" s="16">
        <v>248.0</v>
      </c>
      <c r="I291" s="15" t="str">
        <f>SUBSTITUTE(Sheet1!K291, "Rp", "")</f>
        <v>35428000</v>
      </c>
    </row>
    <row r="292">
      <c r="A292" s="8" t="s">
        <v>435</v>
      </c>
      <c r="B292" s="13" t="str">
        <f>HYPERLINK("https://shopee.co.id/Some-By-Mi-Yuja-Niacin-30-Days-Blemish-Care-Serum-i.455311481.11210228422", "https://shopee.co.id/Some-By-Mi-Yuja-Niacin-30-Days-Blemish-Care-Serum-i.455311481.11210228422")</f>
        <v>https://shopee.co.id/Some-By-Mi-Yuja-Niacin-30-Days-Blemish-Care-Serum-i.455311481.11210228422</v>
      </c>
      <c r="C292" s="8" t="s">
        <v>213</v>
      </c>
      <c r="D292" s="8" t="s">
        <v>214</v>
      </c>
      <c r="E292" s="8" t="s">
        <v>12</v>
      </c>
      <c r="F292" s="8" t="s">
        <v>13</v>
      </c>
      <c r="G292" s="8" t="s">
        <v>130</v>
      </c>
      <c r="H292" s="16">
        <v>243.0</v>
      </c>
      <c r="I292" s="15" t="str">
        <f>SUBSTITUTE(Sheet1!K292, "Rp", "")</f>
        <v>74528100</v>
      </c>
    </row>
    <row r="293">
      <c r="A293" s="8" t="s">
        <v>398</v>
      </c>
      <c r="B293" s="13" t="str">
        <f>HYPERLINK("https://shopee.co.id/L-Oreal-Paris-Revitalift-Crystal-Micro-Essence-Serum-Skin-Care-130-ml-x2-Pcs-i.62579622.4448741325", "https://shopee.co.id/L-Oreal-Paris-Revitalift-Crystal-Micro-Essence-Serum-Skin-Care-130-ml-x2-Pcs-i.62579622.4448741325")</f>
        <v>https://shopee.co.id/L-Oreal-Paris-Revitalift-Crystal-Micro-Essence-Serum-Skin-Care-130-ml-x2-Pcs-i.62579622.4448741325</v>
      </c>
      <c r="C293" s="8" t="s">
        <v>105</v>
      </c>
      <c r="D293" s="8" t="s">
        <v>106</v>
      </c>
      <c r="E293" s="8" t="s">
        <v>12</v>
      </c>
      <c r="F293" s="8" t="s">
        <v>13</v>
      </c>
      <c r="G293" s="8" t="s">
        <v>61</v>
      </c>
      <c r="H293" s="16">
        <v>241.0</v>
      </c>
      <c r="I293" s="15" t="str">
        <f>SUBSTITUTE(Sheet1!K293, "Rp", "")</f>
        <v>85461700</v>
      </c>
    </row>
    <row r="294">
      <c r="A294" s="8" t="s">
        <v>871</v>
      </c>
      <c r="B294" s="13" t="str">
        <f>HYPERLINK("https://shopee.co.id/Airnderm-Aesthetic-Serum-Spot-Lightening-by-AIRIN-BEAUTY--i.112372548.1756181423", "https://shopee.co.id/Airnderm-Aesthetic-Serum-Spot-Lightening-by-AIRIN-BEAUTY--i.112372548.1756181423")</f>
        <v>https://shopee.co.id/Airnderm-Aesthetic-Serum-Spot-Lightening-by-AIRIN-BEAUTY--i.112372548.1756181423</v>
      </c>
      <c r="C294" s="8" t="s">
        <v>239</v>
      </c>
      <c r="D294" s="8" t="s">
        <v>240</v>
      </c>
      <c r="E294" s="8" t="s">
        <v>12</v>
      </c>
      <c r="F294" s="8" t="s">
        <v>13</v>
      </c>
      <c r="G294" s="8" t="s">
        <v>241</v>
      </c>
      <c r="H294" s="16">
        <v>239.0</v>
      </c>
      <c r="I294" s="15" t="str">
        <f>SUBSTITUTE(Sheet1!K294, "Rp", "")</f>
        <v>25952900</v>
      </c>
    </row>
    <row r="295">
      <c r="A295" s="8" t="s">
        <v>1273</v>
      </c>
      <c r="B295" s="13" t="str">
        <f>HYPERLINK("https://shopee.co.id/Bio-Essence-BioWhite-Advanced-Whitening-Cleanser-100gr-Foam-Cleanser-i.63822287.1671468816", "https://shopee.co.id/Bio-Essence-BioWhite-Advanced-Whitening-Cleanser-100gr-Foam-Cleanser-i.63822287.1671468816")</f>
        <v>https://shopee.co.id/Bio-Essence-BioWhite-Advanced-Whitening-Cleanser-100gr-Foam-Cleanser-i.63822287.1671468816</v>
      </c>
      <c r="C295" s="8" t="s">
        <v>1254</v>
      </c>
      <c r="D295" s="8" t="s">
        <v>835</v>
      </c>
      <c r="E295" s="8" t="s">
        <v>12</v>
      </c>
      <c r="F295" s="8" t="s">
        <v>13</v>
      </c>
      <c r="G295" s="8" t="s">
        <v>61</v>
      </c>
      <c r="H295" s="16">
        <v>239.0</v>
      </c>
      <c r="I295" s="15" t="str">
        <f>SUBSTITUTE(Sheet1!K295, "Rp", "")</f>
        <v>11289200</v>
      </c>
    </row>
    <row r="296">
      <c r="A296" s="8" t="s">
        <v>1051</v>
      </c>
      <c r="B296" s="13" t="str">
        <f>HYPERLINK("https://shopee.co.id/Bio-Talk-BPOM-Organic-Argan-Oil-Moisturizing-Anti-Aging-i.12803922.232104428", "https://shopee.co.id/Bio-Talk-BPOM-Organic-Argan-Oil-Moisturizing-Anti-Aging-i.12803922.232104428")</f>
        <v>https://shopee.co.id/Bio-Talk-BPOM-Organic-Argan-Oil-Moisturizing-Anti-Aging-i.12803922.232104428</v>
      </c>
      <c r="C296" s="8" t="s">
        <v>643</v>
      </c>
      <c r="D296" s="8" t="s">
        <v>644</v>
      </c>
      <c r="E296" s="8" t="s">
        <v>12</v>
      </c>
      <c r="F296" s="8" t="s">
        <v>13</v>
      </c>
      <c r="G296" s="8" t="s">
        <v>21</v>
      </c>
      <c r="H296" s="16">
        <v>239.0</v>
      </c>
      <c r="I296" s="15" t="str">
        <f>SUBSTITUTE(Sheet1!K296, "Rp", "")</f>
        <v>16879830</v>
      </c>
    </row>
    <row r="297">
      <c r="A297" s="8" t="s">
        <v>431</v>
      </c>
      <c r="B297" s="13" t="str">
        <f>HYPERLINK("https://shopee.co.id/-Official-Distributor-Klairs-Freshly-Juiced-Vitamin-Drop-35ml-i.63803418.1188686391", "https://shopee.co.id/-Official-Distributor-Klairs-Freshly-Juiced-Vitamin-Drop-35ml-i.63803418.1188686391")</f>
        <v>https://shopee.co.id/-Official-Distributor-Klairs-Freshly-Juiced-Vitamin-Drop-35ml-i.63803418.1188686391</v>
      </c>
      <c r="C297" s="8" t="s">
        <v>432</v>
      </c>
      <c r="D297" s="8" t="s">
        <v>433</v>
      </c>
      <c r="E297" s="8" t="s">
        <v>12</v>
      </c>
      <c r="F297" s="8" t="s">
        <v>13</v>
      </c>
      <c r="G297" s="8" t="s">
        <v>21</v>
      </c>
      <c r="H297" s="16">
        <v>237.0</v>
      </c>
      <c r="I297" s="15" t="str">
        <f>SUBSTITUTE(Sheet1!K297, "Rp", "")</f>
        <v>74676455</v>
      </c>
    </row>
    <row r="298">
      <c r="A298" s="8" t="s">
        <v>1345</v>
      </c>
      <c r="B298" s="13" t="str">
        <f>HYPERLINK("https://shopee.co.id/-BPOM-BREYLEE-Serum-Vitamin-C-Mencerahkan-Wajah-17ml--i.324706771.9411540730", "https://shopee.co.id/-BPOM-BREYLEE-Serum-Vitamin-C-Mencerahkan-Wajah-17ml--i.324706771.9411540730")</f>
        <v>https://shopee.co.id/-BPOM-BREYLEE-Serum-Vitamin-C-Mencerahkan-Wajah-17ml--i.324706771.9411540730</v>
      </c>
      <c r="C298" s="8" t="s">
        <v>852</v>
      </c>
      <c r="D298" s="8" t="s">
        <v>853</v>
      </c>
      <c r="E298" s="8" t="s">
        <v>12</v>
      </c>
      <c r="F298" s="8" t="s">
        <v>13</v>
      </c>
      <c r="G298" s="8" t="s">
        <v>532</v>
      </c>
      <c r="H298" s="16">
        <v>236.0</v>
      </c>
      <c r="I298" s="15" t="str">
        <f>SUBSTITUTE(Sheet1!K298, "Rp", "")</f>
        <v>9966500</v>
      </c>
    </row>
    <row r="299">
      <c r="A299" s="8" t="s">
        <v>1067</v>
      </c>
      <c r="B299" s="13" t="str">
        <f>HYPERLINK("https://shopee.co.id/BREYLEE-SETS-of-SERUM-C-Mencerahkan-Mengecilkan-Pori-Wajah-2pcs--i.324706771.5768810252", "https://shopee.co.id/BREYLEE-SETS-of-SERUM-C-Mencerahkan-Mengecilkan-Pori-Wajah-2pcs--i.324706771.5768810252")</f>
        <v>https://shopee.co.id/BREYLEE-SETS-of-SERUM-C-Mencerahkan-Mengecilkan-Pori-Wajah-2pcs--i.324706771.5768810252</v>
      </c>
      <c r="C299" s="8" t="s">
        <v>852</v>
      </c>
      <c r="D299" s="8" t="s">
        <v>853</v>
      </c>
      <c r="E299" s="8" t="s">
        <v>12</v>
      </c>
      <c r="F299" s="8" t="s">
        <v>13</v>
      </c>
      <c r="G299" s="8" t="s">
        <v>532</v>
      </c>
      <c r="H299" s="16">
        <v>236.0</v>
      </c>
      <c r="I299" s="15" t="str">
        <f>SUBSTITUTE(Sheet1!K299, "Rp", "")</f>
        <v>16398600</v>
      </c>
    </row>
    <row r="300">
      <c r="A300" s="8" t="s">
        <v>1894</v>
      </c>
      <c r="B300" s="13" t="str">
        <f>HYPERLINK("https://shopee.co.id/Dove-Deodorant-Dry-Serum-Regenerate-Care-Collagen-Vitamin-B3-Anti-Bakteri-50-mL-i.65323877.9579894325", "https://shopee.co.id/Dove-Deodorant-Dry-Serum-Regenerate-Care-Collagen-Vitamin-B3-Anti-Bakteri-50-mL-i.65323877.9579894325")</f>
        <v>https://shopee.co.id/Dove-Deodorant-Dry-Serum-Regenerate-Care-Collagen-Vitamin-B3-Anti-Bakteri-50-mL-i.65323877.9579894325</v>
      </c>
      <c r="C300" s="8" t="s">
        <v>591</v>
      </c>
      <c r="D300" s="8" t="s">
        <v>1600</v>
      </c>
      <c r="E300" s="8" t="s">
        <v>12</v>
      </c>
      <c r="F300" s="8" t="s">
        <v>13</v>
      </c>
      <c r="G300" s="8" t="s">
        <v>296</v>
      </c>
      <c r="H300" s="16">
        <v>235.0</v>
      </c>
      <c r="I300" s="15" t="str">
        <f>SUBSTITUTE(Sheet1!K300, "Rp", "")</f>
        <v>4044300</v>
      </c>
    </row>
    <row r="301">
      <c r="A301" s="8" t="s">
        <v>821</v>
      </c>
      <c r="B301" s="13" t="str">
        <f>HYPERLINK("https://shopee.co.id/Dear-Me-Beauty-10-Cica-Watermelon-Extract-Face-Serum-32ml-i.45495764.9748394545", "https://shopee.co.id/Dear-Me-Beauty-10-Cica-Watermelon-Extract-Face-Serum-32ml-i.45495764.9748394545")</f>
        <v>https://shopee.co.id/Dear-Me-Beauty-10-Cica-Watermelon-Extract-Face-Serum-32ml-i.45495764.9748394545</v>
      </c>
      <c r="C301" s="8" t="s">
        <v>70</v>
      </c>
      <c r="D301" s="8" t="s">
        <v>71</v>
      </c>
      <c r="E301" s="8" t="s">
        <v>12</v>
      </c>
      <c r="F301" s="8" t="s">
        <v>13</v>
      </c>
      <c r="G301" s="8" t="s">
        <v>61</v>
      </c>
      <c r="H301" s="16">
        <v>232.0</v>
      </c>
      <c r="I301" s="15" t="str">
        <f>SUBSTITUTE(Sheet1!K301, "Rp", "")</f>
        <v>29489400</v>
      </c>
    </row>
    <row r="302">
      <c r="A302" s="8" t="s">
        <v>388</v>
      </c>
      <c r="B302" s="13" t="str">
        <f>HYPERLINK("https://shopee.co.id/Laneige-Clear-C-Peeling-Serum-80ml-OL21--i.52917348.7817272182", "https://shopee.co.id/Laneige-Clear-C-Peeling-Serum-80ml-OL21--i.52917348.7817272182")</f>
        <v>https://shopee.co.id/Laneige-Clear-C-Peeling-Serum-80ml-OL21--i.52917348.7817272182</v>
      </c>
      <c r="C302" s="8" t="s">
        <v>364</v>
      </c>
      <c r="D302" s="8" t="s">
        <v>365</v>
      </c>
      <c r="E302" s="8" t="s">
        <v>12</v>
      </c>
      <c r="F302" s="8" t="s">
        <v>13</v>
      </c>
      <c r="G302" s="8" t="s">
        <v>61</v>
      </c>
      <c r="H302" s="16">
        <v>232.0</v>
      </c>
      <c r="I302" s="15" t="str">
        <f>SUBSTITUTE(Sheet1!K302, "Rp", "")</f>
        <v>88697000</v>
      </c>
    </row>
    <row r="303">
      <c r="A303" s="8" t="s">
        <v>729</v>
      </c>
      <c r="B303" s="13" t="str">
        <f>HYPERLINK("https://shopee.co.id/Dear-Me-Beauty-1-Bakuchiol-Blueberry-Extract-Face-Serum-32ml-i.45495764.9148396967", "https://shopee.co.id/Dear-Me-Beauty-1-Bakuchiol-Blueberry-Extract-Face-Serum-32ml-i.45495764.9148396967")</f>
        <v>https://shopee.co.id/Dear-Me-Beauty-1-Bakuchiol-Blueberry-Extract-Face-Serum-32ml-i.45495764.9148396967</v>
      </c>
      <c r="C303" s="8" t="s">
        <v>70</v>
      </c>
      <c r="D303" s="8" t="s">
        <v>71</v>
      </c>
      <c r="E303" s="8" t="s">
        <v>12</v>
      </c>
      <c r="F303" s="8" t="s">
        <v>13</v>
      </c>
      <c r="G303" s="8" t="s">
        <v>61</v>
      </c>
      <c r="H303" s="16">
        <v>231.0</v>
      </c>
      <c r="I303" s="15" t="str">
        <f>SUBSTITUTE(Sheet1!K303, "Rp", "")</f>
        <v>36108900</v>
      </c>
    </row>
    <row r="304">
      <c r="A304" s="8" t="s">
        <v>781</v>
      </c>
      <c r="B304" s="13" t="str">
        <f>HYPERLINK("https://shopee.co.id/Noera-Bright-Glow-Serum-Serum-Wajah-Brightening-Glowing-Moisturizer-Anti-Aging-i.10339663.6790754978", "https://shopee.co.id/Noera-Bright-Glow-Serum-Serum-Wajah-Brightening-Glowing-Moisturizer-Anti-Aging-i.10339663.6790754978")</f>
        <v>https://shopee.co.id/Noera-Bright-Glow-Serum-Serum-Wajah-Brightening-Glowing-Moisturizer-Anti-Aging-i.10339663.6790754978</v>
      </c>
      <c r="C304" s="8" t="s">
        <v>517</v>
      </c>
      <c r="D304" s="8" t="s">
        <v>518</v>
      </c>
      <c r="E304" s="8" t="s">
        <v>12</v>
      </c>
      <c r="F304" s="8" t="s">
        <v>13</v>
      </c>
      <c r="G304" s="8" t="s">
        <v>370</v>
      </c>
      <c r="H304" s="16">
        <v>230.0</v>
      </c>
      <c r="I304" s="15" t="str">
        <f>SUBSTITUTE(Sheet1!K304, "Rp", "")</f>
        <v>31970000</v>
      </c>
    </row>
    <row r="305">
      <c r="A305" s="8" t="s">
        <v>1115</v>
      </c>
      <c r="B305" s="13" t="str">
        <f>HYPERLINK("https://shopee.co.id/I-Face-Vitamin-C-Serum-10-mL-i.207650136.7712990083", "https://shopee.co.id/I-Face-Vitamin-C-Serum-10-mL-i.207650136.7712990083")</f>
        <v>https://shopee.co.id/I-Face-Vitamin-C-Serum-10-mL-i.207650136.7712990083</v>
      </c>
      <c r="C305" s="8" t="s">
        <v>1116</v>
      </c>
      <c r="D305" s="8" t="s">
        <v>1117</v>
      </c>
      <c r="E305" s="8" t="s">
        <v>12</v>
      </c>
      <c r="F305" s="8" t="s">
        <v>13</v>
      </c>
      <c r="G305" s="8" t="s">
        <v>21</v>
      </c>
      <c r="H305" s="16">
        <v>229.0</v>
      </c>
      <c r="I305" s="15" t="str">
        <f>SUBSTITUTE(Sheet1!K305, "Rp", "")</f>
        <v>14837456</v>
      </c>
    </row>
    <row r="306">
      <c r="A306" s="8" t="s">
        <v>1100</v>
      </c>
      <c r="B306" s="13" t="str">
        <f>HYPERLINK("https://shopee.co.id/Wardah-White-Secret-Intense-Brightening-Essence-17-ml-Serum-Mencerahkan-dengan-Silver-Vine-Extract-i.59763733.1080194912", "https://shopee.co.id/Wardah-White-Secret-Intense-Brightening-Essence-17-ml-Serum-Mencerahkan-dengan-Silver-Vine-Extract-i.59763733.1080194912")</f>
        <v>https://shopee.co.id/Wardah-White-Secret-Intense-Brightening-Essence-17-ml-Serum-Mencerahkan-dengan-Silver-Vine-Extract-i.59763733.1080194912</v>
      </c>
      <c r="C306" s="8" t="s">
        <v>169</v>
      </c>
      <c r="D306" s="8" t="s">
        <v>170</v>
      </c>
      <c r="E306" s="8" t="s">
        <v>12</v>
      </c>
      <c r="F306" s="8" t="s">
        <v>13</v>
      </c>
      <c r="G306" s="8" t="s">
        <v>98</v>
      </c>
      <c r="H306" s="16">
        <v>229.0</v>
      </c>
      <c r="I306" s="15" t="str">
        <f>SUBSTITUTE(Sheet1!K306, "Rp", "")</f>
        <v>15205600</v>
      </c>
    </row>
    <row r="307">
      <c r="A307" s="8" t="s">
        <v>709</v>
      </c>
      <c r="B307" s="13" t="str">
        <f>HYPERLINK("https://shopee.co.id/Axis-Y-Dark-Spot-Correcting-Glow-Serum-i.270965687.8014633911", "https://shopee.co.id/Axis-Y-Dark-Spot-Correcting-Glow-Serum-i.270965687.8014633911")</f>
        <v>https://shopee.co.id/Axis-Y-Dark-Spot-Correcting-Glow-Serum-i.270965687.8014633911</v>
      </c>
      <c r="C307" s="8" t="s">
        <v>710</v>
      </c>
      <c r="D307" s="8" t="s">
        <v>379</v>
      </c>
      <c r="E307" s="8" t="s">
        <v>12</v>
      </c>
      <c r="F307" s="8" t="s">
        <v>13</v>
      </c>
      <c r="G307" s="8" t="s">
        <v>380</v>
      </c>
      <c r="H307" s="16">
        <v>228.0</v>
      </c>
      <c r="I307" s="15" t="str">
        <f>SUBSTITUTE(Sheet1!K307, "Rp", "")</f>
        <v>37620000</v>
      </c>
    </row>
    <row r="308">
      <c r="A308" s="8" t="s">
        <v>900</v>
      </c>
      <c r="B308" s="13" t="str">
        <f>HYPERLINK("https://shopee.co.id/Dear-Me-Beauty-Retinol-Blueberry-Extract-Face-Serum-12ml-i.45495764.9748394452", "https://shopee.co.id/Dear-Me-Beauty-Retinol-Blueberry-Extract-Face-Serum-12ml-i.45495764.9748394452")</f>
        <v>https://shopee.co.id/Dear-Me-Beauty-Retinol-Blueberry-Extract-Face-Serum-12ml-i.45495764.9748394452</v>
      </c>
      <c r="C308" s="8" t="s">
        <v>70</v>
      </c>
      <c r="D308" s="8" t="s">
        <v>71</v>
      </c>
      <c r="E308" s="8" t="s">
        <v>12</v>
      </c>
      <c r="F308" s="8" t="s">
        <v>13</v>
      </c>
      <c r="G308" s="8" t="s">
        <v>61</v>
      </c>
      <c r="H308" s="16">
        <v>224.0</v>
      </c>
      <c r="I308" s="15" t="str">
        <f>SUBSTITUTE(Sheet1!K308, "Rp", "")</f>
        <v>24050850</v>
      </c>
    </row>
    <row r="309">
      <c r="A309" s="8" t="s">
        <v>983</v>
      </c>
      <c r="B309" s="13" t="str">
        <f>HYPERLINK("https://shopee.co.id/Bio-Essence-Bio-Gold-Water-Essence-30ml-Perawatan-Wajah-Anti-Aging-i.63822287.1222692632", "https://shopee.co.id/Bio-Essence-Bio-Gold-Water-Essence-30ml-Perawatan-Wajah-Anti-Aging-i.63822287.1222692632")</f>
        <v>https://shopee.co.id/Bio-Essence-Bio-Gold-Water-Essence-30ml-Perawatan-Wajah-Anti-Aging-i.63822287.1222692632</v>
      </c>
      <c r="C309" s="8" t="s">
        <v>834</v>
      </c>
      <c r="D309" s="8" t="s">
        <v>835</v>
      </c>
      <c r="E309" s="8" t="s">
        <v>12</v>
      </c>
      <c r="F309" s="8" t="s">
        <v>13</v>
      </c>
      <c r="G309" s="8" t="s">
        <v>61</v>
      </c>
      <c r="H309" s="16">
        <v>223.0</v>
      </c>
      <c r="I309" s="15" t="str">
        <f>SUBSTITUTE(Sheet1!K309, "Rp", "")</f>
        <v>19639800</v>
      </c>
    </row>
    <row r="310">
      <c r="A310" s="8" t="s">
        <v>750</v>
      </c>
      <c r="B310" s="13" t="str">
        <f>HYPERLINK("https://shopee.co.id/Garnier-Sakura-White-Perfect-Glow-Skin-Care-Booster-Serum-30-ml-Glow-Essence-100-ml-i.62583853.8142399933", "https://shopee.co.id/Garnier-Sakura-White-Perfect-Glow-Skin-Care-Booster-Serum-30-ml-Glow-Essence-100-ml-i.62583853.8142399933")</f>
        <v>https://shopee.co.id/Garnier-Sakura-White-Perfect-Glow-Skin-Care-Booster-Serum-30-ml-Glow-Essence-100-ml-i.62583853.8142399933</v>
      </c>
      <c r="C310" s="8" t="s">
        <v>74</v>
      </c>
      <c r="D310" s="8" t="s">
        <v>75</v>
      </c>
      <c r="E310" s="8" t="s">
        <v>12</v>
      </c>
      <c r="F310" s="8" t="s">
        <v>13</v>
      </c>
      <c r="G310" s="8" t="s">
        <v>61</v>
      </c>
      <c r="H310" s="16">
        <v>223.0</v>
      </c>
      <c r="I310" s="15" t="str">
        <f>SUBSTITUTE(Sheet1!K310, "Rp", "")</f>
        <v>35035900</v>
      </c>
    </row>
    <row r="311">
      <c r="A311" s="8" t="s">
        <v>599</v>
      </c>
      <c r="B311" s="13" t="str">
        <f>HYPERLINK("https://shopee.co.id/Olay-White-Radiance-Niacinamide-Vitamin-C-Super-Serum-Brightening-Skincare-30ML-i.11487927.6879004484", "https://shopee.co.id/Olay-White-Radiance-Niacinamide-Vitamin-C-Super-Serum-Brightening-Skincare-30ML-i.11487927.6879004484")</f>
        <v>https://shopee.co.id/Olay-White-Radiance-Niacinamide-Vitamin-C-Super-Serum-Brightening-Skincare-30ML-i.11487927.6879004484</v>
      </c>
      <c r="C311" s="8" t="s">
        <v>317</v>
      </c>
      <c r="D311" s="8" t="s">
        <v>318</v>
      </c>
      <c r="E311" s="8" t="s">
        <v>12</v>
      </c>
      <c r="F311" s="8" t="s">
        <v>13</v>
      </c>
      <c r="G311" s="8" t="s">
        <v>296</v>
      </c>
      <c r="H311" s="16">
        <v>223.0</v>
      </c>
      <c r="I311" s="15" t="str">
        <f>SUBSTITUTE(Sheet1!K311, "Rp", "")</f>
        <v>48677100</v>
      </c>
    </row>
    <row r="312">
      <c r="A312" s="8" t="s">
        <v>629</v>
      </c>
      <c r="B312" s="13" t="str">
        <f>HYPERLINK("https://shopee.co.id/Wardah-Crystallure-Supreme-Revitalizing-Oil-Serum-30-ml-Pelembab-Wajah-Mengandung-7-botanical-oil-i.59763733.4310543261", "https://shopee.co.id/Wardah-Crystallure-Supreme-Revitalizing-Oil-Serum-30-ml-Pelembab-Wajah-Mengandung-7-botanical-oil-i.59763733.4310543261")</f>
        <v>https://shopee.co.id/Wardah-Crystallure-Supreme-Revitalizing-Oil-Serum-30-ml-Pelembab-Wajah-Mengandung-7-botanical-oil-i.59763733.4310543261</v>
      </c>
      <c r="C312" s="8" t="s">
        <v>169</v>
      </c>
      <c r="D312" s="8" t="s">
        <v>170</v>
      </c>
      <c r="E312" s="8" t="s">
        <v>12</v>
      </c>
      <c r="F312" s="8" t="s">
        <v>13</v>
      </c>
      <c r="G312" s="8" t="s">
        <v>98</v>
      </c>
      <c r="H312" s="16">
        <v>222.0</v>
      </c>
      <c r="I312" s="15" t="str">
        <f>SUBSTITUTE(Sheet1!K312, "Rp", "")</f>
        <v>46125000</v>
      </c>
    </row>
    <row r="313">
      <c r="A313" s="8" t="s">
        <v>737</v>
      </c>
      <c r="B313" s="13" t="str">
        <f>HYPERLINK("https://shopee.co.id/Jarkeen-Skin-Purifier-Gel-Serum-Glow-Serum--i.147936010.2379353995", "https://shopee.co.id/Jarkeen-Skin-Purifier-Gel-Serum-Glow-Serum--i.147936010.2379353995")</f>
        <v>https://shopee.co.id/Jarkeen-Skin-Purifier-Gel-Serum-Glow-Serum--i.147936010.2379353995</v>
      </c>
      <c r="C313" s="8" t="s">
        <v>738</v>
      </c>
      <c r="D313" s="8" t="s">
        <v>739</v>
      </c>
      <c r="E313" s="8" t="s">
        <v>12</v>
      </c>
      <c r="F313" s="8" t="s">
        <v>13</v>
      </c>
      <c r="G313" s="8" t="s">
        <v>241</v>
      </c>
      <c r="H313" s="16">
        <v>221.0</v>
      </c>
      <c r="I313" s="15" t="str">
        <f>SUBSTITUTE(Sheet1!K313, "Rp", "")</f>
        <v>35469000</v>
      </c>
    </row>
    <row r="314">
      <c r="A314" s="8" t="s">
        <v>877</v>
      </c>
      <c r="B314" s="13" t="str">
        <f>HYPERLINK("https://shopee.co.id/SOMETHINC-HYAluronic9-ADVANCED-B5-20ml-i.270965687.5191536771", "https://shopee.co.id/SOMETHINC-HYAluronic9-ADVANCED-B5-20ml-i.270965687.5191536771")</f>
        <v>https://shopee.co.id/SOMETHINC-HYAluronic9-ADVANCED-B5-20ml-i.270965687.5191536771</v>
      </c>
      <c r="C314" s="8" t="s">
        <v>45</v>
      </c>
      <c r="D314" s="8" t="s">
        <v>379</v>
      </c>
      <c r="E314" s="8" t="s">
        <v>12</v>
      </c>
      <c r="F314" s="8" t="s">
        <v>13</v>
      </c>
      <c r="G314" s="8" t="s">
        <v>380</v>
      </c>
      <c r="H314" s="16">
        <v>221.0</v>
      </c>
      <c r="I314" s="15" t="str">
        <f>SUBSTITUTE(Sheet1!K314, "Rp", "")</f>
        <v>25458000</v>
      </c>
    </row>
    <row r="315">
      <c r="A315" s="8" t="s">
        <v>1178</v>
      </c>
      <c r="B315" s="13" t="str">
        <f>HYPERLINK("https://shopee.co.id/Viva-Queen-Whitening-Advanced-Face-Serum-i.18233004.5939050235", "https://shopee.co.id/Viva-Queen-Whitening-Advanced-Face-Serum-i.18233004.5939050235")</f>
        <v>https://shopee.co.id/Viva-Queen-Whitening-Advanced-Face-Serum-i.18233004.5939050235</v>
      </c>
      <c r="C315" s="8" t="s">
        <v>647</v>
      </c>
      <c r="D315" s="8" t="s">
        <v>1179</v>
      </c>
      <c r="E315" s="8" t="s">
        <v>12</v>
      </c>
      <c r="F315" s="8" t="s">
        <v>13</v>
      </c>
      <c r="G315" s="8" t="s">
        <v>469</v>
      </c>
      <c r="H315" s="16">
        <v>221.0</v>
      </c>
      <c r="I315" s="15" t="str">
        <f>SUBSTITUTE(Sheet1!K315, "Rp", "")</f>
        <v>13410320</v>
      </c>
    </row>
    <row r="316">
      <c r="A316" s="8" t="s">
        <v>595</v>
      </c>
      <c r="B316" s="13" t="str">
        <f>HYPERLINK("https://shopee.co.id/Olay-Serum-Wajah-RETINOL-24-Anti-Aging-Skincare-30ml-i.11487927.6744303952", "https://shopee.co.id/Olay-Serum-Wajah-RETINOL-24-Anti-Aging-Skincare-30ml-i.11487927.6744303952")</f>
        <v>https://shopee.co.id/Olay-Serum-Wajah-RETINOL-24-Anti-Aging-Skincare-30ml-i.11487927.6744303952</v>
      </c>
      <c r="C316" s="8" t="s">
        <v>317</v>
      </c>
      <c r="D316" s="8" t="s">
        <v>318</v>
      </c>
      <c r="E316" s="8" t="s">
        <v>12</v>
      </c>
      <c r="F316" s="8" t="s">
        <v>13</v>
      </c>
      <c r="G316" s="8" t="s">
        <v>296</v>
      </c>
      <c r="H316" s="16">
        <v>220.0</v>
      </c>
      <c r="I316" s="15" t="str">
        <f>SUBSTITUTE(Sheet1!K316, "Rp", "")</f>
        <v>49024100</v>
      </c>
    </row>
    <row r="317">
      <c r="A317" s="8" t="s">
        <v>990</v>
      </c>
      <c r="B317" s="13" t="str">
        <f>HYPERLINK("https://shopee.co.id/SOMETHINC-5-Niacinamide-Moisture-Sabi-Beet-Serum-20ml-5-sabi--i.68111.9611040642", "https://shopee.co.id/SOMETHINC-5-Niacinamide-Moisture-Sabi-Beet-Serum-20ml-5-sabi--i.68111.9611040642")</f>
        <v>https://shopee.co.id/SOMETHINC-5-Niacinamide-Moisture-Sabi-Beet-Serum-20ml-5-sabi--i.68111.9611040642</v>
      </c>
      <c r="C317" s="8" t="s">
        <v>45</v>
      </c>
      <c r="D317" s="8" t="s">
        <v>441</v>
      </c>
      <c r="E317" s="8" t="s">
        <v>12</v>
      </c>
      <c r="F317" s="8" t="s">
        <v>13</v>
      </c>
      <c r="G317" s="8" t="s">
        <v>130</v>
      </c>
      <c r="H317" s="16">
        <v>220.0</v>
      </c>
      <c r="I317" s="15" t="str">
        <f>SUBSTITUTE(Sheet1!K317, "Rp", "")</f>
        <v>19580000</v>
      </c>
    </row>
    <row r="318">
      <c r="A318" s="8" t="s">
        <v>1381</v>
      </c>
      <c r="B318" s="13" t="str">
        <f>HYPERLINK("https://shopee.co.id/Mineral-Botanica-Age-Defying-Serum-i.124549994.1922724921", "https://shopee.co.id/Mineral-Botanica-Age-Defying-Serum-i.124549994.1922724921")</f>
        <v>https://shopee.co.id/Mineral-Botanica-Age-Defying-Serum-i.124549994.1922724921</v>
      </c>
      <c r="C318" s="8" t="s">
        <v>807</v>
      </c>
      <c r="D318" s="8" t="s">
        <v>808</v>
      </c>
      <c r="E318" s="8" t="s">
        <v>12</v>
      </c>
      <c r="F318" s="8" t="s">
        <v>13</v>
      </c>
      <c r="G318" s="8" t="s">
        <v>61</v>
      </c>
      <c r="H318" s="16">
        <v>219.0</v>
      </c>
      <c r="I318" s="15" t="str">
        <f>SUBSTITUTE(Sheet1!K318, "Rp", "")</f>
        <v>9329190</v>
      </c>
    </row>
    <row r="319">
      <c r="A319" s="8" t="s">
        <v>1888</v>
      </c>
      <c r="B319" s="13" t="str">
        <f>HYPERLINK("https://shopee.co.id/Rojukiss-Tea-Tree-Bija-Pro-Acne-Serum-size-8-ml-Edit-by-Sociolla-i.224957239.8851323604", "https://shopee.co.id/Rojukiss-Tea-Tree-Bija-Pro-Acne-Serum-size-8-ml-Edit-by-Sociolla-i.224957239.8851323604")</f>
        <v>https://shopee.co.id/Rojukiss-Tea-Tree-Bija-Pro-Acne-Serum-size-8-ml-Edit-by-Sociolla-i.224957239.8851323604</v>
      </c>
      <c r="C319" s="8" t="s">
        <v>1508</v>
      </c>
      <c r="D319" s="8" t="s">
        <v>492</v>
      </c>
      <c r="E319" s="8" t="s">
        <v>12</v>
      </c>
      <c r="F319" s="8" t="s">
        <v>13</v>
      </c>
      <c r="G319" s="8" t="s">
        <v>21</v>
      </c>
      <c r="H319" s="16">
        <v>219.0</v>
      </c>
      <c r="I319" s="15" t="str">
        <f>SUBSTITUTE(Sheet1!K319, "Rp", "")</f>
        <v>4128150</v>
      </c>
    </row>
    <row r="320">
      <c r="A320" s="8" t="s">
        <v>712</v>
      </c>
      <c r="B320" s="13" t="str">
        <f>HYPERLINK("https://shopee.co.id/Benton-Snail-Bee-High-Content-Essence-i.125116082.2753310957", "https://shopee.co.id/Benton-Snail-Bee-High-Content-Essence-i.125116082.2753310957")</f>
        <v>https://shopee.co.id/Benton-Snail-Bee-High-Content-Essence-i.125116082.2753310957</v>
      </c>
      <c r="C320" s="8" t="s">
        <v>456</v>
      </c>
      <c r="D320" s="8" t="s">
        <v>713</v>
      </c>
      <c r="E320" s="8" t="s">
        <v>12</v>
      </c>
      <c r="F320" s="8" t="s">
        <v>13</v>
      </c>
      <c r="G320" s="8" t="s">
        <v>61</v>
      </c>
      <c r="H320" s="16">
        <v>218.0</v>
      </c>
      <c r="I320" s="15" t="str">
        <f>SUBSTITUTE(Sheet1!K320, "Rp", "")</f>
        <v>37608000</v>
      </c>
    </row>
    <row r="321">
      <c r="A321" s="8" t="s">
        <v>687</v>
      </c>
      <c r="B321" s="13" t="str">
        <f>HYPERLINK("https://shopee.co.id/Olay-Serum-Wajah-Regenerist-Youth-Pre-Essence-Advanced-Anti-Aging-Skincare-40ml-i.11487927.1086535011", "https://shopee.co.id/Olay-Serum-Wajah-Regenerist-Youth-Pre-Essence-Advanced-Anti-Aging-Skincare-40ml-i.11487927.1086535011")</f>
        <v>https://shopee.co.id/Olay-Serum-Wajah-Regenerist-Youth-Pre-Essence-Advanced-Anti-Aging-Skincare-40ml-i.11487927.1086535011</v>
      </c>
      <c r="C321" s="8" t="s">
        <v>317</v>
      </c>
      <c r="D321" s="8" t="s">
        <v>318</v>
      </c>
      <c r="E321" s="8" t="s">
        <v>12</v>
      </c>
      <c r="F321" s="8" t="s">
        <v>13</v>
      </c>
      <c r="G321" s="8" t="s">
        <v>296</v>
      </c>
      <c r="H321" s="16">
        <v>217.0</v>
      </c>
      <c r="I321" s="15" t="str">
        <f>SUBSTITUTE(Sheet1!K321, "Rp", "")</f>
        <v>41003100</v>
      </c>
    </row>
    <row r="322">
      <c r="A322" s="8" t="s">
        <v>939</v>
      </c>
      <c r="B322" s="13" t="str">
        <f>HYPERLINK("https://shopee.co.id/Purivera-Everlasting-Tamanu-Serum-Oil-Scar-Repair-Bopeng-Truecica-Snail-Cica-Alternative-i.43724442.4179776535", "https://shopee.co.id/Purivera-Everlasting-Tamanu-Serum-Oil-Scar-Repair-Bopeng-Truecica-Snail-Cica-Alternative-i.43724442.4179776535")</f>
        <v>https://shopee.co.id/Purivera-Everlasting-Tamanu-Serum-Oil-Scar-Repair-Bopeng-Truecica-Snail-Cica-Alternative-i.43724442.4179776535</v>
      </c>
      <c r="C322" s="8" t="s">
        <v>940</v>
      </c>
      <c r="D322" s="8" t="s">
        <v>429</v>
      </c>
      <c r="E322" s="8" t="s">
        <v>12</v>
      </c>
      <c r="F322" s="8" t="s">
        <v>13</v>
      </c>
      <c r="G322" s="8" t="s">
        <v>61</v>
      </c>
      <c r="H322" s="16">
        <v>217.0</v>
      </c>
      <c r="I322" s="15" t="str">
        <f>SUBSTITUTE(Sheet1!K322, "Rp", "")</f>
        <v>21630000</v>
      </c>
    </row>
    <row r="323">
      <c r="A323" s="8" t="s">
        <v>1147</v>
      </c>
      <c r="B323" s="13" t="str">
        <f>HYPERLINK("https://shopee.co.id/Scarlett-Whitening-Serum-Acne-Brightly-Ever-After-Glowtening-15ml-i.136011044.5243010493", "https://shopee.co.id/Scarlett-Whitening-Serum-Acne-Brightly-Ever-After-Glowtening-15ml-i.136011044.5243010493")</f>
        <v>https://shopee.co.id/Scarlett-Whitening-Serum-Acne-Brightly-Ever-After-Glowtening-15ml-i.136011044.5243010493</v>
      </c>
      <c r="C323" s="8" t="s">
        <v>19</v>
      </c>
      <c r="D323" s="8" t="s">
        <v>632</v>
      </c>
      <c r="E323" s="8" t="s">
        <v>12</v>
      </c>
      <c r="F323" s="8" t="s">
        <v>13</v>
      </c>
      <c r="G323" s="8" t="s">
        <v>21</v>
      </c>
      <c r="H323" s="16">
        <v>217.0</v>
      </c>
      <c r="I323" s="15" t="str">
        <f>SUBSTITUTE(Sheet1!K323, "Rp", "")</f>
        <v>14105000</v>
      </c>
    </row>
    <row r="324">
      <c r="A324" s="8" t="s">
        <v>827</v>
      </c>
      <c r="B324" s="13" t="str">
        <f>HYPERLINK("https://shopee.co.id/Garnier-Light-Complete-Daily-Treatment-Skin-Care-Rangkaian-Lengkap-Untuk-Kulit-Cerah-Cepat--i.62583853.6059431253", "https://shopee.co.id/Garnier-Light-Complete-Daily-Treatment-Skin-Care-Rangkaian-Lengkap-Untuk-Kulit-Cerah-Cepat--i.62583853.6059431253")</f>
        <v>https://shopee.co.id/Garnier-Light-Complete-Daily-Treatment-Skin-Care-Rangkaian-Lengkap-Untuk-Kulit-Cerah-Cepat--i.62583853.6059431253</v>
      </c>
      <c r="C324" s="8" t="s">
        <v>74</v>
      </c>
      <c r="D324" s="8" t="s">
        <v>75</v>
      </c>
      <c r="E324" s="8" t="s">
        <v>12</v>
      </c>
      <c r="F324" s="8" t="s">
        <v>13</v>
      </c>
      <c r="G324" s="8" t="s">
        <v>61</v>
      </c>
      <c r="H324" s="16">
        <v>216.0</v>
      </c>
      <c r="I324" s="15" t="str">
        <f>SUBSTITUTE(Sheet1!K324, "Rp", "")</f>
        <v>28597200</v>
      </c>
    </row>
    <row r="325">
      <c r="A325" s="8" t="s">
        <v>1074</v>
      </c>
      <c r="B325" s="13" t="str">
        <f>HYPERLINK("https://shopee.co.id/Azrina-Natural-Glow-Serum-i.32101291.9084452688", "https://shopee.co.id/Azrina-Natural-Glow-Serum-i.32101291.9084452688")</f>
        <v>https://shopee.co.id/Azrina-Natural-Glow-Serum-i.32101291.9084452688</v>
      </c>
      <c r="C325" s="8" t="s">
        <v>1075</v>
      </c>
      <c r="D325" s="8" t="s">
        <v>1076</v>
      </c>
      <c r="E325" s="8" t="s">
        <v>12</v>
      </c>
      <c r="F325" s="8" t="s">
        <v>13</v>
      </c>
      <c r="G325" s="8" t="s">
        <v>370</v>
      </c>
      <c r="H325" s="16">
        <v>213.0</v>
      </c>
      <c r="I325" s="15" t="str">
        <f>SUBSTITUTE(Sheet1!K325, "Rp", "")</f>
        <v>16195000</v>
      </c>
    </row>
    <row r="326">
      <c r="A326" s="8" t="s">
        <v>892</v>
      </c>
      <c r="B326" s="13" t="str">
        <f>HYPERLINK("https://shopee.co.id/SOMETHINC-HYALuronic9-Advanced-B5-Serum-i.68111.9764360176", "https://shopee.co.id/SOMETHINC-HYALuronic9-Advanced-B5-Serum-i.68111.9764360176")</f>
        <v>https://shopee.co.id/SOMETHINC-HYALuronic9-Advanced-B5-Serum-i.68111.9764360176</v>
      </c>
      <c r="C326" s="8" t="s">
        <v>45</v>
      </c>
      <c r="D326" s="8" t="s">
        <v>441</v>
      </c>
      <c r="E326" s="8" t="s">
        <v>12</v>
      </c>
      <c r="F326" s="8" t="s">
        <v>13</v>
      </c>
      <c r="G326" s="8" t="s">
        <v>130</v>
      </c>
      <c r="H326" s="16">
        <v>212.0</v>
      </c>
      <c r="I326" s="15" t="str">
        <f>SUBSTITUTE(Sheet1!K326, "Rp", "")</f>
        <v>24486000</v>
      </c>
    </row>
    <row r="327">
      <c r="A327" s="8" t="s">
        <v>1082</v>
      </c>
      <c r="B327" s="13" t="str">
        <f>HYPERLINK("https://shopee.co.id/Maggie-Glow-Acne-Pimple-Obat-Totol-Penghilang-Jerawat-Batu-i.23831802.831958418", "https://shopee.co.id/Maggie-Glow-Acne-Pimple-Obat-Totol-Penghilang-Jerawat-Batu-i.23831802.831958418")</f>
        <v>https://shopee.co.id/Maggie-Glow-Acne-Pimple-Obat-Totol-Penghilang-Jerawat-Batu-i.23831802.831958418</v>
      </c>
      <c r="C327" s="8" t="s">
        <v>1083</v>
      </c>
      <c r="D327" s="8" t="s">
        <v>1084</v>
      </c>
      <c r="E327" s="8" t="s">
        <v>12</v>
      </c>
      <c r="F327" s="8" t="s">
        <v>13</v>
      </c>
      <c r="G327" s="8" t="s">
        <v>1085</v>
      </c>
      <c r="H327" s="16">
        <v>211.0</v>
      </c>
      <c r="I327" s="15" t="str">
        <f>SUBSTITUTE(Sheet1!K327, "Rp", "")</f>
        <v>15913900</v>
      </c>
    </row>
    <row r="328">
      <c r="A328" s="8" t="s">
        <v>704</v>
      </c>
      <c r="B328" s="13" t="str">
        <f>HYPERLINK("https://shopee.co.id/L-Oreal-Paris-Radiant-Plumping-Starter-Kit-Untuk-Kulit-Lembap-dan-Glowing--i.62579622.3481160110", "https://shopee.co.id/L-Oreal-Paris-Radiant-Plumping-Starter-Kit-Untuk-Kulit-Lembap-dan-Glowing--i.62579622.3481160110")</f>
        <v>https://shopee.co.id/L-Oreal-Paris-Radiant-Plumping-Starter-Kit-Untuk-Kulit-Lembap-dan-Glowing--i.62579622.3481160110</v>
      </c>
      <c r="C328" s="8" t="s">
        <v>105</v>
      </c>
      <c r="D328" s="8" t="s">
        <v>106</v>
      </c>
      <c r="E328" s="8" t="s">
        <v>12</v>
      </c>
      <c r="F328" s="8" t="s">
        <v>13</v>
      </c>
      <c r="G328" s="8" t="s">
        <v>61</v>
      </c>
      <c r="H328" s="16">
        <v>210.0</v>
      </c>
      <c r="I328" s="15" t="str">
        <f>SUBSTITUTE(Sheet1!K328, "Rp", "")</f>
        <v>38306900</v>
      </c>
    </row>
    <row r="329">
      <c r="A329" s="8" t="s">
        <v>952</v>
      </c>
      <c r="B329" s="13" t="str">
        <f>HYPERLINK("https://shopee.co.id/True-to-Skin-Hyaluronic-Acid-Hydrating-Serum-Pure-Mini-HA-Vit-B5-Allantoin-FREE-SAMPLE-POTONGAN-40K-i.344023672.5366117330", "https://shopee.co.id/True-to-Skin-Hyaluronic-Acid-Hydrating-Serum-Pure-Mini-HA-Vit-B5-Allantoin-FREE-SAMPLE-POTONGAN-40K-i.344023672.5366117330")</f>
        <v>https://shopee.co.id/True-to-Skin-Hyaluronic-Acid-Hydrating-Serum-Pure-Mini-HA-Vit-B5-Allantoin-FREE-SAMPLE-POTONGAN-40K-i.344023672.5366117330</v>
      </c>
      <c r="C329" s="8" t="s">
        <v>666</v>
      </c>
      <c r="D329" s="8" t="s">
        <v>667</v>
      </c>
      <c r="E329" s="8" t="s">
        <v>12</v>
      </c>
      <c r="F329" s="8" t="s">
        <v>13</v>
      </c>
      <c r="G329" s="8" t="s">
        <v>130</v>
      </c>
      <c r="H329" s="16">
        <v>209.0</v>
      </c>
      <c r="I329" s="15" t="str">
        <f>SUBSTITUTE(Sheet1!K329, "Rp", "")</f>
        <v>21115480</v>
      </c>
    </row>
    <row r="330">
      <c r="A330" s="8" t="s">
        <v>470</v>
      </c>
      <c r="B330" s="13" t="str">
        <f>HYPERLINK("https://shopee.co.id/Tranexamic-Acid-Hyaluronic-Acid-Vitamin-C-Serum-Pour-Maharis-Clinic-i.46300234.5360791194", "https://shopee.co.id/Tranexamic-Acid-Hyaluronic-Acid-Vitamin-C-Serum-Pour-Maharis-Clinic-i.46300234.5360791194")</f>
        <v>https://shopee.co.id/Tranexamic-Acid-Hyaluronic-Acid-Vitamin-C-Serum-Pour-Maharis-Clinic-i.46300234.5360791194</v>
      </c>
      <c r="C330" s="8" t="s">
        <v>471</v>
      </c>
      <c r="D330" s="8" t="s">
        <v>472</v>
      </c>
      <c r="E330" s="8" t="s">
        <v>12</v>
      </c>
      <c r="F330" s="8" t="s">
        <v>13</v>
      </c>
      <c r="G330" s="8" t="s">
        <v>98</v>
      </c>
      <c r="H330" s="16">
        <v>207.0</v>
      </c>
      <c r="I330" s="15" t="str">
        <f>SUBSTITUTE(Sheet1!K330, "Rp", "")</f>
        <v>65683000</v>
      </c>
    </row>
    <row r="331">
      <c r="A331" s="8" t="s">
        <v>1467</v>
      </c>
      <c r="B331" s="13" t="str">
        <f>HYPERLINK("https://shopee.co.id/Hanada-Brighten-Up-Body-Serum-20-ml-i.166666344.4342337875", "https://shopee.co.id/Hanada-Brighten-Up-Body-Serum-20-ml-i.166666344.4342337875")</f>
        <v>https://shopee.co.id/Hanada-Brighten-Up-Body-Serum-20-ml-i.166666344.4342337875</v>
      </c>
      <c r="C331" s="8" t="s">
        <v>864</v>
      </c>
      <c r="D331" s="8" t="s">
        <v>865</v>
      </c>
      <c r="E331" s="8" t="s">
        <v>12</v>
      </c>
      <c r="F331" s="8" t="s">
        <v>13</v>
      </c>
      <c r="G331" s="8" t="s">
        <v>21</v>
      </c>
      <c r="H331" s="16">
        <v>206.0</v>
      </c>
      <c r="I331" s="15" t="str">
        <f>SUBSTITUTE(Sheet1!K331, "Rp", "")</f>
        <v>8034000</v>
      </c>
    </row>
    <row r="332">
      <c r="A332" s="8" t="s">
        <v>1420</v>
      </c>
      <c r="B332" s="13" t="str">
        <f>HYPERLINK("https://shopee.co.id/Moriganic-Grapeseed-Oil-Serum-Grape-seed-30ml-BPOM-i.160415531.2622153639", "https://shopee.co.id/Moriganic-Grapeseed-Oil-Serum-Grape-seed-30ml-BPOM-i.160415531.2622153639")</f>
        <v>https://shopee.co.id/Moriganic-Grapeseed-Oil-Serum-Grape-seed-30ml-BPOM-i.160415531.2622153639</v>
      </c>
      <c r="C332" s="8" t="s">
        <v>1421</v>
      </c>
      <c r="D332" s="8" t="s">
        <v>1422</v>
      </c>
      <c r="E332" s="8" t="s">
        <v>12</v>
      </c>
      <c r="F332" s="8" t="s">
        <v>13</v>
      </c>
      <c r="G332" s="8" t="s">
        <v>21</v>
      </c>
      <c r="H332" s="16">
        <v>206.0</v>
      </c>
      <c r="I332" s="15" t="str">
        <f>SUBSTITUTE(Sheet1!K332, "Rp", "")</f>
        <v>8572278</v>
      </c>
    </row>
    <row r="333">
      <c r="A333" s="8" t="s">
        <v>984</v>
      </c>
      <c r="B333" s="13" t="str">
        <f>HYPERLINK("https://shopee.co.id/SECA-NIACINAMIDE-10-Serum-i.373749700.9872923302", "https://shopee.co.id/SECA-NIACINAMIDE-10-Serum-i.373749700.9872923302")</f>
        <v>https://shopee.co.id/SECA-NIACINAMIDE-10-Serum-i.373749700.9872923302</v>
      </c>
      <c r="C333" s="8" t="s">
        <v>985</v>
      </c>
      <c r="D333" s="8" t="s">
        <v>986</v>
      </c>
      <c r="E333" s="8" t="s">
        <v>12</v>
      </c>
      <c r="F333" s="8" t="s">
        <v>13</v>
      </c>
      <c r="G333" s="8" t="s">
        <v>36</v>
      </c>
      <c r="H333" s="16">
        <v>206.0</v>
      </c>
      <c r="I333" s="15" t="str">
        <f>SUBSTITUTE(Sheet1!K333, "Rp", "")</f>
        <v>19621800</v>
      </c>
    </row>
    <row r="334">
      <c r="A334" s="8" t="s">
        <v>650</v>
      </c>
      <c r="B334" s="13" t="str">
        <f>HYPERLINK("https://shopee.co.id/ElsheSkin-Active-Rejuvenating-Night-Serum-i.9035345.5241484251", "https://shopee.co.id/ElsheSkin-Active-Rejuvenating-Night-Serum-i.9035345.5241484251")</f>
        <v>https://shopee.co.id/ElsheSkin-Active-Rejuvenating-Night-Serum-i.9035345.5241484251</v>
      </c>
      <c r="C334" s="8" t="s">
        <v>135</v>
      </c>
      <c r="D334" s="8" t="s">
        <v>136</v>
      </c>
      <c r="E334" s="8" t="s">
        <v>12</v>
      </c>
      <c r="F334" s="8" t="s">
        <v>13</v>
      </c>
      <c r="G334" s="8" t="s">
        <v>80</v>
      </c>
      <c r="H334" s="16">
        <v>205.0</v>
      </c>
      <c r="I334" s="15" t="str">
        <f>SUBSTITUTE(Sheet1!K334, "Rp", "")</f>
        <v>45012000</v>
      </c>
    </row>
    <row r="335">
      <c r="A335" s="8" t="s">
        <v>1240</v>
      </c>
      <c r="B335" s="13" t="str">
        <f>HYPERLINK("https://shopee.co.id/Implora-Promo-Buy-1-Serum-Wajah-1-Lip-Satin-i.10960132.8485099037", "https://shopee.co.id/Implora-Promo-Buy-1-Serum-Wajah-1-Lip-Satin-i.10960132.8485099037")</f>
        <v>https://shopee.co.id/Implora-Promo-Buy-1-Serum-Wajah-1-Lip-Satin-i.10960132.8485099037</v>
      </c>
      <c r="C335" s="8" t="s">
        <v>113</v>
      </c>
      <c r="D335" s="8" t="s">
        <v>114</v>
      </c>
      <c r="E335" s="8" t="s">
        <v>12</v>
      </c>
      <c r="F335" s="8" t="s">
        <v>13</v>
      </c>
      <c r="G335" s="8" t="s">
        <v>115</v>
      </c>
      <c r="H335" s="16">
        <v>205.0</v>
      </c>
      <c r="I335" s="15" t="str">
        <f>SUBSTITUTE(Sheet1!K335, "Rp", "")</f>
        <v>11992500</v>
      </c>
    </row>
    <row r="336">
      <c r="A336" s="8" t="s">
        <v>1299</v>
      </c>
      <c r="B336" s="13" t="str">
        <f>HYPERLINK("https://shopee.co.id/Datglow-Skin-Honey-Boswellia-Skinpair-Serum-Acne-Serum--i.19578272.10408877908", "https://shopee.co.id/Datglow-Skin-Honey-Boswellia-Skinpair-Serum-Acne-Serum--i.19578272.10408877908")</f>
        <v>https://shopee.co.id/Datglow-Skin-Honey-Boswellia-Skinpair-Serum-Acne-Serum--i.19578272.10408877908</v>
      </c>
      <c r="C336" s="8" t="s">
        <v>1300</v>
      </c>
      <c r="D336" s="8" t="s">
        <v>1301</v>
      </c>
      <c r="E336" s="8" t="s">
        <v>12</v>
      </c>
      <c r="F336" s="8" t="s">
        <v>13</v>
      </c>
      <c r="G336" s="8" t="s">
        <v>98</v>
      </c>
      <c r="H336" s="16">
        <v>200.0</v>
      </c>
      <c r="I336" s="15" t="str">
        <f>SUBSTITUTE(Sheet1!K336, "Rp", "")</f>
        <v>10800000</v>
      </c>
    </row>
    <row r="337">
      <c r="A337" s="8" t="s">
        <v>802</v>
      </c>
      <c r="B337" s="13" t="str">
        <f>HYPERLINK("https://shopee.co.id/Dear-Me-Beauty-Hyaluronic-Acid-Pomegranate-Extract-Face-Serum-12ml-i.45495764.8748397064", "https://shopee.co.id/Dear-Me-Beauty-Hyaluronic-Acid-Pomegranate-Extract-Face-Serum-12ml-i.45495764.8748397064")</f>
        <v>https://shopee.co.id/Dear-Me-Beauty-Hyaluronic-Acid-Pomegranate-Extract-Face-Serum-12ml-i.45495764.8748397064</v>
      </c>
      <c r="C337" s="8" t="s">
        <v>83</v>
      </c>
      <c r="D337" s="8" t="s">
        <v>71</v>
      </c>
      <c r="E337" s="8" t="s">
        <v>12</v>
      </c>
      <c r="F337" s="8" t="s">
        <v>13</v>
      </c>
      <c r="G337" s="8" t="s">
        <v>61</v>
      </c>
      <c r="H337" s="16">
        <v>199.0</v>
      </c>
      <c r="I337" s="15" t="str">
        <f>SUBSTITUTE(Sheet1!K337, "Rp", "")</f>
        <v>15468200</v>
      </c>
    </row>
    <row r="338">
      <c r="A338" s="8" t="s">
        <v>776</v>
      </c>
      <c r="B338" s="13" t="str">
        <f>HYPERLINK("https://shopee.co.id/Garnier-Sakura-Glow-Hyaluron-Water-Glow-Essence-Skin-Care-2-pcs-Untuk-Kulit-Glowing-Dari-Dalam--i.62583853.8567882525", "https://shopee.co.id/Garnier-Sakura-Glow-Hyaluron-Water-Glow-Essence-Skin-Care-2-pcs-Untuk-Kulit-Glowing-Dari-Dalam--i.62583853.8567882525")</f>
        <v>https://shopee.co.id/Garnier-Sakura-Glow-Hyaluron-Water-Glow-Essence-Skin-Care-2-pcs-Untuk-Kulit-Glowing-Dari-Dalam--i.62583853.8567882525</v>
      </c>
      <c r="C338" s="8" t="s">
        <v>74</v>
      </c>
      <c r="D338" s="8" t="s">
        <v>75</v>
      </c>
      <c r="E338" s="8" t="s">
        <v>12</v>
      </c>
      <c r="F338" s="8" t="s">
        <v>13</v>
      </c>
      <c r="G338" s="8" t="s">
        <v>61</v>
      </c>
      <c r="H338" s="16">
        <v>199.0</v>
      </c>
      <c r="I338" s="15" t="str">
        <f>SUBSTITUTE(Sheet1!K338, "Rp", "")</f>
        <v>32296900</v>
      </c>
    </row>
    <row r="339">
      <c r="A339" s="8" t="s">
        <v>758</v>
      </c>
      <c r="B339" s="13" t="str">
        <f>HYPERLINK("https://shopee.co.id/Olay-White-Radiance-Light-Perfecting-Essence-Water-150-ml-i.11487927.6865089160", "https://shopee.co.id/Olay-White-Radiance-Light-Perfecting-Essence-Water-150-ml-i.11487927.6865089160")</f>
        <v>https://shopee.co.id/Olay-White-Radiance-Light-Perfecting-Essence-Water-150-ml-i.11487927.6865089160</v>
      </c>
      <c r="C339" s="8" t="s">
        <v>317</v>
      </c>
      <c r="D339" s="8" t="s">
        <v>318</v>
      </c>
      <c r="E339" s="8" t="s">
        <v>12</v>
      </c>
      <c r="F339" s="8" t="s">
        <v>13</v>
      </c>
      <c r="G339" s="8" t="s">
        <v>296</v>
      </c>
      <c r="H339" s="16">
        <v>199.0</v>
      </c>
      <c r="I339" s="15" t="str">
        <f>SUBSTITUTE(Sheet1!K339, "Rp", "")</f>
        <v>33740600</v>
      </c>
    </row>
    <row r="340">
      <c r="A340" s="8" t="s">
        <v>503</v>
      </c>
      <c r="B340" s="13" t="str">
        <f>HYPERLINK("https://shopee.co.id/Some-By-Mi-Aha-Bha-Pha-30-Days-Miracle-Serum-i.455311481.11610262254", "https://shopee.co.id/Some-By-Mi-Aha-Bha-Pha-30-Days-Miracle-Serum-i.455311481.11610262254")</f>
        <v>https://shopee.co.id/Some-By-Mi-Aha-Bha-Pha-30-Days-Miracle-Serum-i.455311481.11610262254</v>
      </c>
      <c r="C340" s="8" t="s">
        <v>213</v>
      </c>
      <c r="D340" s="8" t="s">
        <v>214</v>
      </c>
      <c r="E340" s="8" t="s">
        <v>12</v>
      </c>
      <c r="F340" s="8" t="s">
        <v>13</v>
      </c>
      <c r="G340" s="8" t="s">
        <v>130</v>
      </c>
      <c r="H340" s="16">
        <v>199.0</v>
      </c>
      <c r="I340" s="15" t="str">
        <f>SUBSTITUTE(Sheet1!K340, "Rp", "")</f>
        <v>60647350</v>
      </c>
    </row>
    <row r="341">
      <c r="A341" s="8" t="s">
        <v>281</v>
      </c>
      <c r="B341" s="13" t="str">
        <f>HYPERLINK("https://shopee.co.id/Sulwhasoo-First-Care-Best-Seller-Trial-Kit-i.274949344.9450972801", "https://shopee.co.id/Sulwhasoo-First-Care-Best-Seller-Trial-Kit-i.274949344.9450972801")</f>
        <v>https://shopee.co.id/Sulwhasoo-First-Care-Best-Seller-Trial-Kit-i.274949344.9450972801</v>
      </c>
      <c r="C341" s="8" t="s">
        <v>282</v>
      </c>
      <c r="D341" s="8" t="s">
        <v>283</v>
      </c>
      <c r="E341" s="8" t="s">
        <v>12</v>
      </c>
      <c r="F341" s="8" t="s">
        <v>13</v>
      </c>
      <c r="G341" s="8" t="s">
        <v>61</v>
      </c>
      <c r="H341" s="16">
        <v>199.0</v>
      </c>
      <c r="I341" s="15" t="str">
        <f>SUBSTITUTE(Sheet1!K341, "Rp", "")</f>
        <v>147438400</v>
      </c>
    </row>
    <row r="342">
      <c r="A342" s="8" t="s">
        <v>987</v>
      </c>
      <c r="B342" s="13" t="str">
        <f>HYPERLINK("https://shopee.co.id/Derma-Express-Day-Light-Whitening-Serum-i.243650388.9946308657", "https://shopee.co.id/Derma-Express-Day-Light-Whitening-Serum-i.243650388.9946308657")</f>
        <v>https://shopee.co.id/Derma-Express-Day-Light-Whitening-Serum-i.243650388.9946308657</v>
      </c>
      <c r="C342" s="8" t="s">
        <v>957</v>
      </c>
      <c r="D342" s="8" t="s">
        <v>958</v>
      </c>
      <c r="E342" s="8" t="s">
        <v>12</v>
      </c>
      <c r="F342" s="8" t="s">
        <v>13</v>
      </c>
      <c r="G342" s="8" t="s">
        <v>532</v>
      </c>
      <c r="H342" s="16">
        <v>198.0</v>
      </c>
      <c r="I342" s="15" t="str">
        <f>SUBSTITUTE(Sheet1!K342, "Rp", "")</f>
        <v>19602000</v>
      </c>
    </row>
    <row r="343">
      <c r="A343" s="8" t="s">
        <v>1256</v>
      </c>
      <c r="B343" s="13" t="str">
        <f>HYPERLINK("https://shopee.co.id/Ella-Skincare-Niacinamide-Botanical-Cica-Essence-i.95154428.3763381334", "https://shopee.co.id/Ella-Skincare-Niacinamide-Botanical-Cica-Essence-i.95154428.3763381334")</f>
        <v>https://shopee.co.id/Ella-Skincare-Niacinamide-Botanical-Cica-Essence-i.95154428.3763381334</v>
      </c>
      <c r="C343" s="8" t="s">
        <v>954</v>
      </c>
      <c r="D343" s="8" t="s">
        <v>598</v>
      </c>
      <c r="E343" s="8" t="s">
        <v>12</v>
      </c>
      <c r="F343" s="8" t="s">
        <v>13</v>
      </c>
      <c r="G343" s="8" t="s">
        <v>409</v>
      </c>
      <c r="H343" s="16">
        <v>198.0</v>
      </c>
      <c r="I343" s="15" t="str">
        <f>SUBSTITUTE(Sheet1!K343, "Rp", "")</f>
        <v>11736000</v>
      </c>
    </row>
    <row r="344">
      <c r="A344" s="8" t="s">
        <v>1099</v>
      </c>
      <c r="B344" s="13" t="str">
        <f>HYPERLINK("https://shopee.co.id/Aura-Bright-Facial-Treatment-Essence-i.127215672.1920850656", "https://shopee.co.id/Aura-Bright-Facial-Treatment-Essence-i.127215672.1920850656")</f>
        <v>https://shopee.co.id/Aura-Bright-Facial-Treatment-Essence-i.127215672.1920850656</v>
      </c>
      <c r="C344" s="8" t="s">
        <v>90</v>
      </c>
      <c r="D344" s="8" t="s">
        <v>91</v>
      </c>
      <c r="E344" s="8" t="s">
        <v>12</v>
      </c>
      <c r="F344" s="8" t="s">
        <v>13</v>
      </c>
      <c r="G344" s="8" t="s">
        <v>21</v>
      </c>
      <c r="H344" s="16">
        <v>197.0</v>
      </c>
      <c r="I344" s="15" t="str">
        <f>SUBSTITUTE(Sheet1!K344, "Rp", "")</f>
        <v>15223250</v>
      </c>
    </row>
    <row r="345">
      <c r="A345" s="8" t="s">
        <v>948</v>
      </c>
      <c r="B345" s="13" t="str">
        <f>HYPERLINK("https://shopee.co.id/MEDGLOW-CLINIC-Niacinamide-Zinc-Serum-Aesthetic-Skincare-Serum-Whitening-Noda-Bekas-Jerawat-BPOM-i.285885972.6149884623", "https://shopee.co.id/MEDGLOW-CLINIC-Niacinamide-Zinc-Serum-Aesthetic-Skincare-Serum-Whitening-Noda-Bekas-Jerawat-BPOM-i.285885972.6149884623")</f>
        <v>https://shopee.co.id/MEDGLOW-CLINIC-Niacinamide-Zinc-Serum-Aesthetic-Skincare-Serum-Whitening-Noda-Bekas-Jerawat-BPOM-i.285885972.6149884623</v>
      </c>
      <c r="C345" s="8" t="s">
        <v>949</v>
      </c>
      <c r="D345" s="8" t="s">
        <v>950</v>
      </c>
      <c r="E345" s="8" t="s">
        <v>12</v>
      </c>
      <c r="F345" s="8" t="s">
        <v>13</v>
      </c>
      <c r="G345" s="8" t="s">
        <v>380</v>
      </c>
      <c r="H345" s="16">
        <v>196.0</v>
      </c>
      <c r="I345" s="15" t="str">
        <f>SUBSTITUTE(Sheet1!K345, "Rp", "")</f>
        <v>21407250</v>
      </c>
    </row>
    <row r="346">
      <c r="A346" s="8" t="s">
        <v>1743</v>
      </c>
      <c r="B346" s="13" t="str">
        <f>HYPERLINK("https://shopee.co.id/BIOAQUA-Bioaqua-24K-Gold-Skin-Brightening-Serum-Wajah-Essence-Cream-i.297682305.8834962096", "https://shopee.co.id/BIOAQUA-Bioaqua-24K-Gold-Skin-Brightening-Serum-Wajah-Essence-Cream-i.297682305.8834962096")</f>
        <v>https://shopee.co.id/BIOAQUA-Bioaqua-24K-Gold-Skin-Brightening-Serum-Wajah-Essence-Cream-i.297682305.8834962096</v>
      </c>
      <c r="C346" s="8" t="s">
        <v>1744</v>
      </c>
      <c r="D346" s="8" t="s">
        <v>1745</v>
      </c>
      <c r="E346" s="8" t="s">
        <v>12</v>
      </c>
      <c r="F346" s="8" t="s">
        <v>13</v>
      </c>
      <c r="G346" s="8" t="s">
        <v>61</v>
      </c>
      <c r="H346" s="16">
        <v>194.0</v>
      </c>
      <c r="I346" s="15" t="str">
        <f>SUBSTITUTE(Sheet1!K346, "Rp", "")</f>
        <v>5024600</v>
      </c>
    </row>
    <row r="347">
      <c r="A347" s="8" t="s">
        <v>1838</v>
      </c>
      <c r="B347" s="13" t="str">
        <f>HYPERLINK("https://shopee.co.id/Hanasui-Acne-Spot-Gel-i.129681299.9639377299", "https://shopee.co.id/Hanasui-Acne-Spot-Gel-i.129681299.9639377299")</f>
        <v>https://shopee.co.id/Hanasui-Acne-Spot-Gel-i.129681299.9639377299</v>
      </c>
      <c r="C347" s="8" t="s">
        <v>784</v>
      </c>
      <c r="D347" s="8" t="s">
        <v>785</v>
      </c>
      <c r="E347" s="8" t="s">
        <v>12</v>
      </c>
      <c r="F347" s="8" t="s">
        <v>13</v>
      </c>
      <c r="G347" s="8" t="s">
        <v>36</v>
      </c>
      <c r="H347" s="16">
        <v>193.0</v>
      </c>
      <c r="I347" s="15" t="str">
        <f>SUBSTITUTE(Sheet1!K347, "Rp", "")</f>
        <v>4470960</v>
      </c>
    </row>
    <row r="348">
      <c r="A348" s="8" t="s">
        <v>857</v>
      </c>
      <c r="B348" s="13" t="str">
        <f>HYPERLINK("https://shopee.co.id/Purify-Acne-Blackhead-Serum-Gel-Moisturizer-i.59474489.10217604664", "https://shopee.co.id/Purify-Acne-Blackhead-Serum-Gel-Moisturizer-i.59474489.10217604664")</f>
        <v>https://shopee.co.id/Purify-Acne-Blackhead-Serum-Gel-Moisturizer-i.59474489.10217604664</v>
      </c>
      <c r="C348" s="8" t="s">
        <v>627</v>
      </c>
      <c r="D348" s="8" t="s">
        <v>627</v>
      </c>
      <c r="E348" s="8" t="s">
        <v>12</v>
      </c>
      <c r="F348" s="8" t="s">
        <v>13</v>
      </c>
      <c r="G348" s="8" t="s">
        <v>21</v>
      </c>
      <c r="H348" s="16">
        <v>193.0</v>
      </c>
      <c r="I348" s="15" t="str">
        <f>SUBSTITUTE(Sheet1!K348, "Rp", "")</f>
        <v>26827000</v>
      </c>
    </row>
    <row r="349">
      <c r="A349" s="8" t="s">
        <v>1261</v>
      </c>
      <c r="B349" s="13" t="str">
        <f>HYPERLINK("https://shopee.co.id/Wardah-Renewal-Anti-Aging-Intensive-Serum-i.30736001.2787586512", "https://shopee.co.id/Wardah-Renewal-Anti-Aging-Intensive-Serum-i.30736001.2787586512")</f>
        <v>https://shopee.co.id/Wardah-Renewal-Anti-Aging-Intensive-Serum-i.30736001.2787586512</v>
      </c>
      <c r="C349" s="8" t="s">
        <v>169</v>
      </c>
      <c r="D349" s="8" t="s">
        <v>335</v>
      </c>
      <c r="E349" s="8" t="s">
        <v>12</v>
      </c>
      <c r="F349" s="8" t="s">
        <v>13</v>
      </c>
      <c r="G349" s="8" t="s">
        <v>36</v>
      </c>
      <c r="H349" s="16">
        <v>193.0</v>
      </c>
      <c r="I349" s="15" t="str">
        <f>SUBSTITUTE(Sheet1!K349, "Rp", "")</f>
        <v>11672100</v>
      </c>
    </row>
    <row r="350">
      <c r="A350" s="8" t="s">
        <v>1564</v>
      </c>
      <c r="B350" s="13" t="str">
        <f>HYPERLINK("https://shopee.co.id/Garnier-Bright-Complete-White-Speed-Day-Serum-Cream-UVA-UVB-Skin-Care-20ml-x-2-Pcs-i.62583853.7036373383", "https://shopee.co.id/Garnier-Bright-Complete-White-Speed-Day-Serum-Cream-UVA-UVB-Skin-Care-20ml-x-2-Pcs-i.62583853.7036373383")</f>
        <v>https://shopee.co.id/Garnier-Bright-Complete-White-Speed-Day-Serum-Cream-UVA-UVB-Skin-Care-20ml-x-2-Pcs-i.62583853.7036373383</v>
      </c>
      <c r="C350" s="8" t="s">
        <v>74</v>
      </c>
      <c r="D350" s="8" t="s">
        <v>75</v>
      </c>
      <c r="E350" s="8" t="s">
        <v>12</v>
      </c>
      <c r="F350" s="8" t="s">
        <v>13</v>
      </c>
      <c r="G350" s="8" t="s">
        <v>61</v>
      </c>
      <c r="H350" s="16">
        <v>190.0</v>
      </c>
      <c r="I350" s="15" t="str">
        <f>SUBSTITUTE(Sheet1!K350, "Rp", "")</f>
        <v>6903600</v>
      </c>
    </row>
    <row r="351">
      <c r="A351" s="8" t="s">
        <v>838</v>
      </c>
      <c r="B351" s="13" t="str">
        <f>HYPERLINK("https://shopee.co.id/SNP-PREP-Cicaronic-Toning-Essence-i.88399725.7154337674", "https://shopee.co.id/SNP-PREP-Cicaronic-Toning-Essence-i.88399725.7154337674")</f>
        <v>https://shopee.co.id/SNP-PREP-Cicaronic-Toning-Essence-i.88399725.7154337674</v>
      </c>
      <c r="C351" s="8" t="s">
        <v>565</v>
      </c>
      <c r="D351" s="8" t="s">
        <v>566</v>
      </c>
      <c r="E351" s="8" t="s">
        <v>12</v>
      </c>
      <c r="F351" s="8" t="s">
        <v>13</v>
      </c>
      <c r="G351" s="8" t="s">
        <v>98</v>
      </c>
      <c r="H351" s="16">
        <v>189.0</v>
      </c>
      <c r="I351" s="15" t="str">
        <f>SUBSTITUTE(Sheet1!K351, "Rp", "")</f>
        <v>27808200</v>
      </c>
    </row>
    <row r="352">
      <c r="A352" s="8" t="s">
        <v>576</v>
      </c>
      <c r="B352" s="13" t="str">
        <f>HYPERLINK("https://shopee.co.id/Bening-s-PORE-SERUM-Serum-Pengecil-Pori-Pori-i.190390143.4923934251", "https://shopee.co.id/Bening-s-PORE-SERUM-Serum-Pengecil-Pori-Pori-i.190390143.4923934251")</f>
        <v>https://shopee.co.id/Bening-s-PORE-SERUM-Serum-Pengecil-Pori-Pori-i.190390143.4923934251</v>
      </c>
      <c r="C352" s="8" t="s">
        <v>10</v>
      </c>
      <c r="D352" s="8" t="s">
        <v>11</v>
      </c>
      <c r="E352" s="8" t="s">
        <v>12</v>
      </c>
      <c r="F352" s="8" t="s">
        <v>13</v>
      </c>
      <c r="G352" s="8" t="s">
        <v>14</v>
      </c>
      <c r="H352" s="16">
        <v>188.0</v>
      </c>
      <c r="I352" s="15" t="str">
        <f>SUBSTITUTE(Sheet1!K352, "Rp", "")</f>
        <v>51150000</v>
      </c>
    </row>
    <row r="353">
      <c r="A353" s="8" t="s">
        <v>888</v>
      </c>
      <c r="B353" s="13" t="str">
        <f>HYPERLINK("https://shopee.co.id/Azarine-CBD-Hydraoxidant-Ampoule-40ml-i.80036545.9920290051", "https://shopee.co.id/Azarine-CBD-Hydraoxidant-Ampoule-40ml-i.80036545.9920290051")</f>
        <v>https://shopee.co.id/Azarine-CBD-Hydraoxidant-Ampoule-40ml-i.80036545.9920290051</v>
      </c>
      <c r="C353" s="8" t="s">
        <v>233</v>
      </c>
      <c r="D353" s="8" t="s">
        <v>234</v>
      </c>
      <c r="E353" s="8" t="s">
        <v>12</v>
      </c>
      <c r="F353" s="8" t="s">
        <v>13</v>
      </c>
      <c r="G353" s="8" t="s">
        <v>115</v>
      </c>
      <c r="H353" s="16">
        <v>187.0</v>
      </c>
      <c r="I353" s="15" t="str">
        <f>SUBSTITUTE(Sheet1!K353, "Rp", "")</f>
        <v>24637250</v>
      </c>
    </row>
    <row r="354">
      <c r="A354" s="8" t="s">
        <v>685</v>
      </c>
      <c r="B354" s="13" t="str">
        <f>HYPERLINK("https://shopee.co.id/L-Oreal-Paris-Revitalift-Micro-Essence-Water-Serum-Skin-Care-130-ml-Untuk-Kulit-Cerah-Kencang--i.62579622.2086742142", "https://shopee.co.id/L-Oreal-Paris-Revitalift-Micro-Essence-Water-Serum-Skin-Care-130-ml-Untuk-Kulit-Cerah-Kencang--i.62579622.2086742142")</f>
        <v>https://shopee.co.id/L-Oreal-Paris-Revitalift-Micro-Essence-Water-Serum-Skin-Care-130-ml-Untuk-Kulit-Cerah-Kencang--i.62579622.2086742142</v>
      </c>
      <c r="C354" s="8" t="s">
        <v>105</v>
      </c>
      <c r="D354" s="8" t="s">
        <v>106</v>
      </c>
      <c r="E354" s="8" t="s">
        <v>12</v>
      </c>
      <c r="F354" s="8" t="s">
        <v>13</v>
      </c>
      <c r="G354" s="8" t="s">
        <v>61</v>
      </c>
      <c r="H354" s="16">
        <v>187.0</v>
      </c>
      <c r="I354" s="15" t="str">
        <f>SUBSTITUTE(Sheet1!K354, "Rp", "")</f>
        <v>41362900</v>
      </c>
    </row>
    <row r="355">
      <c r="A355" s="8" t="s">
        <v>780</v>
      </c>
      <c r="B355" s="13" t="str">
        <f>HYPERLINK("https://shopee.co.id/ElsheSkin-Smoothing-Serum-For-Acne-Skin-i.9035345.11008992557", "https://shopee.co.id/ElsheSkin-Smoothing-Serum-For-Acne-Skin-i.9035345.11008992557")</f>
        <v>https://shopee.co.id/ElsheSkin-Smoothing-Serum-For-Acne-Skin-i.9035345.11008992557</v>
      </c>
      <c r="C355" s="8" t="s">
        <v>135</v>
      </c>
      <c r="D355" s="8" t="s">
        <v>136</v>
      </c>
      <c r="E355" s="8" t="s">
        <v>12</v>
      </c>
      <c r="F355" s="8" t="s">
        <v>13</v>
      </c>
      <c r="G355" s="8" t="s">
        <v>80</v>
      </c>
      <c r="H355" s="16">
        <v>186.0</v>
      </c>
      <c r="I355" s="15" t="str">
        <f>SUBSTITUTE(Sheet1!K355, "Rp", "")</f>
        <v>31997700</v>
      </c>
    </row>
    <row r="356">
      <c r="A356" s="8" t="s">
        <v>1208</v>
      </c>
      <c r="B356" s="13" t="str">
        <f>HYPERLINK("https://shopee.co.id/Clorismen-Brightening-Serum-i.17760039.8155743532", "https://shopee.co.id/Clorismen-Brightening-Serum-i.17760039.8155743532")</f>
        <v>https://shopee.co.id/Clorismen-Brightening-Serum-i.17760039.8155743532</v>
      </c>
      <c r="C356" s="8" t="s">
        <v>1046</v>
      </c>
      <c r="D356" s="8" t="s">
        <v>1047</v>
      </c>
      <c r="E356" s="8" t="s">
        <v>12</v>
      </c>
      <c r="F356" s="8" t="s">
        <v>13</v>
      </c>
      <c r="G356" s="8" t="s">
        <v>1048</v>
      </c>
      <c r="H356" s="16">
        <v>185.0</v>
      </c>
      <c r="I356" s="15" t="str">
        <f>SUBSTITUTE(Sheet1!K356, "Rp", "")</f>
        <v>12765000</v>
      </c>
    </row>
    <row r="357">
      <c r="A357" s="8" t="s">
        <v>811</v>
      </c>
      <c r="B357" s="13" t="str">
        <f>HYPERLINK("https://shopee.co.id/Everwhite-Granactive-Retinoid-Multi-action-Serum-i.85451896.9218986920", "https://shopee.co.id/Everwhite-Granactive-Retinoid-Multi-action-Serum-i.85451896.9218986920")</f>
        <v>https://shopee.co.id/Everwhite-Granactive-Retinoid-Multi-action-Serum-i.85451896.9218986920</v>
      </c>
      <c r="C357" s="8" t="s">
        <v>157</v>
      </c>
      <c r="D357" s="8" t="s">
        <v>158</v>
      </c>
      <c r="E357" s="8" t="s">
        <v>12</v>
      </c>
      <c r="F357" s="8" t="s">
        <v>13</v>
      </c>
      <c r="G357" s="8" t="s">
        <v>61</v>
      </c>
      <c r="H357" s="16">
        <v>185.0</v>
      </c>
      <c r="I357" s="15" t="str">
        <f>SUBSTITUTE(Sheet1!K357, "Rp", "")</f>
        <v>30467500</v>
      </c>
    </row>
    <row r="358">
      <c r="A358" s="8" t="s">
        <v>534</v>
      </c>
      <c r="B358" s="13" t="str">
        <f>HYPERLINK("https://shopee.co.id/Some-By-Mi-Propolis-B5-Glow-Barrier-Calming-Serum-Essence--i.455311481.10843978974", "https://shopee.co.id/Some-By-Mi-Propolis-B5-Glow-Barrier-Calming-Serum-Essence--i.455311481.10843978974")</f>
        <v>https://shopee.co.id/Some-By-Mi-Propolis-B5-Glow-Barrier-Calming-Serum-Essence--i.455311481.10843978974</v>
      </c>
      <c r="C358" s="8" t="s">
        <v>213</v>
      </c>
      <c r="D358" s="8" t="s">
        <v>214</v>
      </c>
      <c r="E358" s="8" t="s">
        <v>12</v>
      </c>
      <c r="F358" s="8" t="s">
        <v>13</v>
      </c>
      <c r="G358" s="8" t="s">
        <v>130</v>
      </c>
      <c r="H358" s="16">
        <v>184.0</v>
      </c>
      <c r="I358" s="15" t="str">
        <f>SUBSTITUTE(Sheet1!K358, "Rp", "")</f>
        <v>56432800</v>
      </c>
    </row>
    <row r="359">
      <c r="A359" s="8" t="s">
        <v>1279</v>
      </c>
      <c r="B359" s="13" t="str">
        <f>HYPERLINK("https://shopee.co.id/L-Oreal-Paris-Revitalift-Crystal-Micro-Essence-Serum-Mask-Skin-Care-Pack-of-3--i.62579622.4639506181", "https://shopee.co.id/L-Oreal-Paris-Revitalift-Crystal-Micro-Essence-Serum-Mask-Skin-Care-Pack-of-3--i.62579622.4639506181")</f>
        <v>https://shopee.co.id/L-Oreal-Paris-Revitalift-Crystal-Micro-Essence-Serum-Mask-Skin-Care-Pack-of-3--i.62579622.4639506181</v>
      </c>
      <c r="C359" s="8" t="s">
        <v>105</v>
      </c>
      <c r="D359" s="8" t="s">
        <v>106</v>
      </c>
      <c r="E359" s="8" t="s">
        <v>12</v>
      </c>
      <c r="F359" s="8" t="s">
        <v>13</v>
      </c>
      <c r="G359" s="8" t="s">
        <v>61</v>
      </c>
      <c r="H359" s="16">
        <v>183.0</v>
      </c>
      <c r="I359" s="15" t="str">
        <f>SUBSTITUTE(Sheet1!K359, "Rp", "")</f>
        <v>11153700</v>
      </c>
    </row>
    <row r="360">
      <c r="A360" s="8" t="s">
        <v>164</v>
      </c>
      <c r="B360" s="13" t="str">
        <f>HYPERLINK("https://shopee.co.id/La-Roche-Posay-Hyalu-Serum-Bundle-BUY-60ML-GET-120ML-FREE-GIFTS-Senilai-Rp-1-680-000-i.433144176.6695949030", "https://shopee.co.id/La-Roche-Posay-Hyalu-Serum-Bundle-BUY-60ML-GET-120ML-FREE-GIFTS-Senilai-Rp-1-680-000-i.433144176.6695949030")</f>
        <v>https://shopee.co.id/La-Roche-Posay-Hyalu-Serum-Bundle-BUY-60ML-GET-120ML-FREE-GIFTS-Senilai-Rp-1-680-000-i.433144176.6695949030</v>
      </c>
      <c r="C360" s="8" t="s">
        <v>147</v>
      </c>
      <c r="D360" s="8" t="s">
        <v>148</v>
      </c>
      <c r="E360" s="8" t="s">
        <v>12</v>
      </c>
      <c r="F360" s="8" t="s">
        <v>13</v>
      </c>
      <c r="G360" s="8" t="s">
        <v>61</v>
      </c>
      <c r="H360" s="16">
        <v>183.0</v>
      </c>
      <c r="I360" s="15" t="str">
        <f>SUBSTITUTE(Sheet1!K360, "Rp", "")</f>
        <v>306430000</v>
      </c>
    </row>
    <row r="361">
      <c r="A361" s="8" t="s">
        <v>459</v>
      </c>
      <c r="B361" s="13" t="str">
        <f>HYPERLINK("https://shopee.co.id/Laneige-Clear-C-Peeling-Serum-80ml-i.52917348.9234181785", "https://shopee.co.id/Laneige-Clear-C-Peeling-Serum-80ml-i.52917348.9234181785")</f>
        <v>https://shopee.co.id/Laneige-Clear-C-Peeling-Serum-80ml-i.52917348.9234181785</v>
      </c>
      <c r="C361" s="8" t="s">
        <v>364</v>
      </c>
      <c r="D361" s="8" t="s">
        <v>365</v>
      </c>
      <c r="E361" s="8" t="s">
        <v>12</v>
      </c>
      <c r="F361" s="8" t="s">
        <v>13</v>
      </c>
      <c r="G361" s="8" t="s">
        <v>61</v>
      </c>
      <c r="H361" s="16">
        <v>183.0</v>
      </c>
      <c r="I361" s="15" t="str">
        <f>SUBSTITUTE(Sheet1!K361, "Rp", "")</f>
        <v>68343800</v>
      </c>
    </row>
    <row r="362">
      <c r="A362" s="8" t="s">
        <v>676</v>
      </c>
      <c r="B362" s="13" t="str">
        <f>HYPERLINK("https://shopee.co.id/All-Perfect-Beauty-Set-Essence-Toner-100ml-Whitening-Serum-30ml--i.167618454.7114674166", "https://shopee.co.id/All-Perfect-Beauty-Set-Essence-Toner-100ml-Whitening-Serum-30ml--i.167618454.7114674166")</f>
        <v>https://shopee.co.id/All-Perfect-Beauty-Set-Essence-Toner-100ml-Whitening-Serum-30ml--i.167618454.7114674166</v>
      </c>
      <c r="C362" s="8" t="s">
        <v>677</v>
      </c>
      <c r="D362" s="8" t="s">
        <v>678</v>
      </c>
      <c r="E362" s="8" t="s">
        <v>12</v>
      </c>
      <c r="F362" s="8" t="s">
        <v>13</v>
      </c>
      <c r="G362" s="8" t="s">
        <v>296</v>
      </c>
      <c r="H362" s="16">
        <v>182.0</v>
      </c>
      <c r="I362" s="15" t="str">
        <f>SUBSTITUTE(Sheet1!K362, "Rp", "")</f>
        <v>42308000</v>
      </c>
    </row>
    <row r="363">
      <c r="A363" s="8" t="s">
        <v>1163</v>
      </c>
      <c r="B363" s="13" t="str">
        <f>HYPERLINK("https://shopee.co.id/All-Perfect-Fresh-Calming-Serum-i.167618454.2610526746", "https://shopee.co.id/All-Perfect-Fresh-Calming-Serum-i.167618454.2610526746")</f>
        <v>https://shopee.co.id/All-Perfect-Fresh-Calming-Serum-i.167618454.2610526746</v>
      </c>
      <c r="C363" s="8" t="s">
        <v>718</v>
      </c>
      <c r="D363" s="8" t="s">
        <v>678</v>
      </c>
      <c r="E363" s="8" t="s">
        <v>12</v>
      </c>
      <c r="F363" s="8" t="s">
        <v>13</v>
      </c>
      <c r="G363" s="8" t="s">
        <v>296</v>
      </c>
      <c r="H363" s="16">
        <v>182.0</v>
      </c>
      <c r="I363" s="15" t="str">
        <f>SUBSTITUTE(Sheet1!K363, "Rp", "")</f>
        <v>13650000</v>
      </c>
    </row>
    <row r="364">
      <c r="A364" s="8" t="s">
        <v>557</v>
      </c>
      <c r="B364" s="13" t="str">
        <f>HYPERLINK("https://shopee.co.id/Avoskin-Perfect-Hydrating-Treatment-Essence-100ml-Special-Edition-i.154494405.4173595239", "https://shopee.co.id/Avoskin-Perfect-Hydrating-Treatment-Essence-100ml-Special-Edition-i.154494405.4173595239")</f>
        <v>https://shopee.co.id/Avoskin-Perfect-Hydrating-Treatment-Essence-100ml-Special-Edition-i.154494405.4173595239</v>
      </c>
      <c r="C364" s="8" t="s">
        <v>83</v>
      </c>
      <c r="D364" s="8" t="s">
        <v>84</v>
      </c>
      <c r="E364" s="8" t="s">
        <v>12</v>
      </c>
      <c r="F364" s="8" t="s">
        <v>13</v>
      </c>
      <c r="G364" s="8" t="s">
        <v>85</v>
      </c>
      <c r="H364" s="16">
        <v>182.0</v>
      </c>
      <c r="I364" s="15" t="str">
        <f>SUBSTITUTE(Sheet1!K364, "Rp", "")</f>
        <v>54048000</v>
      </c>
    </row>
    <row r="365">
      <c r="A365" s="8" t="s">
        <v>1331</v>
      </c>
      <c r="B365" s="13" t="str">
        <f>HYPERLINK("https://shopee.co.id/Hanasui-Intense-Treatment-Serum-Rich-Nutrition-i.129681299.3103712843", "https://shopee.co.id/Hanasui-Intense-Treatment-Serum-Rich-Nutrition-i.129681299.3103712843")</f>
        <v>https://shopee.co.id/Hanasui-Intense-Treatment-Serum-Rich-Nutrition-i.129681299.3103712843</v>
      </c>
      <c r="C365" s="8" t="s">
        <v>784</v>
      </c>
      <c r="D365" s="8" t="s">
        <v>785</v>
      </c>
      <c r="E365" s="8" t="s">
        <v>12</v>
      </c>
      <c r="F365" s="8" t="s">
        <v>13</v>
      </c>
      <c r="G365" s="8" t="s">
        <v>36</v>
      </c>
      <c r="H365" s="16">
        <v>181.0</v>
      </c>
      <c r="I365" s="15" t="str">
        <f>SUBSTITUTE(Sheet1!K365, "Rp", "")</f>
        <v>10187870</v>
      </c>
    </row>
    <row r="366">
      <c r="A366" s="8" t="s">
        <v>810</v>
      </c>
      <c r="B366" s="13" t="str">
        <f>HYPERLINK("https://shopee.co.id/Dear-Me-Beauty-Paket-Serum-Glowing-12-ml-Retinol-Cica-i.45495764.8386274370", "https://shopee.co.id/Dear-Me-Beauty-Paket-Serum-Glowing-12-ml-Retinol-Cica-i.45495764.8386274370")</f>
        <v>https://shopee.co.id/Dear-Me-Beauty-Paket-Serum-Glowing-12-ml-Retinol-Cica-i.45495764.8386274370</v>
      </c>
      <c r="C366" s="8" t="s">
        <v>70</v>
      </c>
      <c r="D366" s="8" t="s">
        <v>71</v>
      </c>
      <c r="E366" s="8" t="s">
        <v>12</v>
      </c>
      <c r="F366" s="8" t="s">
        <v>13</v>
      </c>
      <c r="G366" s="8" t="s">
        <v>61</v>
      </c>
      <c r="H366" s="16">
        <v>180.0</v>
      </c>
      <c r="I366" s="15" t="str">
        <f>SUBSTITUTE(Sheet1!K366, "Rp", "")</f>
        <v>30568800</v>
      </c>
    </row>
    <row r="367">
      <c r="A367" s="8" t="s">
        <v>960</v>
      </c>
      <c r="B367" s="13" t="str">
        <f>HYPERLINK("https://shopee.co.id/Somethinc-HYAluronic9-Advanced-B5-Serum-20-ml-i.110573301.8815961729", "https://shopee.co.id/Somethinc-HYAluronic9-Advanced-B5-Serum-20-ml-i.110573301.8815961729")</f>
        <v>https://shopee.co.id/Somethinc-HYAluronic9-Advanced-B5-Serum-20-ml-i.110573301.8815961729</v>
      </c>
      <c r="C367" s="8" t="s">
        <v>45</v>
      </c>
      <c r="D367" s="8" t="s">
        <v>227</v>
      </c>
      <c r="E367" s="8" t="s">
        <v>12</v>
      </c>
      <c r="F367" s="8" t="s">
        <v>13</v>
      </c>
      <c r="G367" s="8" t="s">
        <v>61</v>
      </c>
      <c r="H367" s="16">
        <v>180.0</v>
      </c>
      <c r="I367" s="15" t="str">
        <f>SUBSTITUTE(Sheet1!K367, "Rp", "")</f>
        <v>20601900</v>
      </c>
    </row>
    <row r="368">
      <c r="A368" s="8" t="s">
        <v>2220</v>
      </c>
      <c r="B368" s="13" t="str">
        <f>HYPERLINK("https://shopee.co.id/BUHOTEI-Hanasui-Vit-C-Collagen-Facial-Serum-Anti-Acne-Serum-Vitamin-C-New-Look-New-Formula-BPOM-i.403097854.8088976330", "https://shopee.co.id/BUHOTEI-Hanasui-Vit-C-Collagen-Facial-Serum-Anti-Acne-Serum-Vitamin-C-New-Look-New-Formula-BPOM-i.403097854.8088976330")</f>
        <v>https://shopee.co.id/BUHOTEI-Hanasui-Vit-C-Collagen-Facial-Serum-Anti-Acne-Serum-Vitamin-C-New-Look-New-Formula-BPOM-i.403097854.8088976330</v>
      </c>
      <c r="C368" s="8" t="s">
        <v>784</v>
      </c>
      <c r="D368" s="8" t="s">
        <v>1035</v>
      </c>
      <c r="E368" s="8" t="s">
        <v>12</v>
      </c>
      <c r="F368" s="8" t="s">
        <v>13</v>
      </c>
      <c r="G368" s="8" t="s">
        <v>61</v>
      </c>
      <c r="H368" s="16">
        <v>179.0</v>
      </c>
      <c r="I368" s="15" t="str">
        <f>SUBSTITUTE(Sheet1!K368, "Rp", "")</f>
        <v>2508500</v>
      </c>
    </row>
    <row r="369">
      <c r="A369" s="8" t="s">
        <v>1726</v>
      </c>
      <c r="B369" s="13" t="str">
        <f>HYPERLINK("https://shopee.co.id/BUHOTEI-Implora-Facial-Serum-Essence-Midnight-Serum-Luminous-Brightening-Serum-i.403097854.13502543323", "https://shopee.co.id/BUHOTEI-Implora-Facial-Serum-Essence-Midnight-Serum-Luminous-Brightening-Serum-i.403097854.13502543323")</f>
        <v>https://shopee.co.id/BUHOTEI-Implora-Facial-Serum-Essence-Midnight-Serum-Luminous-Brightening-Serum-i.403097854.13502543323</v>
      </c>
      <c r="C369" s="8" t="s">
        <v>113</v>
      </c>
      <c r="D369" s="8" t="s">
        <v>1035</v>
      </c>
      <c r="E369" s="8" t="s">
        <v>12</v>
      </c>
      <c r="F369" s="8" t="s">
        <v>13</v>
      </c>
      <c r="G369" s="8" t="s">
        <v>61</v>
      </c>
      <c r="H369" s="16">
        <v>179.0</v>
      </c>
      <c r="I369" s="15" t="str">
        <f>SUBSTITUTE(Sheet1!K369, "Rp", "")</f>
        <v>5191000</v>
      </c>
    </row>
    <row r="370">
      <c r="A370" s="8" t="s">
        <v>885</v>
      </c>
      <c r="B370" s="13" t="str">
        <f>HYPERLINK("https://shopee.co.id/MSBB-Avoskin-Your-Skin-Bae-Salicylic-Acid-2-Zinc-i.288588702.4679490398", "https://shopee.co.id/MSBB-Avoskin-Your-Skin-Bae-Salicylic-Acid-2-Zinc-i.288588702.4679490398")</f>
        <v>https://shopee.co.id/MSBB-Avoskin-Your-Skin-Bae-Salicylic-Acid-2-Zinc-i.288588702.4679490398</v>
      </c>
      <c r="C370" s="8" t="s">
        <v>83</v>
      </c>
      <c r="D370" s="8" t="s">
        <v>79</v>
      </c>
      <c r="E370" s="8" t="s">
        <v>12</v>
      </c>
      <c r="F370" s="8" t="s">
        <v>13</v>
      </c>
      <c r="G370" s="8" t="s">
        <v>80</v>
      </c>
      <c r="H370" s="16">
        <v>179.0</v>
      </c>
      <c r="I370" s="15" t="str">
        <f>SUBSTITUTE(Sheet1!K370, "Rp", "")</f>
        <v>24881000</v>
      </c>
    </row>
    <row r="371">
      <c r="A371" s="8" t="s">
        <v>1161</v>
      </c>
      <c r="B371" s="13" t="str">
        <f>HYPERLINK("https://shopee.co.id/ACNES-DERMA-ANTI-BLEMISH-ESSENCE-20ML-i.78713320.6859623013", "https://shopee.co.id/ACNES-DERMA-ANTI-BLEMISH-ESSENCE-20ML-i.78713320.6859623013")</f>
        <v>https://shopee.co.id/ACNES-DERMA-ANTI-BLEMISH-ESSENCE-20ML-i.78713320.6859623013</v>
      </c>
      <c r="C371" s="8" t="s">
        <v>1162</v>
      </c>
      <c r="D371" s="8" t="s">
        <v>831</v>
      </c>
      <c r="E371" s="8" t="s">
        <v>12</v>
      </c>
      <c r="F371" s="8" t="s">
        <v>13</v>
      </c>
      <c r="G371" s="8" t="s">
        <v>61</v>
      </c>
      <c r="H371" s="16">
        <v>178.0</v>
      </c>
      <c r="I371" s="15" t="str">
        <f>SUBSTITUTE(Sheet1!K371, "Rp", "")</f>
        <v>13741400</v>
      </c>
    </row>
    <row r="372">
      <c r="A372" s="8" t="s">
        <v>1093</v>
      </c>
      <c r="B372" s="13" t="str">
        <f>HYPERLINK("https://shopee.co.id/Dear-Me-Beauty-1-Bakuchiol-Blueberry-Extract-Face-Serum-12ml-i.45495764.5687287444", "https://shopee.co.id/Dear-Me-Beauty-1-Bakuchiol-Blueberry-Extract-Face-Serum-12ml-i.45495764.5687287444")</f>
        <v>https://shopee.co.id/Dear-Me-Beauty-1-Bakuchiol-Blueberry-Extract-Face-Serum-12ml-i.45495764.5687287444</v>
      </c>
      <c r="C372" s="8" t="s">
        <v>70</v>
      </c>
      <c r="D372" s="8" t="s">
        <v>71</v>
      </c>
      <c r="E372" s="8" t="s">
        <v>12</v>
      </c>
      <c r="F372" s="8" t="s">
        <v>13</v>
      </c>
      <c r="G372" s="8" t="s">
        <v>61</v>
      </c>
      <c r="H372" s="16">
        <v>178.0</v>
      </c>
      <c r="I372" s="15" t="str">
        <f>SUBSTITUTE(Sheet1!K372, "Rp", "")</f>
        <v>15570550</v>
      </c>
    </row>
    <row r="373">
      <c r="A373" s="8" t="s">
        <v>1152</v>
      </c>
      <c r="B373" s="13" t="str">
        <f>HYPERLINK("https://shopee.co.id/Dear-Me-Beauty-10-Cica-Watermelon-Extract-Face-Serum-12ml-i.45495764.2950079790", "https://shopee.co.id/Dear-Me-Beauty-10-Cica-Watermelon-Extract-Face-Serum-12ml-i.45495764.2950079790")</f>
        <v>https://shopee.co.id/Dear-Me-Beauty-10-Cica-Watermelon-Extract-Face-Serum-12ml-i.45495764.2950079790</v>
      </c>
      <c r="C373" s="8" t="s">
        <v>70</v>
      </c>
      <c r="D373" s="8" t="s">
        <v>71</v>
      </c>
      <c r="E373" s="8" t="s">
        <v>12</v>
      </c>
      <c r="F373" s="8" t="s">
        <v>13</v>
      </c>
      <c r="G373" s="8" t="s">
        <v>61</v>
      </c>
      <c r="H373" s="16">
        <v>178.0</v>
      </c>
      <c r="I373" s="15" t="str">
        <f>SUBSTITUTE(Sheet1!K373, "Rp", "")</f>
        <v>13825000</v>
      </c>
    </row>
    <row r="374">
      <c r="A374" s="8" t="s">
        <v>756</v>
      </c>
      <c r="B374" s="13" t="str">
        <f>HYPERLINK("https://shopee.co.id/Npure-Face-Serum-Marigold-Series-Anti-Aging-Face-Serum--i.115276607.6311768787", "https://shopee.co.id/Npure-Face-Serum-Marigold-Series-Anti-Aging-Face-Serum--i.115276607.6311768787")</f>
        <v>https://shopee.co.id/Npure-Face-Serum-Marigold-Series-Anti-Aging-Face-Serum--i.115276607.6311768787</v>
      </c>
      <c r="C374" s="8" t="s">
        <v>266</v>
      </c>
      <c r="D374" s="8" t="s">
        <v>267</v>
      </c>
      <c r="E374" s="8" t="s">
        <v>12</v>
      </c>
      <c r="F374" s="8" t="s">
        <v>13</v>
      </c>
      <c r="G374" s="8" t="s">
        <v>61</v>
      </c>
      <c r="H374" s="16">
        <v>177.0</v>
      </c>
      <c r="I374" s="15" t="str">
        <f>SUBSTITUTE(Sheet1!K374, "Rp", "")</f>
        <v>33942369</v>
      </c>
    </row>
    <row r="375">
      <c r="A375" s="8" t="s">
        <v>968</v>
      </c>
      <c r="B375" s="13" t="str">
        <f>HYPERLINK("https://shopee.co.id/Tuesbelle-NUTRISHE-Intensive-Bright-Glow-Serum-20ml-30ml-i.36872574.3293306963", "https://shopee.co.id/Tuesbelle-NUTRISHE-Intensive-Bright-Glow-Serum-20ml-30ml-i.36872574.3293306963")</f>
        <v>https://shopee.co.id/Tuesbelle-NUTRISHE-Intensive-Bright-Glow-Serum-20ml-30ml-i.36872574.3293306963</v>
      </c>
      <c r="C375" s="8" t="s">
        <v>195</v>
      </c>
      <c r="D375" s="8" t="s">
        <v>969</v>
      </c>
      <c r="E375" s="8" t="s">
        <v>12</v>
      </c>
      <c r="F375" s="8" t="s">
        <v>13</v>
      </c>
      <c r="G375" s="8" t="s">
        <v>115</v>
      </c>
      <c r="H375" s="16">
        <v>177.0</v>
      </c>
      <c r="I375" s="15" t="str">
        <f>SUBSTITUTE(Sheet1!K375, "Rp", "")</f>
        <v>20279610</v>
      </c>
    </row>
    <row r="376">
      <c r="A376" s="8" t="s">
        <v>923</v>
      </c>
      <c r="B376" s="13" t="str">
        <f>HYPERLINK("https://shopee.co.id/MSBB-Avoskin-Perfect-Hydrating-Treatment-Essence-30ml-i.288588702.7343558923", "https://shopee.co.id/MSBB-Avoskin-Perfect-Hydrating-Treatment-Essence-30ml-i.288588702.7343558923")</f>
        <v>https://shopee.co.id/MSBB-Avoskin-Perfect-Hydrating-Treatment-Essence-30ml-i.288588702.7343558923</v>
      </c>
      <c r="C376" s="8" t="s">
        <v>83</v>
      </c>
      <c r="D376" s="8" t="s">
        <v>79</v>
      </c>
      <c r="E376" s="8" t="s">
        <v>12</v>
      </c>
      <c r="F376" s="8" t="s">
        <v>13</v>
      </c>
      <c r="G376" s="8" t="s">
        <v>80</v>
      </c>
      <c r="H376" s="16">
        <v>176.0</v>
      </c>
      <c r="I376" s="15" t="str">
        <f>SUBSTITUTE(Sheet1!K376, "Rp", "")</f>
        <v>22921100</v>
      </c>
    </row>
    <row r="377">
      <c r="A377" s="8" t="s">
        <v>956</v>
      </c>
      <c r="B377" s="13" t="str">
        <f>HYPERLINK("https://shopee.co.id/Derma-Express-Midnight-Glow-Brightening-Serum-i.243650388.9546316923", "https://shopee.co.id/Derma-Express-Midnight-Glow-Brightening-Serum-i.243650388.9546316923")</f>
        <v>https://shopee.co.id/Derma-Express-Midnight-Glow-Brightening-Serum-i.243650388.9546316923</v>
      </c>
      <c r="C377" s="8" t="s">
        <v>957</v>
      </c>
      <c r="D377" s="8" t="s">
        <v>958</v>
      </c>
      <c r="E377" s="8" t="s">
        <v>12</v>
      </c>
      <c r="F377" s="8" t="s">
        <v>13</v>
      </c>
      <c r="G377" s="8" t="s">
        <v>532</v>
      </c>
      <c r="H377" s="16">
        <v>175.0</v>
      </c>
      <c r="I377" s="15" t="str">
        <f>SUBSTITUTE(Sheet1!K377, "Rp", "")</f>
        <v>21000000</v>
      </c>
    </row>
    <row r="378">
      <c r="A378" s="8" t="s">
        <v>974</v>
      </c>
      <c r="B378" s="13" t="str">
        <f>HYPERLINK("https://shopee.co.id/ELLA-SKINCARE-Luminous-Glow-Serum-i.95154428.9461363664", "https://shopee.co.id/ELLA-SKINCARE-Luminous-Glow-Serum-i.95154428.9461363664")</f>
        <v>https://shopee.co.id/ELLA-SKINCARE-Luminous-Glow-Serum-i.95154428.9461363664</v>
      </c>
      <c r="C378" s="8" t="s">
        <v>954</v>
      </c>
      <c r="D378" s="8" t="s">
        <v>598</v>
      </c>
      <c r="E378" s="8" t="s">
        <v>12</v>
      </c>
      <c r="F378" s="8" t="s">
        <v>13</v>
      </c>
      <c r="G378" s="8" t="s">
        <v>409</v>
      </c>
      <c r="H378" s="16">
        <v>174.0</v>
      </c>
      <c r="I378" s="15" t="str">
        <f>SUBSTITUTE(Sheet1!K378, "Rp", "")</f>
        <v>20071350</v>
      </c>
    </row>
    <row r="379">
      <c r="A379" s="8" t="s">
        <v>1337</v>
      </c>
      <c r="B379" s="13" t="str">
        <f>HYPERLINK("https://shopee.co.id/Ceramide-Ginseng-Skinbar-Serum-for-skin-barrier--i.19578272.10225618689", "https://shopee.co.id/Ceramide-Ginseng-Skinbar-Serum-for-skin-barrier--i.19578272.10225618689")</f>
        <v>https://shopee.co.id/Ceramide-Ginseng-Skinbar-Serum-for-skin-barrier--i.19578272.10225618689</v>
      </c>
      <c r="C379" s="8" t="s">
        <v>1300</v>
      </c>
      <c r="D379" s="8" t="s">
        <v>1301</v>
      </c>
      <c r="E379" s="8" t="s">
        <v>12</v>
      </c>
      <c r="F379" s="8" t="s">
        <v>13</v>
      </c>
      <c r="G379" s="8" t="s">
        <v>98</v>
      </c>
      <c r="H379" s="16">
        <v>171.0</v>
      </c>
      <c r="I379" s="15" t="str">
        <f>SUBSTITUTE(Sheet1!K379, "Rp", "")</f>
        <v>10089000</v>
      </c>
    </row>
    <row r="380">
      <c r="A380" s="8" t="s">
        <v>1484</v>
      </c>
      <c r="B380" s="13" t="str">
        <f>HYPERLINK("https://shopee.co.id/-BPOM-Voucher-kkv-BREYLEE-Step-2-Pore-Minimizer-Serum-Pengecil-Pori-Wajah-17ml--i.261911729.9014463413", "https://shopee.co.id/-BPOM-Voucher-kkv-BREYLEE-Step-2-Pore-Minimizer-Serum-Pengecil-Pori-Wajah-17ml--i.261911729.9014463413")</f>
        <v>https://shopee.co.id/-BPOM-Voucher-kkv-BREYLEE-Step-2-Pore-Minimizer-Serum-Pengecil-Pori-Wajah-17ml--i.261911729.9014463413</v>
      </c>
      <c r="C380" s="8" t="s">
        <v>852</v>
      </c>
      <c r="D380" s="8" t="s">
        <v>1485</v>
      </c>
      <c r="E380" s="8" t="s">
        <v>12</v>
      </c>
      <c r="F380" s="8" t="s">
        <v>13</v>
      </c>
      <c r="G380" s="8" t="s">
        <v>61</v>
      </c>
      <c r="H380" s="16">
        <v>170.0</v>
      </c>
      <c r="I380" s="15" t="str">
        <f>SUBSTITUTE(Sheet1!K380, "Rp", "")</f>
        <v>7839000</v>
      </c>
    </row>
    <row r="381">
      <c r="A381" s="8" t="s">
        <v>909</v>
      </c>
      <c r="B381" s="13" t="str">
        <f>HYPERLINK("https://shopee.co.id/Solcare-Bundling-Collagen-Serum-and-Cream-i.266902345.8410913826", "https://shopee.co.id/Solcare-Bundling-Collagen-Serum-and-Cream-i.266902345.8410913826")</f>
        <v>https://shopee.co.id/Solcare-Bundling-Collagen-Serum-and-Cream-i.266902345.8410913826</v>
      </c>
      <c r="C381" s="8" t="s">
        <v>910</v>
      </c>
      <c r="D381" s="8" t="s">
        <v>911</v>
      </c>
      <c r="E381" s="8" t="s">
        <v>12</v>
      </c>
      <c r="F381" s="8" t="s">
        <v>13</v>
      </c>
      <c r="G381" s="8" t="s">
        <v>241</v>
      </c>
      <c r="H381" s="16">
        <v>170.0</v>
      </c>
      <c r="I381" s="15" t="str">
        <f>SUBSTITUTE(Sheet1!K381, "Rp", "")</f>
        <v>23449000</v>
      </c>
    </row>
    <row r="382">
      <c r="A382" s="8" t="s">
        <v>760</v>
      </c>
      <c r="B382" s="13" t="str">
        <f>HYPERLINK("https://shopee.co.id/HAYEJIN-Blessing-of-Sprout-Enriched-Serum-i.240712269.3467699876", "https://shopee.co.id/HAYEJIN-Blessing-of-Sprout-Enriched-Serum-i.240712269.3467699876")</f>
        <v>https://shopee.co.id/HAYEJIN-Blessing-of-Sprout-Enriched-Serum-i.240712269.3467699876</v>
      </c>
      <c r="C382" s="8" t="s">
        <v>761</v>
      </c>
      <c r="D382" s="8" t="s">
        <v>762</v>
      </c>
      <c r="E382" s="8" t="s">
        <v>12</v>
      </c>
      <c r="F382" s="8" t="s">
        <v>13</v>
      </c>
      <c r="G382" s="8" t="s">
        <v>98</v>
      </c>
      <c r="H382" s="16">
        <v>169.0</v>
      </c>
      <c r="I382" s="15" t="str">
        <f>SUBSTITUTE(Sheet1!K382, "Rp", "")</f>
        <v>33631000</v>
      </c>
    </row>
    <row r="383">
      <c r="A383" s="8" t="s">
        <v>972</v>
      </c>
      <c r="B383" s="13" t="str">
        <f>HYPERLINK("https://shopee.co.id/MEDGLOW-CLINIC-Acne-Control-Serum-Aesthetic-Skincare-Serum-Anti-Acne-Jerawat-Komedo-Oily-Skin-BPOM-i.285885972.3847684967", "https://shopee.co.id/MEDGLOW-CLINIC-Acne-Control-Serum-Aesthetic-Skincare-Serum-Anti-Acne-Jerawat-Komedo-Oily-Skin-BPOM-i.285885972.3847684967")</f>
        <v>https://shopee.co.id/MEDGLOW-CLINIC-Acne-Control-Serum-Aesthetic-Skincare-Serum-Anti-Acne-Jerawat-Komedo-Oily-Skin-BPOM-i.285885972.3847684967</v>
      </c>
      <c r="C383" s="8" t="s">
        <v>949</v>
      </c>
      <c r="D383" s="8" t="s">
        <v>950</v>
      </c>
      <c r="E383" s="8" t="s">
        <v>12</v>
      </c>
      <c r="F383" s="8" t="s">
        <v>13</v>
      </c>
      <c r="G383" s="8" t="s">
        <v>380</v>
      </c>
      <c r="H383" s="16">
        <v>169.0</v>
      </c>
      <c r="I383" s="15" t="str">
        <f>SUBSTITUTE(Sheet1!K383, "Rp", "")</f>
        <v>20093750</v>
      </c>
    </row>
    <row r="384">
      <c r="A384" s="8" t="s">
        <v>799</v>
      </c>
      <c r="B384" s="13" t="str">
        <f>HYPERLINK("https://shopee.co.id/Ponds-Age-Miracle-Face-Serum-30-ml-Ponds-Age-Miracle-Facial-Foam-100g-i.14318452.7358132679", "https://shopee.co.id/Ponds-Age-Miracle-Face-Serum-30-ml-Ponds-Age-Miracle-Facial-Foam-100g-i.14318452.7358132679")</f>
        <v>https://shopee.co.id/Ponds-Age-Miracle-Face-Serum-30-ml-Ponds-Age-Miracle-Facial-Foam-100g-i.14318452.7358132679</v>
      </c>
      <c r="C384" s="8" t="s">
        <v>325</v>
      </c>
      <c r="D384" s="8" t="s">
        <v>326</v>
      </c>
      <c r="E384" s="8" t="s">
        <v>12</v>
      </c>
      <c r="F384" s="8" t="s">
        <v>13</v>
      </c>
      <c r="G384" s="8" t="s">
        <v>296</v>
      </c>
      <c r="H384" s="16">
        <v>169.0</v>
      </c>
      <c r="I384" s="15" t="str">
        <f>SUBSTITUTE(Sheet1!K384, "Rp", "")</f>
        <v>31387900</v>
      </c>
    </row>
    <row r="385">
      <c r="A385" s="8" t="s">
        <v>993</v>
      </c>
      <c r="B385" s="13" t="str">
        <f>HYPERLINK("https://shopee.co.id/SOMETHINC-Niacinamide-Moisture-Beet-Serum-20-ml--i.68111.2020472236", "https://shopee.co.id/SOMETHINC-Niacinamide-Moisture-Beet-Serum-20-ml--i.68111.2020472236")</f>
        <v>https://shopee.co.id/SOMETHINC-Niacinamide-Moisture-Beet-Serum-20-ml--i.68111.2020472236</v>
      </c>
      <c r="C385" s="8" t="s">
        <v>45</v>
      </c>
      <c r="D385" s="8" t="s">
        <v>441</v>
      </c>
      <c r="E385" s="8" t="s">
        <v>12</v>
      </c>
      <c r="F385" s="8" t="s">
        <v>13</v>
      </c>
      <c r="G385" s="8" t="s">
        <v>130</v>
      </c>
      <c r="H385" s="16">
        <v>168.0</v>
      </c>
      <c r="I385" s="15" t="str">
        <f>SUBSTITUTE(Sheet1!K385, "Rp", "")</f>
        <v>19404000</v>
      </c>
    </row>
    <row r="386">
      <c r="A386" s="8" t="s">
        <v>930</v>
      </c>
      <c r="B386" s="13" t="str">
        <f>HYPERLINK("https://shopee.co.id/Glowlabs-Glo-C-Serum-Brightening-Vitamin-C-Skincare--i.336869851.5768605060", "https://shopee.co.id/Glowlabs-Glo-C-Serum-Brightening-Vitamin-C-Skincare--i.336869851.5768605060")</f>
        <v>https://shopee.co.id/Glowlabs-Glo-C-Serum-Brightening-Vitamin-C-Skincare--i.336869851.5768605060</v>
      </c>
      <c r="C386" s="8" t="s">
        <v>407</v>
      </c>
      <c r="D386" s="8" t="s">
        <v>408</v>
      </c>
      <c r="E386" s="8" t="s">
        <v>12</v>
      </c>
      <c r="F386" s="8" t="s">
        <v>13</v>
      </c>
      <c r="G386" s="8" t="s">
        <v>409</v>
      </c>
      <c r="H386" s="16">
        <v>167.0</v>
      </c>
      <c r="I386" s="15" t="str">
        <f>SUBSTITUTE(Sheet1!K386, "Rp", "")</f>
        <v>22084500</v>
      </c>
    </row>
    <row r="387">
      <c r="A387" s="8" t="s">
        <v>1342</v>
      </c>
      <c r="B387" s="13" t="str">
        <f>HYPERLINK("https://shopee.co.id/Jellys-Pure-Face-Serum-i.114257288.6717399724", "https://shopee.co.id/Jellys-Pure-Face-Serum-i.114257288.6717399724")</f>
        <v>https://shopee.co.id/Jellys-Pure-Face-Serum-i.114257288.6717399724</v>
      </c>
      <c r="C387" s="8" t="s">
        <v>1343</v>
      </c>
      <c r="D387" s="8" t="s">
        <v>1344</v>
      </c>
      <c r="E387" s="8" t="s">
        <v>12</v>
      </c>
      <c r="F387" s="8" t="s">
        <v>13</v>
      </c>
      <c r="G387" s="8" t="s">
        <v>61</v>
      </c>
      <c r="H387" s="16">
        <v>166.0</v>
      </c>
      <c r="I387" s="15" t="str">
        <f>SUBSTITUTE(Sheet1!K387, "Rp", "")</f>
        <v>9992580</v>
      </c>
    </row>
    <row r="388">
      <c r="A388" s="8" t="s">
        <v>509</v>
      </c>
      <c r="B388" s="13" t="str">
        <f>HYPERLINK("https://shopee.co.id/LUNICA-Bundle-Bright-Bloom-Serum-Cream-i.298959895.11324230315", "https://shopee.co.id/LUNICA-Bundle-Bright-Bloom-Serum-Cream-i.298959895.11324230315")</f>
        <v>https://shopee.co.id/LUNICA-Bundle-Bright-Bloom-Serum-Cream-i.298959895.11324230315</v>
      </c>
      <c r="C388" s="8" t="s">
        <v>510</v>
      </c>
      <c r="D388" s="8" t="s">
        <v>511</v>
      </c>
      <c r="E388" s="8" t="s">
        <v>12</v>
      </c>
      <c r="F388" s="8" t="s">
        <v>13</v>
      </c>
      <c r="G388" s="8" t="s">
        <v>36</v>
      </c>
      <c r="H388" s="16">
        <v>166.0</v>
      </c>
      <c r="I388" s="15" t="str">
        <f>SUBSTITUTE(Sheet1!K388, "Rp", "")</f>
        <v>58292600</v>
      </c>
    </row>
    <row r="389">
      <c r="A389" s="8" t="s">
        <v>936</v>
      </c>
      <c r="B389" s="13" t="str">
        <f>HYPERLINK("https://shopee.co.id/Avoskin-YOUR-SKIN-BAE-SERIES-SALICYLIC-ACID-2-ZINC-ANTI-ACNE-AND-EXFOLIATING-SERUM-30-ML-i.50972887.8122268042", "https://shopee.co.id/Avoskin-YOUR-SKIN-BAE-SERIES-SALICYLIC-ACID-2-ZINC-ANTI-ACNE-AND-EXFOLIATING-SERUM-30-ML-i.50972887.8122268042")</f>
        <v>https://shopee.co.id/Avoskin-YOUR-SKIN-BAE-SERIES-SALICYLIC-ACID-2-ZINC-ANTI-ACNE-AND-EXFOLIATING-SERUM-30-ML-i.50972887.8122268042</v>
      </c>
      <c r="C389" s="8" t="s">
        <v>937</v>
      </c>
      <c r="D389" s="8" t="s">
        <v>552</v>
      </c>
      <c r="E389" s="8" t="s">
        <v>12</v>
      </c>
      <c r="F389" s="8" t="s">
        <v>13</v>
      </c>
      <c r="G389" s="8" t="s">
        <v>61</v>
      </c>
      <c r="H389" s="16">
        <v>165.0</v>
      </c>
      <c r="I389" s="15" t="str">
        <f>SUBSTITUTE(Sheet1!K389, "Rp", "")</f>
        <v>21775460</v>
      </c>
    </row>
    <row r="390">
      <c r="A390" s="8" t="s">
        <v>1451</v>
      </c>
      <c r="B390" s="13" t="str">
        <f>HYPERLINK("https://shopee.co.id/-GIFT-NOT-FOR-SALE-Crystallure-NFS-Booster-Essence-6-ml-i.59763733.8502958950", "https://shopee.co.id/-GIFT-NOT-FOR-SALE-Crystallure-NFS-Booster-Essence-6-ml-i.59763733.8502958950")</f>
        <v>https://shopee.co.id/-GIFT-NOT-FOR-SALE-Crystallure-NFS-Booster-Essence-6-ml-i.59763733.8502958950</v>
      </c>
      <c r="C390" s="8" t="s">
        <v>169</v>
      </c>
      <c r="D390" s="8" t="s">
        <v>170</v>
      </c>
      <c r="E390" s="8" t="s">
        <v>12</v>
      </c>
      <c r="F390" s="8" t="s">
        <v>13</v>
      </c>
      <c r="G390" s="8" t="s">
        <v>98</v>
      </c>
      <c r="H390" s="16">
        <v>164.0</v>
      </c>
      <c r="I390" s="15" t="str">
        <f>SUBSTITUTE(Sheet1!K390, "Rp", "")</f>
        <v>8200000</v>
      </c>
    </row>
    <row r="391">
      <c r="A391" s="8" t="s">
        <v>1570</v>
      </c>
      <c r="B391" s="13" t="str">
        <f>HYPERLINK("https://shopee.co.id/NIVEA-Make-Up-Starter-White-Day-Serum-SPF-33-30-ml-i.39283823.664930310", "https://shopee.co.id/NIVEA-Make-Up-Starter-White-Day-Serum-SPF-33-30-ml-i.39283823.664930310")</f>
        <v>https://shopee.co.id/NIVEA-Make-Up-Starter-White-Day-Serum-SPF-33-30-ml-i.39283823.664930310</v>
      </c>
      <c r="C391" s="8" t="s">
        <v>1571</v>
      </c>
      <c r="D391" s="8" t="s">
        <v>1572</v>
      </c>
      <c r="E391" s="8" t="s">
        <v>12</v>
      </c>
      <c r="F391" s="8" t="s">
        <v>13</v>
      </c>
      <c r="G391" s="8" t="s">
        <v>296</v>
      </c>
      <c r="H391" s="16">
        <v>164.0</v>
      </c>
      <c r="I391" s="15" t="str">
        <f>SUBSTITUTE(Sheet1!K391, "Rp", "")</f>
        <v>6807200</v>
      </c>
    </row>
    <row r="392">
      <c r="A392" s="8" t="s">
        <v>815</v>
      </c>
      <c r="B392" s="13" t="str">
        <f>HYPERLINK("https://shopee.co.id/Serum-Mencerahkan-LUNICA-Bright-Bloom-Serum-i.298959895.6463806967", "https://shopee.co.id/Serum-Mencerahkan-LUNICA-Bright-Bloom-Serum-i.298959895.6463806967")</f>
        <v>https://shopee.co.id/Serum-Mencerahkan-LUNICA-Bright-Bloom-Serum-i.298959895.6463806967</v>
      </c>
      <c r="C392" s="8" t="s">
        <v>510</v>
      </c>
      <c r="D392" s="8" t="s">
        <v>511</v>
      </c>
      <c r="E392" s="8" t="s">
        <v>12</v>
      </c>
      <c r="F392" s="8" t="s">
        <v>13</v>
      </c>
      <c r="G392" s="8" t="s">
        <v>36</v>
      </c>
      <c r="H392" s="16">
        <v>160.0</v>
      </c>
      <c r="I392" s="15" t="str">
        <f>SUBSTITUTE(Sheet1!K392, "Rp", "")</f>
        <v>30131980</v>
      </c>
    </row>
    <row r="393">
      <c r="A393" s="8" t="s">
        <v>813</v>
      </c>
      <c r="B393" s="13" t="str">
        <f>HYPERLINK("https://shopee.co.id/-innisfree-NEW-Green-Tea-Seed-Serum-Deluxe-Size-30ml-i.61504589.4485134601", "https://shopee.co.id/-innisfree-NEW-Green-Tea-Seed-Serum-Deluxe-Size-30ml-i.61504589.4485134601")</f>
        <v>https://shopee.co.id/-innisfree-NEW-Green-Tea-Seed-Serum-Deluxe-Size-30ml-i.61504589.4485134601</v>
      </c>
      <c r="C393" s="8" t="s">
        <v>294</v>
      </c>
      <c r="D393" s="8" t="s">
        <v>295</v>
      </c>
      <c r="E393" s="8" t="s">
        <v>12</v>
      </c>
      <c r="F393" s="8" t="s">
        <v>13</v>
      </c>
      <c r="G393" s="8" t="s">
        <v>296</v>
      </c>
      <c r="H393" s="16">
        <v>159.0</v>
      </c>
      <c r="I393" s="15" t="str">
        <f>SUBSTITUTE(Sheet1!K393, "Rp", "")</f>
        <v>30237000</v>
      </c>
    </row>
    <row r="394">
      <c r="A394" s="8" t="s">
        <v>1204</v>
      </c>
      <c r="B394" s="13" t="str">
        <f>HYPERLINK("https://shopee.co.id/Mineral-Botanica-Niacinamide-Serum-with-Artichoke-Leaf-Extract--i.124549994.9127208214", "https://shopee.co.id/Mineral-Botanica-Niacinamide-Serum-with-Artichoke-Leaf-Extract--i.124549994.9127208214")</f>
        <v>https://shopee.co.id/Mineral-Botanica-Niacinamide-Serum-with-Artichoke-Leaf-Extract--i.124549994.9127208214</v>
      </c>
      <c r="C394" s="8" t="s">
        <v>807</v>
      </c>
      <c r="D394" s="8" t="s">
        <v>808</v>
      </c>
      <c r="E394" s="8" t="s">
        <v>12</v>
      </c>
      <c r="F394" s="8" t="s">
        <v>13</v>
      </c>
      <c r="G394" s="8" t="s">
        <v>61</v>
      </c>
      <c r="H394" s="16">
        <v>158.0</v>
      </c>
      <c r="I394" s="15" t="str">
        <f>SUBSTITUTE(Sheet1!K394, "Rp", "")</f>
        <v>12886520</v>
      </c>
    </row>
    <row r="395">
      <c r="A395" s="8" t="s">
        <v>2101</v>
      </c>
      <c r="B395" s="13" t="str">
        <f>HYPERLINK("https://shopee.co.id/Rojukiss-Orange-C-Bright-Pore-Care-Serum-size-8-ml-Edit-by-Sociolla-i.224957239.9751326924", "https://shopee.co.id/Rojukiss-Orange-C-Bright-Pore-Care-Serum-size-8-ml-Edit-by-Sociolla-i.224957239.9751326924")</f>
        <v>https://shopee.co.id/Rojukiss-Orange-C-Bright-Pore-Care-Serum-size-8-ml-Edit-by-Sociolla-i.224957239.9751326924</v>
      </c>
      <c r="C395" s="8" t="s">
        <v>1508</v>
      </c>
      <c r="D395" s="8" t="s">
        <v>492</v>
      </c>
      <c r="E395" s="8" t="s">
        <v>12</v>
      </c>
      <c r="F395" s="8" t="s">
        <v>13</v>
      </c>
      <c r="G395" s="8" t="s">
        <v>21</v>
      </c>
      <c r="H395" s="16">
        <v>158.0</v>
      </c>
      <c r="I395" s="15" t="str">
        <f>SUBSTITUTE(Sheet1!K395, "Rp", "")</f>
        <v>2962350</v>
      </c>
    </row>
    <row r="396">
      <c r="A396" s="8" t="s">
        <v>1014</v>
      </c>
      <c r="B396" s="13" t="str">
        <f>HYPERLINK("https://shopee.co.id/Aish-Acne-Brightening-Darkspot-Serum-Original-dan-Bersertifikat-BPOM-i.406360531.8362531011", "https://shopee.co.id/Aish-Acne-Brightening-Darkspot-Serum-Original-dan-Bersertifikat-BPOM-i.406360531.8362531011")</f>
        <v>https://shopee.co.id/Aish-Acne-Brightening-Darkspot-Serum-Original-dan-Bersertifikat-BPOM-i.406360531.8362531011</v>
      </c>
      <c r="C396" s="8" t="s">
        <v>1015</v>
      </c>
      <c r="D396" s="8" t="s">
        <v>444</v>
      </c>
      <c r="E396" s="8" t="s">
        <v>12</v>
      </c>
      <c r="F396" s="8" t="s">
        <v>13</v>
      </c>
      <c r="G396" s="8" t="s">
        <v>241</v>
      </c>
      <c r="H396" s="16">
        <v>157.0</v>
      </c>
      <c r="I396" s="15" t="str">
        <f>SUBSTITUTE(Sheet1!K396, "Rp", "")</f>
        <v>18683000</v>
      </c>
    </row>
    <row r="397">
      <c r="A397" s="8" t="s">
        <v>1121</v>
      </c>
      <c r="B397" s="13" t="str">
        <f>HYPERLINK("https://shopee.co.id/Purivera-Almond-Buckthorn-Serum-Oil-Anti-Aging-Sea-Bakuchiol-1-As-Retinol-Retinoid-Alternative-i.43724442.8616988385", "https://shopee.co.id/Purivera-Almond-Buckthorn-Serum-Oil-Anti-Aging-Sea-Bakuchiol-1-As-Retinol-Retinoid-Alternative-i.43724442.8616988385")</f>
        <v>https://shopee.co.id/Purivera-Almond-Buckthorn-Serum-Oil-Anti-Aging-Sea-Bakuchiol-1-As-Retinol-Retinoid-Alternative-i.43724442.8616988385</v>
      </c>
      <c r="C397" s="8" t="s">
        <v>428</v>
      </c>
      <c r="D397" s="8" t="s">
        <v>429</v>
      </c>
      <c r="E397" s="8" t="s">
        <v>12</v>
      </c>
      <c r="F397" s="8" t="s">
        <v>13</v>
      </c>
      <c r="G397" s="8" t="s">
        <v>61</v>
      </c>
      <c r="H397" s="16">
        <v>157.0</v>
      </c>
      <c r="I397" s="15" t="str">
        <f>SUBSTITUTE(Sheet1!K397, "Rp", "")</f>
        <v>14817000</v>
      </c>
    </row>
    <row r="398">
      <c r="A398" s="8" t="s">
        <v>1917</v>
      </c>
      <c r="B398" s="13" t="str">
        <f>HYPERLINK("https://shopee.co.id/Nuface-Nu-Glow-Liquid-Acneprone-Care-Serum-Serum-Acne--i.2315394.11644481484", "https://shopee.co.id/Nuface-Nu-Glow-Liquid-Acneprone-Care-Serum-Serum-Acne--i.2315394.11644481484")</f>
        <v>https://shopee.co.id/Nuface-Nu-Glow-Liquid-Acneprone-Care-Serum-Serum-Acne--i.2315394.11644481484</v>
      </c>
      <c r="C398" s="8" t="s">
        <v>1918</v>
      </c>
      <c r="D398" s="8" t="s">
        <v>1919</v>
      </c>
      <c r="E398" s="8" t="s">
        <v>12</v>
      </c>
      <c r="F398" s="8" t="s">
        <v>13</v>
      </c>
      <c r="G398" s="8" t="s">
        <v>61</v>
      </c>
      <c r="H398" s="16">
        <v>156.0</v>
      </c>
      <c r="I398" s="15" t="str">
        <f>SUBSTITUTE(Sheet1!K398, "Rp", "")</f>
        <v>3936500</v>
      </c>
    </row>
    <row r="399">
      <c r="A399" s="8" t="s">
        <v>1149</v>
      </c>
      <c r="B399" s="13" t="str">
        <f>HYPERLINK("https://shopee.co.id/YOU-AcnePlus-Complete-Solution-Serum-20-ml-i.72375863.6393092312", "https://shopee.co.id/YOU-AcnePlus-Complete-Solution-Serum-20-ml-i.72375863.6393092312")</f>
        <v>https://shopee.co.id/YOU-AcnePlus-Complete-Solution-Serum-20-ml-i.72375863.6393092312</v>
      </c>
      <c r="C399" s="8" t="s">
        <v>128</v>
      </c>
      <c r="D399" s="8" t="s">
        <v>129</v>
      </c>
      <c r="E399" s="8" t="s">
        <v>12</v>
      </c>
      <c r="F399" s="8" t="s">
        <v>13</v>
      </c>
      <c r="G399" s="8" t="s">
        <v>130</v>
      </c>
      <c r="H399" s="16">
        <v>156.0</v>
      </c>
      <c r="I399" s="15" t="str">
        <f>SUBSTITUTE(Sheet1!K399, "Rp", "")</f>
        <v>14066100</v>
      </c>
    </row>
    <row r="400">
      <c r="A400" s="8" t="s">
        <v>1109</v>
      </c>
      <c r="B400" s="13" t="str">
        <f>HYPERLINK("https://shopee.co.id/Somethinc-Niacinamide-Moisture-SABI-Beet-Serum-i.270965687.6577485883", "https://shopee.co.id/Somethinc-Niacinamide-Moisture-SABI-Beet-Serum-i.270965687.6577485883")</f>
        <v>https://shopee.co.id/Somethinc-Niacinamide-Moisture-SABI-Beet-Serum-i.270965687.6577485883</v>
      </c>
      <c r="C400" s="8" t="s">
        <v>45</v>
      </c>
      <c r="D400" s="8" t="s">
        <v>379</v>
      </c>
      <c r="E400" s="8" t="s">
        <v>12</v>
      </c>
      <c r="F400" s="8" t="s">
        <v>13</v>
      </c>
      <c r="G400" s="8" t="s">
        <v>380</v>
      </c>
      <c r="H400" s="16">
        <v>155.0</v>
      </c>
      <c r="I400" s="15" t="str">
        <f>SUBSTITUTE(Sheet1!K400, "Rp", "")</f>
        <v>14934500</v>
      </c>
    </row>
    <row r="401">
      <c r="A401" s="8" t="s">
        <v>1063</v>
      </c>
      <c r="B401" s="13" t="str">
        <f>HYPERLINK("https://shopee.co.id/DERMALUZ-Serum-Acne-Exfoliating-i.43690338.696079125", "https://shopee.co.id/DERMALUZ-Serum-Acne-Exfoliating-i.43690338.696079125")</f>
        <v>https://shopee.co.id/DERMALUZ-Serum-Acne-Exfoliating-i.43690338.696079125</v>
      </c>
      <c r="C401" s="8" t="s">
        <v>1064</v>
      </c>
      <c r="D401" s="8" t="s">
        <v>1065</v>
      </c>
      <c r="E401" s="8" t="s">
        <v>12</v>
      </c>
      <c r="F401" s="8" t="s">
        <v>13</v>
      </c>
      <c r="G401" s="8" t="s">
        <v>241</v>
      </c>
      <c r="H401" s="16">
        <v>154.0</v>
      </c>
      <c r="I401" s="15" t="str">
        <f>SUBSTITUTE(Sheet1!K401, "Rp", "")</f>
        <v>16410500</v>
      </c>
    </row>
    <row r="402">
      <c r="A402" s="8" t="s">
        <v>1153</v>
      </c>
      <c r="B402" s="13" t="str">
        <f>HYPERLINK("https://shopee.co.id/ERTOS-SERUM-KINCLONG-ERTO-S-SERUM-CREAM-MUKA-i.23831802.380720959", "https://shopee.co.id/ERTOS-SERUM-KINCLONG-ERTO-S-SERUM-CREAM-MUKA-i.23831802.380720959")</f>
        <v>https://shopee.co.id/ERTOS-SERUM-KINCLONG-ERTO-S-SERUM-CREAM-MUKA-i.23831802.380720959</v>
      </c>
      <c r="C402" s="8" t="s">
        <v>467</v>
      </c>
      <c r="D402" s="8" t="s">
        <v>1084</v>
      </c>
      <c r="E402" s="8" t="s">
        <v>12</v>
      </c>
      <c r="F402" s="8" t="s">
        <v>13</v>
      </c>
      <c r="G402" s="8" t="s">
        <v>1085</v>
      </c>
      <c r="H402" s="16">
        <v>154.0</v>
      </c>
      <c r="I402" s="15" t="str">
        <f>SUBSTITUTE(Sheet1!K402, "Rp", "")</f>
        <v>13788000</v>
      </c>
    </row>
    <row r="403">
      <c r="A403" s="8" t="s">
        <v>298</v>
      </c>
      <c r="B403" s="13" t="str">
        <f>HYPERLINK("https://shopee.co.id/La-Roche-Posay-Effaclar-Acne-Serum-Routine-FREE-GIFTS-senilai-Rp-680-000-i.433144176.9887147243", "https://shopee.co.id/La-Roche-Posay-Effaclar-Acne-Serum-Routine-FREE-GIFTS-senilai-Rp-680-000-i.433144176.9887147243")</f>
        <v>https://shopee.co.id/La-Roche-Posay-Effaclar-Acne-Serum-Routine-FREE-GIFTS-senilai-Rp-680-000-i.433144176.9887147243</v>
      </c>
      <c r="C403" s="8" t="s">
        <v>147</v>
      </c>
      <c r="D403" s="8" t="s">
        <v>148</v>
      </c>
      <c r="E403" s="8" t="s">
        <v>12</v>
      </c>
      <c r="F403" s="8" t="s">
        <v>13</v>
      </c>
      <c r="G403" s="8" t="s">
        <v>61</v>
      </c>
      <c r="H403" s="16">
        <v>153.0</v>
      </c>
      <c r="I403" s="15" t="str">
        <f>SUBSTITUTE(Sheet1!K403, "Rp", "")</f>
        <v>139852300</v>
      </c>
    </row>
    <row r="404">
      <c r="A404" s="8" t="s">
        <v>1127</v>
      </c>
      <c r="B404" s="13" t="str">
        <f>HYPERLINK("https://shopee.co.id/SECA-BHA-2-Serum-i.373749700.9970218720", "https://shopee.co.id/SECA-BHA-2-Serum-i.373749700.9970218720")</f>
        <v>https://shopee.co.id/SECA-BHA-2-Serum-i.373749700.9970218720</v>
      </c>
      <c r="C404" s="8" t="s">
        <v>985</v>
      </c>
      <c r="D404" s="8" t="s">
        <v>986</v>
      </c>
      <c r="E404" s="8" t="s">
        <v>12</v>
      </c>
      <c r="F404" s="8" t="s">
        <v>13</v>
      </c>
      <c r="G404" s="8" t="s">
        <v>36</v>
      </c>
      <c r="H404" s="16">
        <v>152.0</v>
      </c>
      <c r="I404" s="15" t="str">
        <f>SUBSTITUTE(Sheet1!K404, "Rp", "")</f>
        <v>14513400</v>
      </c>
    </row>
    <row r="405">
      <c r="A405" s="8" t="s">
        <v>562</v>
      </c>
      <c r="B405" s="13" t="str">
        <f>HYPERLINK("https://shopee.co.id/-LEBIH-HEMAT-Olay-Regenerist-Ritual-Serum-Wajah-Anti-Aging-Skincare-50ml-Paket-isi-2-i.11487927.6030533049", "https://shopee.co.id/-LEBIH-HEMAT-Olay-Regenerist-Ritual-Serum-Wajah-Anti-Aging-Skincare-50ml-Paket-isi-2-i.11487927.6030533049")</f>
        <v>https://shopee.co.id/-LEBIH-HEMAT-Olay-Regenerist-Ritual-Serum-Wajah-Anti-Aging-Skincare-50ml-Paket-isi-2-i.11487927.6030533049</v>
      </c>
      <c r="C405" s="8" t="s">
        <v>317</v>
      </c>
      <c r="D405" s="8" t="s">
        <v>318</v>
      </c>
      <c r="E405" s="8" t="s">
        <v>12</v>
      </c>
      <c r="F405" s="8" t="s">
        <v>13</v>
      </c>
      <c r="G405" s="8" t="s">
        <v>296</v>
      </c>
      <c r="H405" s="16">
        <v>151.0</v>
      </c>
      <c r="I405" s="15" t="str">
        <f>SUBSTITUTE(Sheet1!K405, "Rp", "")</f>
        <v>53633700</v>
      </c>
    </row>
    <row r="406">
      <c r="A406" s="8" t="s">
        <v>1426</v>
      </c>
      <c r="B406" s="13" t="str">
        <f>HYPERLINK("https://shopee.co.id/-BPOM-LANBENA-Vitamin-C-Serum-Mencerahkan-Wajah-30ml--i.397732085.8231114283", "https://shopee.co.id/-BPOM-LANBENA-Vitamin-C-Serum-Mencerahkan-Wajah-30ml--i.397732085.8231114283")</f>
        <v>https://shopee.co.id/-BPOM-LANBENA-Vitamin-C-Serum-Mencerahkan-Wajah-30ml--i.397732085.8231114283</v>
      </c>
      <c r="C406" s="8" t="s">
        <v>1427</v>
      </c>
      <c r="D406" s="8" t="s">
        <v>1428</v>
      </c>
      <c r="E406" s="8" t="s">
        <v>12</v>
      </c>
      <c r="F406" s="8" t="s">
        <v>13</v>
      </c>
      <c r="G406" s="8" t="s">
        <v>532</v>
      </c>
      <c r="H406" s="16">
        <v>150.0</v>
      </c>
      <c r="I406" s="15" t="str">
        <f>SUBSTITUTE(Sheet1!K406, "Rp", "")</f>
        <v>8547000</v>
      </c>
    </row>
    <row r="407">
      <c r="A407" s="8" t="s">
        <v>146</v>
      </c>
      <c r="B407" s="13" t="str">
        <f>HYPERLINK("https://shopee.co.id/La-Roche-Posay-Hyalu-B5-50ml-Bundle-FREE-Kerastase-i.433144176.10349225959", "https://shopee.co.id/La-Roche-Posay-Hyalu-B5-50ml-Bundle-FREE-Kerastase-i.433144176.10349225959")</f>
        <v>https://shopee.co.id/La-Roche-Posay-Hyalu-B5-50ml-Bundle-FREE-Kerastase-i.433144176.10349225959</v>
      </c>
      <c r="C407" s="8" t="s">
        <v>147</v>
      </c>
      <c r="D407" s="8" t="s">
        <v>148</v>
      </c>
      <c r="E407" s="8" t="s">
        <v>12</v>
      </c>
      <c r="F407" s="8" t="s">
        <v>13</v>
      </c>
      <c r="G407" s="8" t="s">
        <v>61</v>
      </c>
      <c r="H407" s="16">
        <v>150.0</v>
      </c>
      <c r="I407" s="15" t="str">
        <f>SUBSTITUTE(Sheet1!K407, "Rp", "")</f>
        <v>358500000</v>
      </c>
    </row>
    <row r="408">
      <c r="A408" s="8" t="s">
        <v>1012</v>
      </c>
      <c r="B408" s="13" t="str">
        <f>HYPERLINK("https://shopee.co.id/SOMETHINC-5-Niacinamide-Moisture-Sabi-Beet-Serum-i.270965687.11730059749", "https://shopee.co.id/SOMETHINC-5-Niacinamide-Moisture-Sabi-Beet-Serum-i.270965687.11730059749")</f>
        <v>https://shopee.co.id/SOMETHINC-5-Niacinamide-Moisture-Sabi-Beet-Serum-i.270965687.11730059749</v>
      </c>
      <c r="C408" s="8" t="s">
        <v>45</v>
      </c>
      <c r="D408" s="8" t="s">
        <v>379</v>
      </c>
      <c r="E408" s="8" t="s">
        <v>12</v>
      </c>
      <c r="F408" s="8" t="s">
        <v>13</v>
      </c>
      <c r="G408" s="8" t="s">
        <v>380</v>
      </c>
      <c r="H408" s="16">
        <v>150.0</v>
      </c>
      <c r="I408" s="15" t="str">
        <f>SUBSTITUTE(Sheet1!K408, "Rp", "")</f>
        <v>18690000</v>
      </c>
    </row>
    <row r="409">
      <c r="A409" s="8" t="s">
        <v>1102</v>
      </c>
      <c r="B409" s="13" t="str">
        <f>HYPERLINK("https://shopee.co.id/AA-Anti-Aging-gold-serum-i.96907343.1583680597", "https://shopee.co.id/AA-Anti-Aging-gold-serum-i.96907343.1583680597")</f>
        <v>https://shopee.co.id/AA-Anti-Aging-gold-serum-i.96907343.1583680597</v>
      </c>
      <c r="C409" s="8" t="s">
        <v>467</v>
      </c>
      <c r="D409" s="8" t="s">
        <v>468</v>
      </c>
      <c r="E409" s="8" t="s">
        <v>12</v>
      </c>
      <c r="F409" s="8" t="s">
        <v>13</v>
      </c>
      <c r="G409" s="8" t="s">
        <v>469</v>
      </c>
      <c r="H409" s="16">
        <v>149.0</v>
      </c>
      <c r="I409" s="15" t="str">
        <f>SUBSTITUTE(Sheet1!K409, "Rp", "")</f>
        <v>15010000</v>
      </c>
    </row>
    <row r="410">
      <c r="A410" s="8" t="s">
        <v>759</v>
      </c>
      <c r="B410" s="13" t="str">
        <f>HYPERLINK("https://shopee.co.id/Votre-Peau-Vitamin-C-Serum-30ml-i.46300234.7421902339", "https://shopee.co.id/Votre-Peau-Vitamin-C-Serum-30ml-i.46300234.7421902339")</f>
        <v>https://shopee.co.id/Votre-Peau-Vitamin-C-Serum-30ml-i.46300234.7421902339</v>
      </c>
      <c r="C410" s="8" t="s">
        <v>471</v>
      </c>
      <c r="D410" s="8" t="s">
        <v>472</v>
      </c>
      <c r="E410" s="8" t="s">
        <v>12</v>
      </c>
      <c r="F410" s="8" t="s">
        <v>13</v>
      </c>
      <c r="G410" s="8" t="s">
        <v>98</v>
      </c>
      <c r="H410" s="16">
        <v>149.0</v>
      </c>
      <c r="I410" s="15" t="str">
        <f>SUBSTITUTE(Sheet1!K410, "Rp", "")</f>
        <v>33718600</v>
      </c>
    </row>
    <row r="411">
      <c r="A411" s="8" t="s">
        <v>1037</v>
      </c>
      <c r="B411" s="13" t="str">
        <f>HYPERLINK("https://shopee.co.id/NPURE-Silky-Face-Primer-Serum-Centella-Asiatica-Cica-Series--i.115276607.2132641807", "https://shopee.co.id/NPURE-Silky-Face-Primer-Serum-Centella-Asiatica-Cica-Series--i.115276607.2132641807")</f>
        <v>https://shopee.co.id/NPURE-Silky-Face-Primer-Serum-Centella-Asiatica-Cica-Series--i.115276607.2132641807</v>
      </c>
      <c r="C411" s="8" t="s">
        <v>266</v>
      </c>
      <c r="D411" s="8" t="s">
        <v>267</v>
      </c>
      <c r="E411" s="8" t="s">
        <v>12</v>
      </c>
      <c r="F411" s="8" t="s">
        <v>13</v>
      </c>
      <c r="G411" s="8" t="s">
        <v>61</v>
      </c>
      <c r="H411" s="16">
        <v>148.0</v>
      </c>
      <c r="I411" s="15" t="str">
        <f>SUBSTITUTE(Sheet1!K411, "Rp", "")</f>
        <v>17623500</v>
      </c>
    </row>
    <row r="412">
      <c r="A412" s="8" t="s">
        <v>2137</v>
      </c>
      <c r="B412" s="13" t="str">
        <f>HYPERLINK("https://shopee.co.id/Rojukiss-Eggplant-Dark-Spot-Serum-Edit-by-Sociolla-i.224957239.9370553345", "https://shopee.co.id/Rojukiss-Eggplant-Dark-Spot-Serum-Edit-by-Sociolla-i.224957239.9370553345")</f>
        <v>https://shopee.co.id/Rojukiss-Eggplant-Dark-Spot-Serum-Edit-by-Sociolla-i.224957239.9370553345</v>
      </c>
      <c r="C412" s="8" t="s">
        <v>1508</v>
      </c>
      <c r="D412" s="8" t="s">
        <v>492</v>
      </c>
      <c r="E412" s="8" t="s">
        <v>12</v>
      </c>
      <c r="F412" s="8" t="s">
        <v>13</v>
      </c>
      <c r="G412" s="8" t="s">
        <v>21</v>
      </c>
      <c r="H412" s="16">
        <v>148.0</v>
      </c>
      <c r="I412" s="15" t="str">
        <f>SUBSTITUTE(Sheet1!K412, "Rp", "")</f>
        <v>2776400</v>
      </c>
    </row>
    <row r="413">
      <c r="A413" s="8" t="s">
        <v>1041</v>
      </c>
      <c r="B413" s="13" t="str">
        <f>HYPERLINK("https://shopee.co.id/Wardah-Pore-Oil-Control-with-Lightening-C-defense-i.59763733.13601387874", "https://shopee.co.id/Wardah-Pore-Oil-Control-with-Lightening-C-defense-i.59763733.13601387874")</f>
        <v>https://shopee.co.id/Wardah-Pore-Oil-Control-with-Lightening-C-defense-i.59763733.13601387874</v>
      </c>
      <c r="C413" s="8" t="s">
        <v>169</v>
      </c>
      <c r="D413" s="8" t="s">
        <v>170</v>
      </c>
      <c r="E413" s="8" t="s">
        <v>12</v>
      </c>
      <c r="F413" s="8" t="s">
        <v>13</v>
      </c>
      <c r="G413" s="8" t="s">
        <v>98</v>
      </c>
      <c r="H413" s="16">
        <v>148.0</v>
      </c>
      <c r="I413" s="15" t="str">
        <f>SUBSTITUTE(Sheet1!K413, "Rp", "")</f>
        <v>17420625</v>
      </c>
    </row>
    <row r="414">
      <c r="A414" s="8" t="s">
        <v>1050</v>
      </c>
      <c r="B414" s="13" t="str">
        <f>HYPERLINK("https://shopee.co.id/SOMETHINC-10-Niacinamide-Moisture-Sabi-Beet-Brightening-Serum-20ml-10-sabi--i.68111.6677453253", "https://shopee.co.id/SOMETHINC-10-Niacinamide-Moisture-Sabi-Beet-Brightening-Serum-20ml-10-sabi--i.68111.6677453253")</f>
        <v>https://shopee.co.id/SOMETHINC-10-Niacinamide-Moisture-Sabi-Beet-Brightening-Serum-20ml-10-sabi--i.68111.6677453253</v>
      </c>
      <c r="C414" s="8" t="s">
        <v>45</v>
      </c>
      <c r="D414" s="8" t="s">
        <v>441</v>
      </c>
      <c r="E414" s="8" t="s">
        <v>12</v>
      </c>
      <c r="F414" s="8" t="s">
        <v>13</v>
      </c>
      <c r="G414" s="8" t="s">
        <v>130</v>
      </c>
      <c r="H414" s="16">
        <v>147.0</v>
      </c>
      <c r="I414" s="15" t="str">
        <f>SUBSTITUTE(Sheet1!K414, "Rp", "")</f>
        <v>16978500</v>
      </c>
    </row>
    <row r="415">
      <c r="A415" s="8" t="s">
        <v>1150</v>
      </c>
      <c r="B415" s="13" t="str">
        <f>HYPERLINK("https://shopee.co.id/The-Aubree-Rose-Bloom-Petal-Essence-120-ml-i.495290309.10920466657", "https://shopee.co.id/The-Aubree-Rose-Bloom-Petal-Essence-120-ml-i.495290309.10920466657")</f>
        <v>https://shopee.co.id/The-Aubree-Rose-Bloom-Petal-Essence-120-ml-i.495290309.10920466657</v>
      </c>
      <c r="C415" s="8" t="s">
        <v>772</v>
      </c>
      <c r="D415" s="8" t="s">
        <v>773</v>
      </c>
      <c r="E415" s="8" t="s">
        <v>12</v>
      </c>
      <c r="F415" s="8" t="s">
        <v>13</v>
      </c>
      <c r="G415" s="8" t="s">
        <v>241</v>
      </c>
      <c r="H415" s="16">
        <v>147.0</v>
      </c>
      <c r="I415" s="15" t="str">
        <f>SUBSTITUTE(Sheet1!K415, "Rp", "")</f>
        <v>13971870</v>
      </c>
    </row>
    <row r="416">
      <c r="A416" s="8" t="s">
        <v>1664</v>
      </c>
      <c r="B416" s="13" t="str">
        <f>HYPERLINK("https://shopee.co.id/Moriganic-Sunflower-Oil-Serum-Sun-Flower-30ml-BPOM-i.160415531.2622220420", "https://shopee.co.id/Moriganic-Sunflower-Oil-Serum-Sun-Flower-30ml-BPOM-i.160415531.2622220420")</f>
        <v>https://shopee.co.id/Moriganic-Sunflower-Oil-Serum-Sun-Flower-30ml-BPOM-i.160415531.2622220420</v>
      </c>
      <c r="C416" s="8" t="s">
        <v>1665</v>
      </c>
      <c r="D416" s="8" t="s">
        <v>1422</v>
      </c>
      <c r="E416" s="8" t="s">
        <v>12</v>
      </c>
      <c r="F416" s="8" t="s">
        <v>13</v>
      </c>
      <c r="G416" s="8" t="s">
        <v>21</v>
      </c>
      <c r="H416" s="16">
        <v>145.0</v>
      </c>
      <c r="I416" s="15" t="str">
        <f>SUBSTITUTE(Sheet1!K416, "Rp", "")</f>
        <v>5790600</v>
      </c>
    </row>
    <row r="417">
      <c r="A417" s="8" t="s">
        <v>863</v>
      </c>
      <c r="B417" s="13" t="str">
        <f>HYPERLINK("https://shopee.co.id/HANADA-Brighten-Up-Body-Serum-i.166666344.2584753633", "https://shopee.co.id/HANADA-Brighten-Up-Body-Serum-i.166666344.2584753633")</f>
        <v>https://shopee.co.id/HANADA-Brighten-Up-Body-Serum-i.166666344.2584753633</v>
      </c>
      <c r="C417" s="8" t="s">
        <v>864</v>
      </c>
      <c r="D417" s="8" t="s">
        <v>865</v>
      </c>
      <c r="E417" s="8" t="s">
        <v>12</v>
      </c>
      <c r="F417" s="8" t="s">
        <v>13</v>
      </c>
      <c r="G417" s="8" t="s">
        <v>21</v>
      </c>
      <c r="H417" s="16">
        <v>144.0</v>
      </c>
      <c r="I417" s="15" t="str">
        <f>SUBSTITUTE(Sheet1!K417, "Rp", "")</f>
        <v>26262000</v>
      </c>
    </row>
    <row r="418">
      <c r="A418" s="8" t="s">
        <v>1068</v>
      </c>
      <c r="B418" s="13" t="str">
        <f>HYPERLINK("https://shopee.co.id/Ella-Skincare-Translucent-White-Serum-i.95154428.9961362888", "https://shopee.co.id/Ella-Skincare-Translucent-White-Serum-i.95154428.9961362888")</f>
        <v>https://shopee.co.id/Ella-Skincare-Translucent-White-Serum-i.95154428.9961362888</v>
      </c>
      <c r="C418" s="8" t="s">
        <v>954</v>
      </c>
      <c r="D418" s="8" t="s">
        <v>598</v>
      </c>
      <c r="E418" s="8" t="s">
        <v>12</v>
      </c>
      <c r="F418" s="8" t="s">
        <v>13</v>
      </c>
      <c r="G418" s="8" t="s">
        <v>409</v>
      </c>
      <c r="H418" s="16">
        <v>142.0</v>
      </c>
      <c r="I418" s="15" t="str">
        <f>SUBSTITUTE(Sheet1!K418, "Rp", "")</f>
        <v>16321500</v>
      </c>
    </row>
    <row r="419">
      <c r="A419" s="8" t="s">
        <v>337</v>
      </c>
      <c r="B419" s="13" t="str">
        <f>HYPERLINK("https://shopee.co.id/Sulwhasoo-First-Care-Activating-Serum-Trial-Set-i.274949344.9420308144", "https://shopee.co.id/Sulwhasoo-First-Care-Activating-Serum-Trial-Set-i.274949344.9420308144")</f>
        <v>https://shopee.co.id/Sulwhasoo-First-Care-Activating-Serum-Trial-Set-i.274949344.9420308144</v>
      </c>
      <c r="C419" s="8" t="s">
        <v>282</v>
      </c>
      <c r="D419" s="8" t="s">
        <v>283</v>
      </c>
      <c r="E419" s="8" t="s">
        <v>12</v>
      </c>
      <c r="F419" s="8" t="s">
        <v>13</v>
      </c>
      <c r="G419" s="8" t="s">
        <v>61</v>
      </c>
      <c r="H419" s="16">
        <v>142.0</v>
      </c>
      <c r="I419" s="15" t="str">
        <f>SUBSTITUTE(Sheet1!K419, "Rp", "")</f>
        <v>109695900</v>
      </c>
    </row>
    <row r="420">
      <c r="A420" s="8" t="s">
        <v>2230</v>
      </c>
      <c r="B420" s="13" t="str">
        <f>HYPERLINK("https://shopee.co.id/Xi-XiU-FACE-SERUM-WHITENING-GOLD-i.222854973.8027187430", "https://shopee.co.id/Xi-XiU-FACE-SERUM-WHITENING-GOLD-i.222854973.8027187430")</f>
        <v>https://shopee.co.id/Xi-XiU-FACE-SERUM-WHITENING-GOLD-i.222854973.8027187430</v>
      </c>
      <c r="C420" s="8" t="s">
        <v>2231</v>
      </c>
      <c r="D420" s="8" t="s">
        <v>2232</v>
      </c>
      <c r="E420" s="8" t="s">
        <v>12</v>
      </c>
      <c r="F420" s="8" t="s">
        <v>13</v>
      </c>
      <c r="G420" s="8" t="s">
        <v>36</v>
      </c>
      <c r="H420" s="16">
        <v>142.0</v>
      </c>
      <c r="I420" s="15" t="str">
        <f>SUBSTITUTE(Sheet1!K420, "Rp", "")</f>
        <v>2485000</v>
      </c>
    </row>
    <row r="421">
      <c r="A421" s="8" t="s">
        <v>659</v>
      </c>
      <c r="B421" s="13" t="str">
        <f>HYPERLINK("https://shopee.co.id/Dancoly-Rosemary-Activating-Regrowth-Essence-50-ml-i.73390282.1352414296", "https://shopee.co.id/Dancoly-Rosemary-Activating-Regrowth-Essence-50-ml-i.73390282.1352414296")</f>
        <v>https://shopee.co.id/Dancoly-Rosemary-Activating-Regrowth-Essence-50-ml-i.73390282.1352414296</v>
      </c>
      <c r="C421" s="8" t="s">
        <v>660</v>
      </c>
      <c r="D421" s="8" t="s">
        <v>661</v>
      </c>
      <c r="E421" s="8" t="s">
        <v>12</v>
      </c>
      <c r="F421" s="8" t="s">
        <v>13</v>
      </c>
      <c r="G421" s="8" t="s">
        <v>61</v>
      </c>
      <c r="H421" s="16">
        <v>140.0</v>
      </c>
      <c r="I421" s="15" t="str">
        <f>SUBSTITUTE(Sheet1!K421, "Rp", "")</f>
        <v>43167300</v>
      </c>
    </row>
    <row r="422">
      <c r="A422" s="8" t="s">
        <v>194</v>
      </c>
      <c r="B422" s="13" t="str">
        <f>HYPERLINK("https://shopee.co.id/Nutrishe-Intensive-Bright-Glow-Serum-i.10689.5552371333", "https://shopee.co.id/Nutrishe-Intensive-Bright-Glow-Serum-i.10689.5552371333")</f>
        <v>https://shopee.co.id/Nutrishe-Intensive-Bright-Glow-Serum-i.10689.5552371333</v>
      </c>
      <c r="C422" s="8" t="s">
        <v>195</v>
      </c>
      <c r="D422" s="8" t="s">
        <v>745</v>
      </c>
      <c r="E422" s="8" t="s">
        <v>12</v>
      </c>
      <c r="F422" s="8" t="s">
        <v>13</v>
      </c>
      <c r="G422" s="8" t="s">
        <v>61</v>
      </c>
      <c r="H422" s="16">
        <v>140.0</v>
      </c>
      <c r="I422" s="15" t="str">
        <f>SUBSTITUTE(Sheet1!K422, "Rp", "")</f>
        <v>16380000</v>
      </c>
    </row>
    <row r="423">
      <c r="A423" s="8" t="s">
        <v>839</v>
      </c>
      <c r="B423" s="13" t="str">
        <f>HYPERLINK("https://shopee.co.id/THE-BATH-BOX-Peptide-Probiotic-anti-aging-wrinkle-firm-skin--i.52581685.3435452371", "https://shopee.co.id/THE-BATH-BOX-Peptide-Probiotic-anti-aging-wrinkle-firm-skin--i.52581685.3435452371")</f>
        <v>https://shopee.co.id/THE-BATH-BOX-Peptide-Probiotic-anti-aging-wrinkle-firm-skin--i.52581685.3435452371</v>
      </c>
      <c r="C423" s="8" t="s">
        <v>613</v>
      </c>
      <c r="D423" s="8" t="s">
        <v>614</v>
      </c>
      <c r="E423" s="8" t="s">
        <v>12</v>
      </c>
      <c r="F423" s="8" t="s">
        <v>13</v>
      </c>
      <c r="G423" s="8" t="s">
        <v>61</v>
      </c>
      <c r="H423" s="16">
        <v>140.0</v>
      </c>
      <c r="I423" s="15" t="str">
        <f>SUBSTITUTE(Sheet1!K423, "Rp", "")</f>
        <v>27469950</v>
      </c>
    </row>
    <row r="424">
      <c r="A424" s="8" t="s">
        <v>1091</v>
      </c>
      <c r="B424" s="13" t="str">
        <f>HYPERLINK("https://shopee.co.id/BREYLEE-Bundle-Hemat-Step-1-I-Step-2-I-Acne-Treatment-serum-I-3pcs-i.324706771.5064994381", "https://shopee.co.id/BREYLEE-Bundle-Hemat-Step-1-I-Step-2-I-Acne-Treatment-serum-I-3pcs-i.324706771.5064994381")</f>
        <v>https://shopee.co.id/BREYLEE-Bundle-Hemat-Step-1-I-Step-2-I-Acne-Treatment-serum-I-3pcs-i.324706771.5064994381</v>
      </c>
      <c r="C424" s="8" t="s">
        <v>852</v>
      </c>
      <c r="D424" s="8" t="s">
        <v>853</v>
      </c>
      <c r="E424" s="8" t="s">
        <v>12</v>
      </c>
      <c r="F424" s="8" t="s">
        <v>13</v>
      </c>
      <c r="G424" s="8" t="s">
        <v>532</v>
      </c>
      <c r="H424" s="16">
        <v>139.0</v>
      </c>
      <c r="I424" s="15" t="str">
        <f>SUBSTITUTE(Sheet1!K424, "Rp", "")</f>
        <v>15662300</v>
      </c>
    </row>
    <row r="425">
      <c r="A425" s="8" t="s">
        <v>792</v>
      </c>
      <c r="B425" s="13" t="str">
        <f>HYPERLINK("https://shopee.co.id/Natasha-by-dr-Fredi-Setyawan-Pure-Vit-C-Glow-Serum-i.40121814.9820413505", "https://shopee.co.id/Natasha-by-dr-Fredi-Setyawan-Pure-Vit-C-Glow-Serum-i.40121814.9820413505")</f>
        <v>https://shopee.co.id/Natasha-by-dr-Fredi-Setyawan-Pure-Vit-C-Glow-Serum-i.40121814.9820413505</v>
      </c>
      <c r="C425" s="8" t="s">
        <v>793</v>
      </c>
      <c r="D425" s="8" t="s">
        <v>794</v>
      </c>
      <c r="E425" s="8" t="s">
        <v>12</v>
      </c>
      <c r="F425" s="8" t="s">
        <v>13</v>
      </c>
      <c r="G425" s="8" t="s">
        <v>380</v>
      </c>
      <c r="H425" s="16">
        <v>139.0</v>
      </c>
      <c r="I425" s="15" t="str">
        <f>SUBSTITUTE(Sheet1!K425, "Rp", "")</f>
        <v>31591920</v>
      </c>
    </row>
    <row r="426">
      <c r="A426" s="8" t="s">
        <v>966</v>
      </c>
      <c r="B426" s="13" t="str">
        <f>HYPERLINK("https://shopee.co.id/Dear-Me-Beauty-5-Inoceramide-Ceramide-Pomegranate-Extract-Face-Serum-32ml-i.45495764.9148396869", "https://shopee.co.id/Dear-Me-Beauty-5-Inoceramide-Ceramide-Pomegranate-Extract-Face-Serum-32ml-i.45495764.9148396869")</f>
        <v>https://shopee.co.id/Dear-Me-Beauty-5-Inoceramide-Ceramide-Pomegranate-Extract-Face-Serum-32ml-i.45495764.9148396869</v>
      </c>
      <c r="C426" s="8" t="s">
        <v>70</v>
      </c>
      <c r="D426" s="8" t="s">
        <v>71</v>
      </c>
      <c r="E426" s="8" t="s">
        <v>12</v>
      </c>
      <c r="F426" s="8" t="s">
        <v>13</v>
      </c>
      <c r="G426" s="8" t="s">
        <v>61</v>
      </c>
      <c r="H426" s="16">
        <v>138.0</v>
      </c>
      <c r="I426" s="15" t="str">
        <f>SUBSTITUTE(Sheet1!K426, "Rp", "")</f>
        <v>20293800</v>
      </c>
    </row>
    <row r="427">
      <c r="A427" s="8" t="s">
        <v>844</v>
      </c>
      <c r="B427" s="13" t="str">
        <f>HYPERLINK("https://shopee.co.id/Benton-Snail-Bee-Ultimate-Serum-35ml-i.180415888.6903962904", "https://shopee.co.id/Benton-Snail-Bee-Ultimate-Serum-35ml-i.180415888.6903962904")</f>
        <v>https://shopee.co.id/Benton-Snail-Bee-Ultimate-Serum-35ml-i.180415888.6903962904</v>
      </c>
      <c r="C427" s="8" t="s">
        <v>456</v>
      </c>
      <c r="D427" s="8" t="s">
        <v>457</v>
      </c>
      <c r="E427" s="8" t="s">
        <v>12</v>
      </c>
      <c r="F427" s="8" t="s">
        <v>13</v>
      </c>
      <c r="G427" s="8" t="s">
        <v>80</v>
      </c>
      <c r="H427" s="16">
        <v>137.0</v>
      </c>
      <c r="I427" s="15" t="str">
        <f>SUBSTITUTE(Sheet1!K427, "Rp", "")</f>
        <v>27317500</v>
      </c>
    </row>
    <row r="428">
      <c r="A428" s="8" t="s">
        <v>300</v>
      </c>
      <c r="B428" s="13" t="str">
        <f>HYPERLINK("https://shopee.co.id/Sulwhasoo-Concentrated-Ginseng-Renewing-Serum-Trial-Kit-i.274949344.6963764722", "https://shopee.co.id/Sulwhasoo-Concentrated-Ginseng-Renewing-Serum-Trial-Kit-i.274949344.6963764722")</f>
        <v>https://shopee.co.id/Sulwhasoo-Concentrated-Ginseng-Renewing-Serum-Trial-Kit-i.274949344.6963764722</v>
      </c>
      <c r="C428" s="8" t="s">
        <v>282</v>
      </c>
      <c r="D428" s="8" t="s">
        <v>283</v>
      </c>
      <c r="E428" s="8" t="s">
        <v>12</v>
      </c>
      <c r="F428" s="8" t="s">
        <v>13</v>
      </c>
      <c r="G428" s="8" t="s">
        <v>61</v>
      </c>
      <c r="H428" s="16">
        <v>136.0</v>
      </c>
      <c r="I428" s="15" t="str">
        <f>SUBSTITUTE(Sheet1!K428, "Rp", "")</f>
        <v>136771000</v>
      </c>
    </row>
    <row r="429">
      <c r="A429" s="8" t="s">
        <v>805</v>
      </c>
      <c r="B429" s="13" t="str">
        <f>HYPERLINK("https://shopee.co.id/AVOSKIN-RETINOL-AMPOULE-30ml-i.68111.6136656122", "https://shopee.co.id/AVOSKIN-RETINOL-AMPOULE-30ml-i.68111.6136656122")</f>
        <v>https://shopee.co.id/AVOSKIN-RETINOL-AMPOULE-30ml-i.68111.6136656122</v>
      </c>
      <c r="C429" s="8" t="s">
        <v>83</v>
      </c>
      <c r="D429" s="8" t="s">
        <v>441</v>
      </c>
      <c r="E429" s="8" t="s">
        <v>12</v>
      </c>
      <c r="F429" s="8" t="s">
        <v>13</v>
      </c>
      <c r="G429" s="8" t="s">
        <v>130</v>
      </c>
      <c r="H429" s="16">
        <v>135.0</v>
      </c>
      <c r="I429" s="15" t="str">
        <f>SUBSTITUTE(Sheet1!K429, "Rp", "")</f>
        <v>30913350</v>
      </c>
    </row>
    <row r="430">
      <c r="A430" s="8" t="s">
        <v>1030</v>
      </c>
      <c r="B430" s="13" t="str">
        <f>HYPERLINK("https://shopee.co.id/Garnier-Sakura-White-Booster-Serum-30-ml-Sakura-White-Serum-Mask-x-3-Pcs-i.62583853.5541456013", "https://shopee.co.id/Garnier-Sakura-White-Booster-Serum-30-ml-Sakura-White-Serum-Mask-x-3-Pcs-i.62583853.5541456013")</f>
        <v>https://shopee.co.id/Garnier-Sakura-White-Booster-Serum-30-ml-Sakura-White-Serum-Mask-x-3-Pcs-i.62583853.5541456013</v>
      </c>
      <c r="C430" s="8" t="s">
        <v>74</v>
      </c>
      <c r="D430" s="8" t="s">
        <v>75</v>
      </c>
      <c r="E430" s="8" t="s">
        <v>12</v>
      </c>
      <c r="F430" s="8" t="s">
        <v>13</v>
      </c>
      <c r="G430" s="8" t="s">
        <v>61</v>
      </c>
      <c r="H430" s="16">
        <v>135.0</v>
      </c>
      <c r="I430" s="15" t="str">
        <f>SUBSTITUTE(Sheet1!K430, "Rp", "")</f>
        <v>17799100</v>
      </c>
    </row>
    <row r="431">
      <c r="A431" s="8" t="s">
        <v>879</v>
      </c>
      <c r="B431" s="13" t="str">
        <f>HYPERLINK("https://shopee.co.id/Lacoco-Dark-Spot-Essence-12ml-i.136011044.9814268427", "https://shopee.co.id/Lacoco-Dark-Spot-Essence-12ml-i.136011044.9814268427")</f>
        <v>https://shopee.co.id/Lacoco-Dark-Spot-Essence-12ml-i.136011044.9814268427</v>
      </c>
      <c r="C431" s="8" t="s">
        <v>501</v>
      </c>
      <c r="D431" s="8" t="s">
        <v>632</v>
      </c>
      <c r="E431" s="8" t="s">
        <v>12</v>
      </c>
      <c r="F431" s="8" t="s">
        <v>13</v>
      </c>
      <c r="G431" s="8" t="s">
        <v>21</v>
      </c>
      <c r="H431" s="16">
        <v>135.0</v>
      </c>
      <c r="I431" s="15" t="str">
        <f>SUBSTITUTE(Sheet1!K431, "Rp", "")</f>
        <v>25384000</v>
      </c>
    </row>
    <row r="432">
      <c r="A432" s="8" t="s">
        <v>1250</v>
      </c>
      <c r="B432" s="13" t="str">
        <f>HYPERLINK("https://shopee.co.id/Somethinc-5-Niacinamide-Barrier-Serum-20-ml-i.110573301.9283096673", "https://shopee.co.id/Somethinc-5-Niacinamide-Barrier-Serum-20-ml-i.110573301.9283096673")</f>
        <v>https://shopee.co.id/Somethinc-5-Niacinamide-Barrier-Serum-20-ml-i.110573301.9283096673</v>
      </c>
      <c r="C432" s="8" t="s">
        <v>45</v>
      </c>
      <c r="D432" s="8" t="s">
        <v>227</v>
      </c>
      <c r="E432" s="8" t="s">
        <v>12</v>
      </c>
      <c r="F432" s="8" t="s">
        <v>13</v>
      </c>
      <c r="G432" s="8" t="s">
        <v>61</v>
      </c>
      <c r="H432" s="16">
        <v>134.0</v>
      </c>
      <c r="I432" s="15" t="str">
        <f>SUBSTITUTE(Sheet1!K432, "Rp", "")</f>
        <v>11825200</v>
      </c>
    </row>
    <row r="433">
      <c r="A433" s="8" t="s">
        <v>1242</v>
      </c>
      <c r="B433" s="13" t="str">
        <f>HYPERLINK("https://shopee.co.id/SOMETHINC-Niacinamide-5-BARRIER-Serum-20ml-i.270965687.4591536633", "https://shopee.co.id/SOMETHINC-Niacinamide-5-BARRIER-Serum-20ml-i.270965687.4591536633")</f>
        <v>https://shopee.co.id/SOMETHINC-Niacinamide-5-BARRIER-Serum-20ml-i.270965687.4591536633</v>
      </c>
      <c r="C433" s="8" t="s">
        <v>45</v>
      </c>
      <c r="D433" s="8" t="s">
        <v>379</v>
      </c>
      <c r="E433" s="8" t="s">
        <v>12</v>
      </c>
      <c r="F433" s="8" t="s">
        <v>13</v>
      </c>
      <c r="G433" s="8" t="s">
        <v>380</v>
      </c>
      <c r="H433" s="16">
        <v>134.0</v>
      </c>
      <c r="I433" s="15" t="str">
        <f>SUBSTITUTE(Sheet1!K433, "Rp", "")</f>
        <v>11926000</v>
      </c>
    </row>
    <row r="434">
      <c r="A434" s="8" t="s">
        <v>1937</v>
      </c>
      <c r="B434" s="13" t="str">
        <f>HYPERLINK("https://shopee.co.id/ANTI-ACNE-BRIGHTENING-SERUM-i.110573301.8342622810", "https://shopee.co.id/ANTI-ACNE-BRIGHTENING-SERUM-i.110573301.8342622810")</f>
        <v>https://shopee.co.id/ANTI-ACNE-BRIGHTENING-SERUM-i.110573301.8342622810</v>
      </c>
      <c r="C434" s="8" t="s">
        <v>233</v>
      </c>
      <c r="D434" s="8" t="s">
        <v>227</v>
      </c>
      <c r="E434" s="8" t="s">
        <v>12</v>
      </c>
      <c r="F434" s="8" t="s">
        <v>13</v>
      </c>
      <c r="G434" s="8" t="s">
        <v>61</v>
      </c>
      <c r="H434" s="16">
        <v>133.0</v>
      </c>
      <c r="I434" s="15" t="str">
        <f>SUBSTITUTE(Sheet1!K434, "Rp", "")</f>
        <v>3790500</v>
      </c>
    </row>
    <row r="435">
      <c r="A435" s="8" t="s">
        <v>461</v>
      </c>
      <c r="B435" s="13" t="str">
        <f>HYPERLINK("https://shopee.co.id/-innisfree-Brightening-Pore-Serum-30ML-Serum-Wajah-Perawatan-Wajah-i.61504589.1007674339", "https://shopee.co.id/-innisfree-Brightening-Pore-Serum-30ML-Serum-Wajah-Perawatan-Wajah-i.61504589.1007674339")</f>
        <v>https://shopee.co.id/-innisfree-Brightening-Pore-Serum-30ML-Serum-Wajah-Perawatan-Wajah-i.61504589.1007674339</v>
      </c>
      <c r="C435" s="8" t="s">
        <v>294</v>
      </c>
      <c r="D435" s="8" t="s">
        <v>295</v>
      </c>
      <c r="E435" s="8" t="s">
        <v>12</v>
      </c>
      <c r="F435" s="8" t="s">
        <v>13</v>
      </c>
      <c r="G435" s="8" t="s">
        <v>296</v>
      </c>
      <c r="H435" s="16">
        <v>132.0</v>
      </c>
      <c r="I435" s="15" t="str">
        <f>SUBSTITUTE(Sheet1!K435, "Rp", "")</f>
        <v>68328000</v>
      </c>
    </row>
    <row r="436">
      <c r="A436" s="8" t="s">
        <v>478</v>
      </c>
      <c r="B436" s="13" t="str">
        <f>HYPERLINK("https://shopee.co.id/-innisfree-Green-Tea-Seed-Serum-160ml-Niacinamide-Hyaluronic-Acid-Hydration-Serum-Wajah-Skincare-i.61504589.10109844532", "https://shopee.co.id/-innisfree-Green-Tea-Seed-Serum-160ml-Niacinamide-Hyaluronic-Acid-Hydration-Serum-Wajah-Skincare-i.61504589.10109844532")</f>
        <v>https://shopee.co.id/-innisfree-Green-Tea-Seed-Serum-160ml-Niacinamide-Hyaluronic-Acid-Hydration-Serum-Wajah-Skincare-i.61504589.10109844532</v>
      </c>
      <c r="C436" s="8" t="s">
        <v>294</v>
      </c>
      <c r="D436" s="8" t="s">
        <v>295</v>
      </c>
      <c r="E436" s="8" t="s">
        <v>12</v>
      </c>
      <c r="F436" s="8" t="s">
        <v>13</v>
      </c>
      <c r="G436" s="8" t="s">
        <v>296</v>
      </c>
      <c r="H436" s="16">
        <v>132.0</v>
      </c>
      <c r="I436" s="15" t="str">
        <f>SUBSTITUTE(Sheet1!K436, "Rp", "")</f>
        <v>65340000</v>
      </c>
    </row>
    <row r="437">
      <c r="A437" s="8" t="s">
        <v>1494</v>
      </c>
      <c r="B437" s="13" t="str">
        <f>HYPERLINK("https://shopee.co.id/Brightening-Serum-With-Pearl-Almond-Extract-Beauty-In-The-Pot-Skincare-Alami-BPOM-Mencerahkan-Menghaluskan-Mengenyalkan-Wajah-i.254413838.7632325510", "https://shopee.co.id/Brightening-Serum-With-Pearl-Almond-Extract-Beauty-In-The-Pot-Skincare-Alami-BPOM-Mencerahkan-Menghaluskan-Mengenyalkan-Wajah-i.254413838.7632325510")</f>
        <v>https://shopee.co.id/Brightening-Serum-With-Pearl-Almond-Extract-Beauty-In-The-Pot-Skincare-Alami-BPOM-Mencerahkan-Menghaluskan-Mengenyalkan-Wajah-i.254413838.7632325510</v>
      </c>
      <c r="C437" s="8" t="s">
        <v>1495</v>
      </c>
      <c r="D437" s="8" t="s">
        <v>1496</v>
      </c>
      <c r="E437" s="8" t="s">
        <v>12</v>
      </c>
      <c r="F437" s="8" t="s">
        <v>13</v>
      </c>
      <c r="G437" s="8" t="s">
        <v>85</v>
      </c>
      <c r="H437" s="16">
        <v>132.0</v>
      </c>
      <c r="I437" s="15" t="str">
        <f>SUBSTITUTE(Sheet1!K437, "Rp", "")</f>
        <v>7788000</v>
      </c>
    </row>
    <row r="438">
      <c r="A438" s="8" t="s">
        <v>873</v>
      </c>
      <c r="B438" s="13" t="str">
        <f>HYPERLINK("https://shopee.co.id/-innisfree-Bija-Trouble-Spot-Essence-Jerawat-Trouble-Care-15ML-i.61504589.1414245103", "https://shopee.co.id/-innisfree-Bija-Trouble-Spot-Essence-Jerawat-Trouble-Care-15ML-i.61504589.1414245103")</f>
        <v>https://shopee.co.id/-innisfree-Bija-Trouble-Spot-Essence-Jerawat-Trouble-Care-15ML-i.61504589.1414245103</v>
      </c>
      <c r="C438" s="8" t="s">
        <v>294</v>
      </c>
      <c r="D438" s="8" t="s">
        <v>295</v>
      </c>
      <c r="E438" s="8" t="s">
        <v>12</v>
      </c>
      <c r="F438" s="8" t="s">
        <v>13</v>
      </c>
      <c r="G438" s="8" t="s">
        <v>296</v>
      </c>
      <c r="H438" s="16">
        <v>131.0</v>
      </c>
      <c r="I438" s="15" t="str">
        <f>SUBSTITUTE(Sheet1!K438, "Rp", "")</f>
        <v>25663000</v>
      </c>
    </row>
    <row r="439">
      <c r="A439" s="8" t="s">
        <v>1262</v>
      </c>
      <c r="B439" s="13" t="str">
        <f>HYPERLINK("https://shopee.co.id/Derma-Express-Acne-Defense-Intensive-Serum-i.243650388.6686772391", "https://shopee.co.id/Derma-Express-Acne-Defense-Intensive-Serum-i.243650388.6686772391")</f>
        <v>https://shopee.co.id/Derma-Express-Acne-Defense-Intensive-Serum-i.243650388.6686772391</v>
      </c>
      <c r="C439" s="8" t="s">
        <v>957</v>
      </c>
      <c r="D439" s="8" t="s">
        <v>958</v>
      </c>
      <c r="E439" s="8" t="s">
        <v>12</v>
      </c>
      <c r="F439" s="8" t="s">
        <v>13</v>
      </c>
      <c r="G439" s="8" t="s">
        <v>532</v>
      </c>
      <c r="H439" s="16">
        <v>131.0</v>
      </c>
      <c r="I439" s="15" t="str">
        <f>SUBSTITUTE(Sheet1!K439, "Rp", "")</f>
        <v>11659000</v>
      </c>
    </row>
    <row r="440">
      <c r="A440" s="8" t="s">
        <v>1004</v>
      </c>
      <c r="B440" s="13" t="str">
        <f>HYPERLINK("https://shopee.co.id/HISERHA-VP-Booster-Series-Sabun-Essence-Serum-Pencerah-Wajah-Khusus-Pria-i.129153987.5963028640", "https://shopee.co.id/HISERHA-VP-Booster-Series-Sabun-Essence-Serum-Pencerah-Wajah-Khusus-Pria-i.129153987.5963028640")</f>
        <v>https://shopee.co.id/HISERHA-VP-Booster-Series-Sabun-Essence-Serum-Pencerah-Wajah-Khusus-Pria-i.129153987.5963028640</v>
      </c>
      <c r="C440" s="8" t="s">
        <v>181</v>
      </c>
      <c r="D440" s="8" t="s">
        <v>182</v>
      </c>
      <c r="E440" s="8" t="s">
        <v>12</v>
      </c>
      <c r="F440" s="8" t="s">
        <v>13</v>
      </c>
      <c r="G440" s="8" t="s">
        <v>61</v>
      </c>
      <c r="H440" s="16">
        <v>131.0</v>
      </c>
      <c r="I440" s="15" t="str">
        <f>SUBSTITUTE(Sheet1!K440, "Rp", "")</f>
        <v>19120574</v>
      </c>
    </row>
    <row r="441">
      <c r="A441" s="8" t="s">
        <v>1881</v>
      </c>
      <c r="B441" s="13" t="str">
        <f>HYPERLINK("https://shopee.co.id/Pond-s-Instabright-Tone-Up-Milk-Essence-50-ml-i.14318452.3456158863", "https://shopee.co.id/Pond-s-Instabright-Tone-Up-Milk-Essence-50-ml-i.14318452.3456158863")</f>
        <v>https://shopee.co.id/Pond-s-Instabright-Tone-Up-Milk-Essence-50-ml-i.14318452.3456158863</v>
      </c>
      <c r="C441" s="8" t="s">
        <v>325</v>
      </c>
      <c r="D441" s="8" t="s">
        <v>326</v>
      </c>
      <c r="E441" s="8" t="s">
        <v>12</v>
      </c>
      <c r="F441" s="8" t="s">
        <v>13</v>
      </c>
      <c r="G441" s="8" t="s">
        <v>296</v>
      </c>
      <c r="H441" s="16">
        <v>131.0</v>
      </c>
      <c r="I441" s="15" t="str">
        <f>SUBSTITUTE(Sheet1!K441, "Rp", "")</f>
        <v>4190300</v>
      </c>
    </row>
    <row r="442">
      <c r="A442" s="8" t="s">
        <v>1170</v>
      </c>
      <c r="B442" s="13" t="str">
        <f>HYPERLINK("https://shopee.co.id/Vavl-Vightne-Blemish-Serum-15ml-i.50948181.8219201934", "https://shopee.co.id/Vavl-Vightne-Blemish-Serum-15ml-i.50948181.8219201934")</f>
        <v>https://shopee.co.id/Vavl-Vightne-Blemish-Serum-15ml-i.50948181.8219201934</v>
      </c>
      <c r="C442" s="8" t="s">
        <v>1171</v>
      </c>
      <c r="D442" s="8" t="s">
        <v>1129</v>
      </c>
      <c r="E442" s="8" t="s">
        <v>12</v>
      </c>
      <c r="F442" s="8" t="s">
        <v>13</v>
      </c>
      <c r="G442" s="8" t="s">
        <v>1130</v>
      </c>
      <c r="H442" s="16">
        <v>130.0</v>
      </c>
      <c r="I442" s="15" t="str">
        <f>SUBSTITUTE(Sheet1!K442, "Rp", "")</f>
        <v>13503000</v>
      </c>
    </row>
    <row r="443">
      <c r="A443" s="8" t="s">
        <v>898</v>
      </c>
      <c r="B443" s="13" t="str">
        <f>HYPERLINK("https://shopee.co.id/Dear-Me-Beauty-Retinol-Blueberry-Extract-Face-Serum-32ml-i.45495764.9648400112", "https://shopee.co.id/Dear-Me-Beauty-Retinol-Blueberry-Extract-Face-Serum-32ml-i.45495764.9648400112")</f>
        <v>https://shopee.co.id/Dear-Me-Beauty-Retinol-Blueberry-Extract-Face-Serum-32ml-i.45495764.9648400112</v>
      </c>
      <c r="C443" s="8" t="s">
        <v>70</v>
      </c>
      <c r="D443" s="8" t="s">
        <v>71</v>
      </c>
      <c r="E443" s="8" t="s">
        <v>12</v>
      </c>
      <c r="F443" s="8" t="s">
        <v>13</v>
      </c>
      <c r="G443" s="8" t="s">
        <v>61</v>
      </c>
      <c r="H443" s="16">
        <v>130.0</v>
      </c>
      <c r="I443" s="15" t="str">
        <f>SUBSTITUTE(Sheet1!K443, "Rp", "")</f>
        <v>24078600</v>
      </c>
    </row>
    <row r="444">
      <c r="A444" s="8" t="s">
        <v>1497</v>
      </c>
      <c r="B444" s="13" t="str">
        <f>HYPERLINK("https://shopee.co.id/Garnier-Light-Complete-White-Speed-Day-Serum-Cream-UVA-UVB-Skin-Care-40ml-x-2-Pcs-i.62583853.5736373662", "https://shopee.co.id/Garnier-Light-Complete-White-Speed-Day-Serum-Cream-UVA-UVB-Skin-Care-40ml-x-2-Pcs-i.62583853.5736373662")</f>
        <v>https://shopee.co.id/Garnier-Light-Complete-White-Speed-Day-Serum-Cream-UVA-UVB-Skin-Care-40ml-x-2-Pcs-i.62583853.5736373662</v>
      </c>
      <c r="C444" s="8" t="s">
        <v>74</v>
      </c>
      <c r="D444" s="8" t="s">
        <v>75</v>
      </c>
      <c r="E444" s="8" t="s">
        <v>12</v>
      </c>
      <c r="F444" s="8" t="s">
        <v>13</v>
      </c>
      <c r="G444" s="8" t="s">
        <v>61</v>
      </c>
      <c r="H444" s="16">
        <v>130.0</v>
      </c>
      <c r="I444" s="15" t="str">
        <f>SUBSTITUTE(Sheet1!K444, "Rp", "")</f>
        <v>7767300</v>
      </c>
    </row>
    <row r="445">
      <c r="A445" s="8" t="s">
        <v>697</v>
      </c>
      <c r="B445" s="13" t="str">
        <f>HYPERLINK("https://shopee.co.id/Some-By-Mi-Super-Matcha-Pore-Tightening-Serum-i.455311481.10810255071", "https://shopee.co.id/Some-By-Mi-Super-Matcha-Pore-Tightening-Serum-i.455311481.10810255071")</f>
        <v>https://shopee.co.id/Some-By-Mi-Super-Matcha-Pore-Tightening-Serum-i.455311481.10810255071</v>
      </c>
      <c r="C445" s="8" t="s">
        <v>213</v>
      </c>
      <c r="D445" s="8" t="s">
        <v>214</v>
      </c>
      <c r="E445" s="8" t="s">
        <v>12</v>
      </c>
      <c r="F445" s="8" t="s">
        <v>13</v>
      </c>
      <c r="G445" s="8" t="s">
        <v>130</v>
      </c>
      <c r="H445" s="16">
        <v>130.0</v>
      </c>
      <c r="I445" s="15" t="str">
        <f>SUBSTITUTE(Sheet1!K445, "Rp", "")</f>
        <v>39871000</v>
      </c>
    </row>
    <row r="446">
      <c r="A446" s="8" t="s">
        <v>1222</v>
      </c>
      <c r="B446" s="13" t="str">
        <f>HYPERLINK("https://shopee.co.id/The-Aubree-Centella-Herb-Serum-30-ml-i.495290309.11120466506", "https://shopee.co.id/The-Aubree-Centella-Herb-Serum-30-ml-i.495290309.11120466506")</f>
        <v>https://shopee.co.id/The-Aubree-Centella-Herb-Serum-30-ml-i.495290309.11120466506</v>
      </c>
      <c r="C446" s="8" t="s">
        <v>772</v>
      </c>
      <c r="D446" s="8" t="s">
        <v>773</v>
      </c>
      <c r="E446" s="8" t="s">
        <v>12</v>
      </c>
      <c r="F446" s="8" t="s">
        <v>13</v>
      </c>
      <c r="G446" s="8" t="s">
        <v>241</v>
      </c>
      <c r="H446" s="16">
        <v>130.0</v>
      </c>
      <c r="I446" s="15" t="str">
        <f>SUBSTITUTE(Sheet1!K446, "Rp", "")</f>
        <v>12448260</v>
      </c>
    </row>
    <row r="447">
      <c r="A447" s="8" t="s">
        <v>446</v>
      </c>
      <c r="B447" s="13" t="str">
        <f>HYPERLINK("https://shopee.co.id/Mamonde-Blossoming-Red-Serum-Birthday-Set--i.160417197.3392660204", "https://shopee.co.id/Mamonde-Blossoming-Red-Serum-Birthday-Set--i.160417197.3392660204")</f>
        <v>https://shopee.co.id/Mamonde-Blossoming-Red-Serum-Birthday-Set--i.160417197.3392660204</v>
      </c>
      <c r="C447" s="8" t="s">
        <v>447</v>
      </c>
      <c r="D447" s="8" t="s">
        <v>448</v>
      </c>
      <c r="E447" s="8" t="s">
        <v>12</v>
      </c>
      <c r="F447" s="8" t="s">
        <v>13</v>
      </c>
      <c r="G447" s="8" t="s">
        <v>61</v>
      </c>
      <c r="H447" s="16">
        <v>129.0</v>
      </c>
      <c r="I447" s="15" t="str">
        <f>SUBSTITUTE(Sheet1!K447, "Rp", "")</f>
        <v>69940200</v>
      </c>
    </row>
    <row r="448">
      <c r="A448" s="8" t="s">
        <v>760</v>
      </c>
      <c r="B448" s="13" t="str">
        <f>HYPERLINK("https://shopee.co.id/HAYEJIN-Blessing-of-Sprout-Enriched-Serum-i.318720131.6256312191", "https://shopee.co.id/HAYEJIN-Blessing-of-Sprout-Enriched-Serum-i.318720131.6256312191")</f>
        <v>https://shopee.co.id/HAYEJIN-Blessing-of-Sprout-Enriched-Serum-i.318720131.6256312191</v>
      </c>
      <c r="C448" s="8" t="s">
        <v>761</v>
      </c>
      <c r="D448" s="8" t="s">
        <v>823</v>
      </c>
      <c r="E448" s="8" t="s">
        <v>12</v>
      </c>
      <c r="F448" s="8" t="s">
        <v>13</v>
      </c>
      <c r="G448" s="8" t="s">
        <v>98</v>
      </c>
      <c r="H448" s="16">
        <v>128.0</v>
      </c>
      <c r="I448" s="15" t="str">
        <f>SUBSTITUTE(Sheet1!K448, "Rp", "")</f>
        <v>29312000</v>
      </c>
    </row>
    <row r="449">
      <c r="A449" s="8" t="s">
        <v>825</v>
      </c>
      <c r="B449" s="13" t="str">
        <f>HYPERLINK("https://shopee.co.id/L-Oreal-Paris-Revitalift-Crystal-Micro-Essence-Water-Serum-Skin-Care-130-ml-LIMITED-EDITION-i.62579622.3236617905", "https://shopee.co.id/L-Oreal-Paris-Revitalift-Crystal-Micro-Essence-Water-Serum-Skin-Care-130-ml-LIMITED-EDITION-i.62579622.3236617905")</f>
        <v>https://shopee.co.id/L-Oreal-Paris-Revitalift-Crystal-Micro-Essence-Water-Serum-Skin-Care-130-ml-LIMITED-EDITION-i.62579622.3236617905</v>
      </c>
      <c r="C449" s="8" t="s">
        <v>105</v>
      </c>
      <c r="D449" s="8" t="s">
        <v>106</v>
      </c>
      <c r="E449" s="8" t="s">
        <v>12</v>
      </c>
      <c r="F449" s="8" t="s">
        <v>13</v>
      </c>
      <c r="G449" s="8" t="s">
        <v>61</v>
      </c>
      <c r="H449" s="16">
        <v>127.0</v>
      </c>
      <c r="I449" s="15" t="str">
        <f>SUBSTITUTE(Sheet1!K449, "Rp", "")</f>
        <v>28766700</v>
      </c>
    </row>
    <row r="450">
      <c r="A450" s="8" t="s">
        <v>870</v>
      </c>
      <c r="B450" s="13" t="str">
        <f>HYPERLINK("https://shopee.co.id/Votre-Peau-Brightening-Essence-With-Niacinamide-Hyaluronic-Acid-RFF-i.46300234.7645206332", "https://shopee.co.id/Votre-Peau-Brightening-Essence-With-Niacinamide-Hyaluronic-Acid-RFF-i.46300234.7645206332")</f>
        <v>https://shopee.co.id/Votre-Peau-Brightening-Essence-With-Niacinamide-Hyaluronic-Acid-RFF-i.46300234.7645206332</v>
      </c>
      <c r="C450" s="8" t="s">
        <v>471</v>
      </c>
      <c r="D450" s="8" t="s">
        <v>472</v>
      </c>
      <c r="E450" s="8" t="s">
        <v>12</v>
      </c>
      <c r="F450" s="8" t="s">
        <v>13</v>
      </c>
      <c r="G450" s="8" t="s">
        <v>98</v>
      </c>
      <c r="H450" s="16">
        <v>127.0</v>
      </c>
      <c r="I450" s="15" t="str">
        <f>SUBSTITUTE(Sheet1!K450, "Rp", "")</f>
        <v>26030640</v>
      </c>
    </row>
    <row r="451">
      <c r="A451" s="8" t="s">
        <v>1346</v>
      </c>
      <c r="B451" s="13" t="str">
        <f>HYPERLINK("https://shopee.co.id/BREYLEE-SETS-of-SERUM-F-Mencerahkan-Membersihkan-Jerawat-2pcs--i.324706771.8805057201", "https://shopee.co.id/BREYLEE-SETS-of-SERUM-F-Mencerahkan-Membersihkan-Jerawat-2pcs--i.324706771.8805057201")</f>
        <v>https://shopee.co.id/BREYLEE-SETS-of-SERUM-F-Mencerahkan-Membersihkan-Jerawat-2pcs--i.324706771.8805057201</v>
      </c>
      <c r="C451" s="8" t="s">
        <v>852</v>
      </c>
      <c r="D451" s="8" t="s">
        <v>853</v>
      </c>
      <c r="E451" s="8" t="s">
        <v>12</v>
      </c>
      <c r="F451" s="8" t="s">
        <v>13</v>
      </c>
      <c r="G451" s="8" t="s">
        <v>532</v>
      </c>
      <c r="H451" s="16">
        <v>126.0</v>
      </c>
      <c r="I451" s="15" t="str">
        <f>SUBSTITUTE(Sheet1!K451, "Rp", "")</f>
        <v>9939000</v>
      </c>
    </row>
    <row r="452">
      <c r="A452" s="8" t="s">
        <v>891</v>
      </c>
      <c r="B452" s="13" t="str">
        <f>HYPERLINK("https://shopee.co.id/Erha-Age-Corrector-1-Bakuchiol-10-AHA-Skin-Renew-Booster-15ml-Booster-Anti-Penuaan-i.129153987.9314236984", "https://shopee.co.id/Erha-Age-Corrector-1-Bakuchiol-10-AHA-Skin-Renew-Booster-15ml-Booster-Anti-Penuaan-i.129153987.9314236984")</f>
        <v>https://shopee.co.id/Erha-Age-Corrector-1-Bakuchiol-10-AHA-Skin-Renew-Booster-15ml-Booster-Anti-Penuaan-i.129153987.9314236984</v>
      </c>
      <c r="C452" s="8" t="s">
        <v>181</v>
      </c>
      <c r="D452" s="8" t="s">
        <v>182</v>
      </c>
      <c r="E452" s="8" t="s">
        <v>12</v>
      </c>
      <c r="F452" s="8" t="s">
        <v>13</v>
      </c>
      <c r="G452" s="8" t="s">
        <v>61</v>
      </c>
      <c r="H452" s="16">
        <v>126.0</v>
      </c>
      <c r="I452" s="15" t="str">
        <f>SUBSTITUTE(Sheet1!K452, "Rp", "")</f>
        <v>24493209</v>
      </c>
    </row>
    <row r="453">
      <c r="A453" s="8" t="s">
        <v>1491</v>
      </c>
      <c r="B453" s="13" t="str">
        <f>HYPERLINK("https://shopee.co.id/Premiere-Beaute-Luminous-White-Glow-Brightening-Whitening-Serum-30ml-i.237204571.8484460727", "https://shopee.co.id/Premiere-Beaute-Luminous-White-Glow-Brightening-Whitening-Serum-30ml-i.237204571.8484460727")</f>
        <v>https://shopee.co.id/Premiere-Beaute-Luminous-White-Glow-Brightening-Whitening-Serum-30ml-i.237204571.8484460727</v>
      </c>
      <c r="C453" s="8" t="s">
        <v>254</v>
      </c>
      <c r="D453" s="8" t="s">
        <v>255</v>
      </c>
      <c r="E453" s="8" t="s">
        <v>12</v>
      </c>
      <c r="F453" s="8" t="s">
        <v>13</v>
      </c>
      <c r="G453" s="8" t="s">
        <v>61</v>
      </c>
      <c r="H453" s="16">
        <v>126.0</v>
      </c>
      <c r="I453" s="15" t="str">
        <f>SUBSTITUTE(Sheet1!K453, "Rp", "")</f>
        <v>7825400</v>
      </c>
    </row>
    <row r="454">
      <c r="A454" s="8" t="s">
        <v>302</v>
      </c>
      <c r="B454" s="13" t="str">
        <f>HYPERLINK("https://shopee.co.id/Azarine-Anti-Acne-Brightening-Serum-20ml-i.10689.7574811763", "https://shopee.co.id/Azarine-Anti-Acne-Brightening-Serum-20ml-i.10689.7574811763")</f>
        <v>https://shopee.co.id/Azarine-Anti-Acne-Brightening-Serum-20ml-i.10689.7574811763</v>
      </c>
      <c r="C454" s="8" t="s">
        <v>233</v>
      </c>
      <c r="D454" s="8" t="s">
        <v>745</v>
      </c>
      <c r="E454" s="8" t="s">
        <v>12</v>
      </c>
      <c r="F454" s="8" t="s">
        <v>13</v>
      </c>
      <c r="G454" s="8" t="s">
        <v>61</v>
      </c>
      <c r="H454" s="16">
        <v>125.0</v>
      </c>
      <c r="I454" s="15" t="str">
        <f>SUBSTITUTE(Sheet1!K454, "Rp", "")</f>
        <v>3745500</v>
      </c>
    </row>
    <row r="455">
      <c r="A455" s="8" t="s">
        <v>1124</v>
      </c>
      <c r="B455" s="13" t="str">
        <f>HYPERLINK("https://shopee.co.id/Garnier-x-Realfood-Healthy-Glow-Kit-Rangkaian-Perawatan-Untuk-Kulit-Glowing-Luar-Dalam-i.62583853.2984829805", "https://shopee.co.id/Garnier-x-Realfood-Healthy-Glow-Kit-Rangkaian-Perawatan-Untuk-Kulit-Glowing-Luar-Dalam-i.62583853.2984829805")</f>
        <v>https://shopee.co.id/Garnier-x-Realfood-Healthy-Glow-Kit-Rangkaian-Perawatan-Untuk-Kulit-Glowing-Luar-Dalam-i.62583853.2984829805</v>
      </c>
      <c r="C455" s="8" t="s">
        <v>1125</v>
      </c>
      <c r="D455" s="8" t="s">
        <v>75</v>
      </c>
      <c r="E455" s="8" t="s">
        <v>12</v>
      </c>
      <c r="F455" s="8" t="s">
        <v>13</v>
      </c>
      <c r="G455" s="8" t="s">
        <v>61</v>
      </c>
      <c r="H455" s="16">
        <v>125.0</v>
      </c>
      <c r="I455" s="15" t="str">
        <f>SUBSTITUTE(Sheet1!K455, "Rp", "")</f>
        <v>14542500</v>
      </c>
    </row>
    <row r="456">
      <c r="A456" s="8" t="s">
        <v>2486</v>
      </c>
      <c r="B456" s="13" t="str">
        <f>HYPERLINK("https://shopee.co.id/SYB-Forte-Serum-Vitamin-C-Plus-Collagen-i.150222332.2329550841", "https://shopee.co.id/SYB-Forte-Serum-Vitamin-C-Plus-Collagen-i.150222332.2329550841")</f>
        <v>https://shopee.co.id/SYB-Forte-Serum-Vitamin-C-Plus-Collagen-i.150222332.2329550841</v>
      </c>
      <c r="C456" s="8" t="s">
        <v>1736</v>
      </c>
      <c r="D456" s="8" t="s">
        <v>1737</v>
      </c>
      <c r="E456" s="8" t="s">
        <v>12</v>
      </c>
      <c r="F456" s="8" t="s">
        <v>13</v>
      </c>
      <c r="G456" s="8" t="s">
        <v>350</v>
      </c>
      <c r="H456" s="16">
        <v>125.0</v>
      </c>
      <c r="I456" s="15" t="str">
        <f>SUBSTITUTE(Sheet1!K456, "Rp", "")</f>
        <v>1743680</v>
      </c>
    </row>
    <row r="457">
      <c r="A457" s="8" t="s">
        <v>1636</v>
      </c>
      <c r="B457" s="13" t="str">
        <f>HYPERLINK("https://shopee.co.id/Somethinc-Niacinamide-Moisture-Sabi-Beet-Serum-5-10-20ML-40ML-i.136011044.6578470514", "https://shopee.co.id/Somethinc-Niacinamide-Moisture-Sabi-Beet-Serum-5-10-20ML-40ML-i.136011044.6578470514")</f>
        <v>https://shopee.co.id/Somethinc-Niacinamide-Moisture-Sabi-Beet-Serum-5-10-20ML-40ML-i.136011044.6578470514</v>
      </c>
      <c r="C457" s="8" t="s">
        <v>45</v>
      </c>
      <c r="D457" s="8" t="s">
        <v>632</v>
      </c>
      <c r="E457" s="8" t="s">
        <v>12</v>
      </c>
      <c r="F457" s="8" t="s">
        <v>13</v>
      </c>
      <c r="G457" s="8" t="s">
        <v>21</v>
      </c>
      <c r="H457" s="16">
        <v>124.0</v>
      </c>
      <c r="I457" s="15" t="str">
        <f>SUBSTITUTE(Sheet1!K457, "Rp", "")</f>
        <v>6058850</v>
      </c>
    </row>
    <row r="458">
      <c r="A458" s="8" t="s">
        <v>682</v>
      </c>
      <c r="B458" s="13" t="str">
        <f>HYPERLINK("https://shopee.co.id/L-Oreal-Paris-Clinical-Essence-Vit-C-Serum-Niacinamide-Skin-Care-30-ml-x2-Pcs-i.62579622.4678804673", "https://shopee.co.id/L-Oreal-Paris-Clinical-Essence-Vit-C-Serum-Niacinamide-Skin-Care-30-ml-x2-Pcs-i.62579622.4678804673")</f>
        <v>https://shopee.co.id/L-Oreal-Paris-Clinical-Essence-Vit-C-Serum-Niacinamide-Skin-Care-30-ml-x2-Pcs-i.62579622.4678804673</v>
      </c>
      <c r="C458" s="8" t="s">
        <v>105</v>
      </c>
      <c r="D458" s="8" t="s">
        <v>106</v>
      </c>
      <c r="E458" s="8" t="s">
        <v>12</v>
      </c>
      <c r="F458" s="8" t="s">
        <v>13</v>
      </c>
      <c r="G458" s="8" t="s">
        <v>61</v>
      </c>
      <c r="H458" s="16">
        <v>123.0</v>
      </c>
      <c r="I458" s="15" t="str">
        <f>SUBSTITUTE(Sheet1!K458, "Rp", "")</f>
        <v>41692200</v>
      </c>
    </row>
    <row r="459">
      <c r="A459" s="8" t="s">
        <v>1867</v>
      </c>
      <c r="B459" s="13" t="str">
        <f>HYPERLINK("https://shopee.co.id/Beautybarme-IMPLORA-FACE-SERUM-LUMINOUS-BRIGHT-SERUM-ACNE-PEELING-MIDNIGHT-SERUM-WAJAH-BPOM--i.28781862.10537576081", "https://shopee.co.id/Beautybarme-IMPLORA-FACE-SERUM-LUMINOUS-BRIGHT-SERUM-ACNE-PEELING-MIDNIGHT-SERUM-WAJAH-BPOM--i.28781862.10537576081")</f>
        <v>https://shopee.co.id/Beautybarme-IMPLORA-FACE-SERUM-LUMINOUS-BRIGHT-SERUM-ACNE-PEELING-MIDNIGHT-SERUM-WAJAH-BPOM--i.28781862.10537576081</v>
      </c>
      <c r="C459" s="8" t="s">
        <v>113</v>
      </c>
      <c r="D459" s="8" t="s">
        <v>1189</v>
      </c>
      <c r="E459" s="8" t="s">
        <v>12</v>
      </c>
      <c r="F459" s="8" t="s">
        <v>13</v>
      </c>
      <c r="G459" s="8" t="s">
        <v>1190</v>
      </c>
      <c r="H459" s="16">
        <v>122.0</v>
      </c>
      <c r="I459" s="15" t="str">
        <f>SUBSTITUTE(Sheet1!K459, "Rp", "")</f>
        <v>4270000</v>
      </c>
    </row>
    <row r="460">
      <c r="A460" s="8" t="s">
        <v>439</v>
      </c>
      <c r="B460" s="13" t="str">
        <f>HYPERLINK("https://shopee.co.id/La-Roche-Posay-Effaclar-Acne-Serum-30ml-Bundle-FREE-Effaclar-Duo-15ml-Anthelios-Fluid-3ml-i.433144176.9187128409", "https://shopee.co.id/La-Roche-Posay-Effaclar-Acne-Serum-30ml-Bundle-FREE-Effaclar-Duo-15ml-Anthelios-Fluid-3ml-i.433144176.9187128409")</f>
        <v>https://shopee.co.id/La-Roche-Posay-Effaclar-Acne-Serum-30ml-Bundle-FREE-Effaclar-Duo-15ml-Anthelios-Fluid-3ml-i.433144176.9187128409</v>
      </c>
      <c r="C460" s="8" t="s">
        <v>147</v>
      </c>
      <c r="D460" s="8" t="s">
        <v>148</v>
      </c>
      <c r="E460" s="8" t="s">
        <v>12</v>
      </c>
      <c r="F460" s="8" t="s">
        <v>13</v>
      </c>
      <c r="G460" s="8" t="s">
        <v>61</v>
      </c>
      <c r="H460" s="16">
        <v>122.0</v>
      </c>
      <c r="I460" s="15" t="str">
        <f>SUBSTITUTE(Sheet1!K460, "Rp", "")</f>
        <v>72195000</v>
      </c>
    </row>
    <row r="461">
      <c r="A461" s="8" t="s">
        <v>1308</v>
      </c>
      <c r="B461" s="13" t="str">
        <f>HYPERLINK("https://shopee.co.id/Nourish-Beauty-Care-Wrinkle-Remover-Serum-30-mL-i.207650136.4212991652", "https://shopee.co.id/Nourish-Beauty-Care-Wrinkle-Remover-Serum-30-mL-i.207650136.4212991652")</f>
        <v>https://shopee.co.id/Nourish-Beauty-Care-Wrinkle-Remover-Serum-30-mL-i.207650136.4212991652</v>
      </c>
      <c r="C461" s="8" t="s">
        <v>1309</v>
      </c>
      <c r="D461" s="8" t="s">
        <v>1117</v>
      </c>
      <c r="E461" s="8" t="s">
        <v>12</v>
      </c>
      <c r="F461" s="8" t="s">
        <v>13</v>
      </c>
      <c r="G461" s="8" t="s">
        <v>21</v>
      </c>
      <c r="H461" s="16">
        <v>122.0</v>
      </c>
      <c r="I461" s="15" t="str">
        <f>SUBSTITUTE(Sheet1!K461, "Rp", "")</f>
        <v>10492000</v>
      </c>
    </row>
    <row r="462">
      <c r="A462" s="8" t="s">
        <v>1128</v>
      </c>
      <c r="B462" s="13" t="str">
        <f>HYPERLINK("https://shopee.co.id/Somethinc-Hyaluronic9-Advanced-B5-Serum-20ml-40ml-i.50948181.2704477522", "https://shopee.co.id/Somethinc-Hyaluronic9-Advanced-B5-Serum-20ml-40ml-i.50948181.2704477522")</f>
        <v>https://shopee.co.id/Somethinc-Hyaluronic9-Advanced-B5-Serum-20ml-40ml-i.50948181.2704477522</v>
      </c>
      <c r="C462" s="8" t="s">
        <v>45</v>
      </c>
      <c r="D462" s="8" t="s">
        <v>1129</v>
      </c>
      <c r="E462" s="8" t="s">
        <v>12</v>
      </c>
      <c r="F462" s="8" t="s">
        <v>13</v>
      </c>
      <c r="G462" s="8" t="s">
        <v>1130</v>
      </c>
      <c r="H462" s="16">
        <v>121.0</v>
      </c>
      <c r="I462" s="15" t="str">
        <f>SUBSTITUTE(Sheet1!K462, "Rp", "")</f>
        <v>14504900</v>
      </c>
    </row>
    <row r="463">
      <c r="A463" s="8" t="s">
        <v>946</v>
      </c>
      <c r="B463" s="13" t="str">
        <f>HYPERLINK("https://shopee.co.id/Garnier-Sakura-White-Glowing-Kit-Regiment-Rangkaian-Lengkap-Untuk-Kulit-Glowing-Merona--i.62583853.9767881052", "https://shopee.co.id/Garnier-Sakura-White-Glowing-Kit-Regiment-Rangkaian-Lengkap-Untuk-Kulit-Glowing-Merona--i.62583853.9767881052")</f>
        <v>https://shopee.co.id/Garnier-Sakura-White-Glowing-Kit-Regiment-Rangkaian-Lengkap-Untuk-Kulit-Glowing-Merona--i.62583853.9767881052</v>
      </c>
      <c r="C463" s="8" t="s">
        <v>74</v>
      </c>
      <c r="D463" s="8" t="s">
        <v>75</v>
      </c>
      <c r="E463" s="8" t="s">
        <v>12</v>
      </c>
      <c r="F463" s="8" t="s">
        <v>13</v>
      </c>
      <c r="G463" s="8" t="s">
        <v>61</v>
      </c>
      <c r="H463" s="16">
        <v>121.0</v>
      </c>
      <c r="I463" s="15" t="str">
        <f>SUBSTITUTE(Sheet1!K463, "Rp", "")</f>
        <v>21506600</v>
      </c>
    </row>
    <row r="464">
      <c r="A464" s="8" t="s">
        <v>1668</v>
      </c>
      <c r="B464" s="13" t="str">
        <f>HYPERLINK("https://shopee.co.id/YU-CHUN-MEI-Cordyceps-Serum-Whitening-Essence-30ml-i.230677444.5917849290", "https://shopee.co.id/YU-CHUN-MEI-Cordyceps-Serum-Whitening-Essence-30ml-i.230677444.5917849290")</f>
        <v>https://shopee.co.id/YU-CHUN-MEI-Cordyceps-Serum-Whitening-Essence-30ml-i.230677444.5917849290</v>
      </c>
      <c r="C464" s="8" t="s">
        <v>1669</v>
      </c>
      <c r="D464" s="8" t="s">
        <v>1670</v>
      </c>
      <c r="E464" s="8" t="s">
        <v>12</v>
      </c>
      <c r="F464" s="8" t="s">
        <v>13</v>
      </c>
      <c r="G464" s="8" t="s">
        <v>61</v>
      </c>
      <c r="H464" s="16">
        <v>121.0</v>
      </c>
      <c r="I464" s="15" t="str">
        <f>SUBSTITUTE(Sheet1!K464, "Rp", "")</f>
        <v>5754736</v>
      </c>
    </row>
    <row r="465">
      <c r="A465" s="8" t="s">
        <v>1236</v>
      </c>
      <c r="B465" s="13" t="str">
        <f>HYPERLINK("https://shopee.co.id/L-Oreal-Revitalift-Pro-Youth-Face-Mask-Skin-Elasticity-Anti-Aging-x-5-pcs-i.62579622.6732745232", "https://shopee.co.id/L-Oreal-Revitalift-Pro-Youth-Face-Mask-Skin-Elasticity-Anti-Aging-x-5-pcs-i.62579622.6732745232")</f>
        <v>https://shopee.co.id/L-Oreal-Revitalift-Pro-Youth-Face-Mask-Skin-Elasticity-Anti-Aging-x-5-pcs-i.62579622.6732745232</v>
      </c>
      <c r="C465" s="8" t="s">
        <v>105</v>
      </c>
      <c r="D465" s="8" t="s">
        <v>106</v>
      </c>
      <c r="E465" s="8" t="s">
        <v>12</v>
      </c>
      <c r="F465" s="8" t="s">
        <v>13</v>
      </c>
      <c r="G465" s="8" t="s">
        <v>61</v>
      </c>
      <c r="H465" s="16">
        <v>119.0</v>
      </c>
      <c r="I465" s="15" t="str">
        <f>SUBSTITUTE(Sheet1!K465, "Rp", "")</f>
        <v>12030900</v>
      </c>
    </row>
    <row r="466">
      <c r="A466" s="8" t="s">
        <v>1304</v>
      </c>
      <c r="B466" s="13" t="str">
        <f>HYPERLINK("https://shopee.co.id/MSBB-Somethinc-5-Niacinamide-Moisture-Sabi-Beet-Serum-20Ml-i.288588702.5078176989", "https://shopee.co.id/MSBB-Somethinc-5-Niacinamide-Moisture-Sabi-Beet-Serum-20Ml-i.288588702.5078176989")</f>
        <v>https://shopee.co.id/MSBB-Somethinc-5-Niacinamide-Moisture-Sabi-Beet-Serum-20Ml-i.288588702.5078176989</v>
      </c>
      <c r="C466" s="8" t="s">
        <v>45</v>
      </c>
      <c r="D466" s="8" t="s">
        <v>79</v>
      </c>
      <c r="E466" s="8" t="s">
        <v>12</v>
      </c>
      <c r="F466" s="8" t="s">
        <v>13</v>
      </c>
      <c r="G466" s="8" t="s">
        <v>80</v>
      </c>
      <c r="H466" s="16">
        <v>119.0</v>
      </c>
      <c r="I466" s="15" t="str">
        <f>SUBSTITUTE(Sheet1!K466, "Rp", "")</f>
        <v>10591000</v>
      </c>
    </row>
    <row r="467">
      <c r="A467" s="8" t="s">
        <v>1285</v>
      </c>
      <c r="B467" s="13" t="str">
        <f>HYPERLINK("https://shopee.co.id/Oh-My-Skin-Bright-Glow-SERUM-Ohmyskin--i.226760579.9716782190", "https://shopee.co.id/Oh-My-Skin-Bright-Glow-SERUM-Ohmyskin--i.226760579.9716782190")</f>
        <v>https://shopee.co.id/Oh-My-Skin-Bright-Glow-SERUM-Ohmyskin--i.226760579.9716782190</v>
      </c>
      <c r="C467" s="8" t="s">
        <v>1286</v>
      </c>
      <c r="D467" s="8" t="s">
        <v>673</v>
      </c>
      <c r="E467" s="8" t="s">
        <v>12</v>
      </c>
      <c r="F467" s="8" t="s">
        <v>13</v>
      </c>
      <c r="G467" s="8" t="s">
        <v>674</v>
      </c>
      <c r="H467" s="16">
        <v>119.0</v>
      </c>
      <c r="I467" s="15" t="str">
        <f>SUBSTITUTE(Sheet1!K467, "Rp", "")</f>
        <v>10997000</v>
      </c>
    </row>
    <row r="468">
      <c r="A468" s="8" t="s">
        <v>1226</v>
      </c>
      <c r="B468" s="13" t="str">
        <f>HYPERLINK("https://shopee.co.id/Vavl-Vightne-Blemish-Serum-15ml-i.136011044.8548531110", "https://shopee.co.id/Vavl-Vightne-Blemish-Serum-15ml-i.136011044.8548531110")</f>
        <v>https://shopee.co.id/Vavl-Vightne-Blemish-Serum-15ml-i.136011044.8548531110</v>
      </c>
      <c r="C468" s="8" t="s">
        <v>514</v>
      </c>
      <c r="D468" s="8" t="s">
        <v>632</v>
      </c>
      <c r="E468" s="8" t="s">
        <v>12</v>
      </c>
      <c r="F468" s="8" t="s">
        <v>13</v>
      </c>
      <c r="G468" s="8" t="s">
        <v>21</v>
      </c>
      <c r="H468" s="16">
        <v>119.0</v>
      </c>
      <c r="I468" s="15" t="str">
        <f>SUBSTITUTE(Sheet1!K468, "Rp", "")</f>
        <v>12411000</v>
      </c>
    </row>
    <row r="469">
      <c r="A469" s="8" t="s">
        <v>363</v>
      </c>
      <c r="B469" s="13" t="str">
        <f>HYPERLINK("https://shopee.co.id/Laneige-PR-Youth-Regenerator-40ml-OL21--i.52917348.3001898863", "https://shopee.co.id/Laneige-PR-Youth-Regenerator-40ml-OL21--i.52917348.3001898863")</f>
        <v>https://shopee.co.id/Laneige-PR-Youth-Regenerator-40ml-OL21--i.52917348.3001898863</v>
      </c>
      <c r="C469" s="8" t="s">
        <v>364</v>
      </c>
      <c r="D469" s="8" t="s">
        <v>365</v>
      </c>
      <c r="E469" s="8" t="s">
        <v>12</v>
      </c>
      <c r="F469" s="8" t="s">
        <v>13</v>
      </c>
      <c r="G469" s="8" t="s">
        <v>61</v>
      </c>
      <c r="H469" s="16">
        <v>118.0</v>
      </c>
      <c r="I469" s="15" t="str">
        <f>SUBSTITUTE(Sheet1!K469, "Rp", "")</f>
        <v>98898700</v>
      </c>
    </row>
    <row r="470">
      <c r="A470" s="8" t="s">
        <v>1249</v>
      </c>
      <c r="B470" s="13" t="str">
        <f>HYPERLINK("https://shopee.co.id/NATURE-REACTION-CRYSTAL-BRIGHT-SERUM-NR-Pemutih-Wajah-Glowing-Atasi-Jerawat-Flek-Hitam-Original-BPOM-i.375565670.11926098725", "https://shopee.co.id/NATURE-REACTION-CRYSTAL-BRIGHT-SERUM-NR-Pemutih-Wajah-Glowing-Atasi-Jerawat-Flek-Hitam-Original-BPOM-i.375565670.11926098725")</f>
        <v>https://shopee.co.id/NATURE-REACTION-CRYSTAL-BRIGHT-SERUM-NR-Pemutih-Wajah-Glowing-Atasi-Jerawat-Flek-Hitam-Original-BPOM-i.375565670.11926098725</v>
      </c>
      <c r="C470" s="8" t="s">
        <v>530</v>
      </c>
      <c r="D470" s="8" t="s">
        <v>531</v>
      </c>
      <c r="E470" s="8" t="s">
        <v>12</v>
      </c>
      <c r="F470" s="8" t="s">
        <v>13</v>
      </c>
      <c r="G470" s="8" t="s">
        <v>532</v>
      </c>
      <c r="H470" s="16">
        <v>118.0</v>
      </c>
      <c r="I470" s="15" t="str">
        <f>SUBSTITUTE(Sheet1!K470, "Rp", "")</f>
        <v>11876000</v>
      </c>
    </row>
    <row r="471">
      <c r="A471" s="8" t="s">
        <v>1198</v>
      </c>
      <c r="B471" s="13" t="str">
        <f>HYPERLINK("https://shopee.co.id/WARDAH-White-Secret-Pure-Treatment-Essence-100ml-i.30736001.1120767499", "https://shopee.co.id/WARDAH-White-Secret-Pure-Treatment-Essence-100ml-i.30736001.1120767499")</f>
        <v>https://shopee.co.id/WARDAH-White-Secret-Pure-Treatment-Essence-100ml-i.30736001.1120767499</v>
      </c>
      <c r="C471" s="8" t="s">
        <v>169</v>
      </c>
      <c r="D471" s="8" t="s">
        <v>335</v>
      </c>
      <c r="E471" s="8" t="s">
        <v>12</v>
      </c>
      <c r="F471" s="8" t="s">
        <v>13</v>
      </c>
      <c r="G471" s="8" t="s">
        <v>36</v>
      </c>
      <c r="H471" s="16">
        <v>118.0</v>
      </c>
      <c r="I471" s="15" t="str">
        <f>SUBSTITUTE(Sheet1!K471, "Rp", "")</f>
        <v>12955800</v>
      </c>
    </row>
    <row r="472">
      <c r="A472" s="8" t="s">
        <v>1049</v>
      </c>
      <c r="B472" s="13" t="str">
        <f>HYPERLINK("https://shopee.co.id/Buy-2x-Pond-s-Triple-Glow-Serum-30ml-Free-Potion-Essence-50ml-i.14318452.3068171652", "https://shopee.co.id/Buy-2x-Pond-s-Triple-Glow-Serum-30ml-Free-Potion-Essence-50ml-i.14318452.3068171652")</f>
        <v>https://shopee.co.id/Buy-2x-Pond-s-Triple-Glow-Serum-30ml-Free-Potion-Essence-50ml-i.14318452.3068171652</v>
      </c>
      <c r="C472" s="8" t="s">
        <v>325</v>
      </c>
      <c r="D472" s="8" t="s">
        <v>326</v>
      </c>
      <c r="E472" s="8" t="s">
        <v>12</v>
      </c>
      <c r="F472" s="8" t="s">
        <v>13</v>
      </c>
      <c r="G472" s="8" t="s">
        <v>296</v>
      </c>
      <c r="H472" s="16">
        <v>117.0</v>
      </c>
      <c r="I472" s="15" t="str">
        <f>SUBSTITUTE(Sheet1!K472, "Rp", "")</f>
        <v>17023500</v>
      </c>
    </row>
    <row r="473">
      <c r="A473" s="8" t="s">
        <v>1072</v>
      </c>
      <c r="B473" s="13" t="str">
        <f>HYPERLINK("https://shopee.co.id/L-OREAL-PARIS-REVITALIFT-CRYSTAL-MICRO-ESSENCE-i.30736001.6537489519", "https://shopee.co.id/L-OREAL-PARIS-REVITALIFT-CRYSTAL-MICRO-ESSENCE-i.30736001.6537489519")</f>
        <v>https://shopee.co.id/L-OREAL-PARIS-REVITALIFT-CRYSTAL-MICRO-ESSENCE-i.30736001.6537489519</v>
      </c>
      <c r="C473" s="8" t="s">
        <v>105</v>
      </c>
      <c r="D473" s="8" t="s">
        <v>335</v>
      </c>
      <c r="E473" s="8" t="s">
        <v>12</v>
      </c>
      <c r="F473" s="8" t="s">
        <v>13</v>
      </c>
      <c r="G473" s="8" t="s">
        <v>36</v>
      </c>
      <c r="H473" s="16">
        <v>117.0</v>
      </c>
      <c r="I473" s="15" t="str">
        <f>SUBSTITUTE(Sheet1!K473, "Rp", "")</f>
        <v>16313400</v>
      </c>
    </row>
    <row r="474">
      <c r="A474" s="8" t="s">
        <v>1315</v>
      </c>
      <c r="B474" s="13" t="str">
        <f>HYPERLINK("https://shopee.co.id/Somethinc-Niacinamide-Moisture-Sabi-Beet-Serum-i.10689.4378205724", "https://shopee.co.id/Somethinc-Niacinamide-Moisture-Sabi-Beet-Serum-i.10689.4378205724")</f>
        <v>https://shopee.co.id/Somethinc-Niacinamide-Moisture-Sabi-Beet-Serum-i.10689.4378205724</v>
      </c>
      <c r="C474" s="8" t="s">
        <v>45</v>
      </c>
      <c r="D474" s="8" t="s">
        <v>745</v>
      </c>
      <c r="E474" s="8" t="s">
        <v>12</v>
      </c>
      <c r="F474" s="8" t="s">
        <v>13</v>
      </c>
      <c r="G474" s="8" t="s">
        <v>61</v>
      </c>
      <c r="H474" s="16">
        <v>117.0</v>
      </c>
      <c r="I474" s="15" t="str">
        <f>SUBSTITUTE(Sheet1!K474, "Rp", "")</f>
        <v>10413000</v>
      </c>
    </row>
    <row r="475">
      <c r="A475" s="8" t="s">
        <v>2010</v>
      </c>
      <c r="B475" s="13" t="str">
        <f>HYPERLINK("https://shopee.co.id/-BPOM-LANBENA-Vitamin-C-Serum-Mencerahkan-Wajah-15ml--i.397732085.8531114961", "https://shopee.co.id/-BPOM-LANBENA-Vitamin-C-Serum-Mencerahkan-Wajah-15ml--i.397732085.8531114961")</f>
        <v>https://shopee.co.id/-BPOM-LANBENA-Vitamin-C-Serum-Mencerahkan-Wajah-15ml--i.397732085.8531114961</v>
      </c>
      <c r="C475" s="8" t="s">
        <v>1427</v>
      </c>
      <c r="D475" s="8" t="s">
        <v>1428</v>
      </c>
      <c r="E475" s="8" t="s">
        <v>12</v>
      </c>
      <c r="F475" s="8" t="s">
        <v>13</v>
      </c>
      <c r="G475" s="8" t="s">
        <v>532</v>
      </c>
      <c r="H475" s="16">
        <v>116.0</v>
      </c>
      <c r="I475" s="15" t="str">
        <f>SUBSTITUTE(Sheet1!K475, "Rp", "")</f>
        <v>3430600</v>
      </c>
    </row>
    <row r="476">
      <c r="A476" s="8" t="s">
        <v>752</v>
      </c>
      <c r="B476" s="13" t="str">
        <f>HYPERLINK("https://shopee.co.id/HPR-Retinol-Serum-i.37421755.9200507377", "https://shopee.co.id/HPR-Retinol-Serum-i.37421755.9200507377")</f>
        <v>https://shopee.co.id/HPR-Retinol-Serum-i.37421755.9200507377</v>
      </c>
      <c r="C476" s="8" t="s">
        <v>753</v>
      </c>
      <c r="D476" s="8" t="s">
        <v>754</v>
      </c>
      <c r="E476" s="8" t="s">
        <v>12</v>
      </c>
      <c r="F476" s="8" t="s">
        <v>13</v>
      </c>
      <c r="G476" s="8" t="s">
        <v>469</v>
      </c>
      <c r="H476" s="16">
        <v>116.0</v>
      </c>
      <c r="I476" s="15" t="str">
        <f>SUBSTITUTE(Sheet1!K476, "Rp", "")</f>
        <v>34220000</v>
      </c>
    </row>
    <row r="477">
      <c r="A477" s="8" t="s">
        <v>1036</v>
      </c>
      <c r="B477" s="13" t="str">
        <f>HYPERLINK("https://shopee.co.id/Avoskin-Perfect-Hydrating-Treatment-Essence-i.270965687.5167950844", "https://shopee.co.id/Avoskin-Perfect-Hydrating-Treatment-Essence-i.270965687.5167950844")</f>
        <v>https://shopee.co.id/Avoskin-Perfect-Hydrating-Treatment-Essence-i.270965687.5167950844</v>
      </c>
      <c r="C477" s="8" t="s">
        <v>83</v>
      </c>
      <c r="D477" s="8" t="s">
        <v>379</v>
      </c>
      <c r="E477" s="8" t="s">
        <v>12</v>
      </c>
      <c r="F477" s="8" t="s">
        <v>13</v>
      </c>
      <c r="G477" s="8" t="s">
        <v>380</v>
      </c>
      <c r="H477" s="16">
        <v>114.0</v>
      </c>
      <c r="I477" s="15" t="str">
        <f>SUBSTITUTE(Sheet1!K477, "Rp", "")</f>
        <v>17668000</v>
      </c>
    </row>
    <row r="478">
      <c r="A478" s="8" t="s">
        <v>1233</v>
      </c>
      <c r="B478" s="13" t="str">
        <f>HYPERLINK("https://shopee.co.id/Natur-Miracle-Calming-Face-Serum-Cica-Witch-Hazel-i.38631574.3833420527", "https://shopee.co.id/Natur-Miracle-Calming-Face-Serum-Cica-Witch-Hazel-i.38631574.3833420527")</f>
        <v>https://shopee.co.id/Natur-Miracle-Calming-Face-Serum-Cica-Witch-Hazel-i.38631574.3833420527</v>
      </c>
      <c r="C478" s="8" t="s">
        <v>1234</v>
      </c>
      <c r="D478" s="8" t="s">
        <v>1235</v>
      </c>
      <c r="E478" s="8" t="s">
        <v>12</v>
      </c>
      <c r="F478" s="8" t="s">
        <v>13</v>
      </c>
      <c r="G478" s="8" t="s">
        <v>469</v>
      </c>
      <c r="H478" s="16">
        <v>113.0</v>
      </c>
      <c r="I478" s="15" t="str">
        <f>SUBSTITUTE(Sheet1!K478, "Rp", "")</f>
        <v>12042000</v>
      </c>
    </row>
    <row r="479">
      <c r="A479" s="8" t="s">
        <v>921</v>
      </c>
      <c r="B479" s="13" t="str">
        <f>HYPERLINK("https://shopee.co.id/SOMEBYMI-Snail-Truecica-Miracle-Repair-SERUM-50ml-i.270965687.7438161347", "https://shopee.co.id/SOMEBYMI-Snail-Truecica-Miracle-Repair-SERUM-50ml-i.270965687.7438161347")</f>
        <v>https://shopee.co.id/SOMEBYMI-Snail-Truecica-Miracle-Repair-SERUM-50ml-i.270965687.7438161347</v>
      </c>
      <c r="C479" s="8" t="s">
        <v>213</v>
      </c>
      <c r="D479" s="8" t="s">
        <v>379</v>
      </c>
      <c r="E479" s="8" t="s">
        <v>12</v>
      </c>
      <c r="F479" s="8" t="s">
        <v>13</v>
      </c>
      <c r="G479" s="8" t="s">
        <v>380</v>
      </c>
      <c r="H479" s="16">
        <v>113.0</v>
      </c>
      <c r="I479" s="15" t="str">
        <f>SUBSTITUTE(Sheet1!K479, "Rp", "")</f>
        <v>22955000</v>
      </c>
    </row>
    <row r="480">
      <c r="A480" s="8" t="s">
        <v>2117</v>
      </c>
      <c r="B480" s="13" t="str">
        <f>HYPERLINK("https://shopee.co.id/Yoqueen-Beauty-Light-Booster-Serum-30ml-i.48380572.7739084617", "https://shopee.co.id/Yoqueen-Beauty-Light-Booster-Serum-30ml-i.48380572.7739084617")</f>
        <v>https://shopee.co.id/Yoqueen-Beauty-Light-Booster-Serum-30ml-i.48380572.7739084617</v>
      </c>
      <c r="C480" s="8" t="s">
        <v>2118</v>
      </c>
      <c r="D480" s="8" t="s">
        <v>2119</v>
      </c>
      <c r="E480" s="8" t="s">
        <v>12</v>
      </c>
      <c r="F480" s="8" t="s">
        <v>13</v>
      </c>
      <c r="G480" s="8" t="s">
        <v>2120</v>
      </c>
      <c r="H480" s="16">
        <v>113.0</v>
      </c>
      <c r="I480" s="15" t="str">
        <f>SUBSTITUTE(Sheet1!K480, "Rp", "")</f>
        <v>2888000</v>
      </c>
    </row>
    <row r="481">
      <c r="A481" s="8" t="s">
        <v>638</v>
      </c>
      <c r="B481" s="13" t="str">
        <f>HYPERLINK("https://shopee.co.id/Dr-Jart-Cicapair-Serum-i.126014132.4910237655", "https://shopee.co.id/Dr-Jart-Cicapair-Serum-i.126014132.4910237655")</f>
        <v>https://shopee.co.id/Dr-Jart-Cicapair-Serum-i.126014132.4910237655</v>
      </c>
      <c r="C481" s="8" t="s">
        <v>639</v>
      </c>
      <c r="D481" s="8" t="s">
        <v>640</v>
      </c>
      <c r="E481" s="8" t="s">
        <v>12</v>
      </c>
      <c r="F481" s="8" t="s">
        <v>13</v>
      </c>
      <c r="G481" s="8" t="s">
        <v>61</v>
      </c>
      <c r="H481" s="16">
        <v>112.0</v>
      </c>
      <c r="I481" s="15" t="str">
        <f>SUBSTITUTE(Sheet1!K481, "Rp", "")</f>
        <v>45438750</v>
      </c>
    </row>
    <row r="482">
      <c r="A482" s="8" t="s">
        <v>1272</v>
      </c>
      <c r="B482" s="13" t="str">
        <f>HYPERLINK("https://shopee.co.id/Serum-Acne-Fighter-15ml-Nadfaskin--i.3087844.4353121929", "https://shopee.co.id/Serum-Acne-Fighter-15ml-Nadfaskin--i.3087844.4353121929")</f>
        <v>https://shopee.co.id/Serum-Acne-Fighter-15ml-Nadfaskin--i.3087844.4353121929</v>
      </c>
      <c r="C482" s="8" t="s">
        <v>1157</v>
      </c>
      <c r="D482" s="8" t="s">
        <v>1158</v>
      </c>
      <c r="E482" s="8" t="s">
        <v>12</v>
      </c>
      <c r="F482" s="8" t="s">
        <v>13</v>
      </c>
      <c r="G482" s="8" t="s">
        <v>241</v>
      </c>
      <c r="H482" s="16">
        <v>112.0</v>
      </c>
      <c r="I482" s="15" t="str">
        <f>SUBSTITUTE(Sheet1!K482, "Rp", "")</f>
        <v>11302200</v>
      </c>
    </row>
    <row r="483">
      <c r="A483" s="8" t="s">
        <v>1057</v>
      </c>
      <c r="B483" s="13" t="str">
        <f>HYPERLINK("https://shopee.co.id/Somethinc-5-Niacinamide-Moisture-Sabi-Beet-Serum-40ml-i.110573301.8715961750", "https://shopee.co.id/Somethinc-5-Niacinamide-Moisture-Sabi-Beet-Serum-40ml-i.110573301.8715961750")</f>
        <v>https://shopee.co.id/Somethinc-5-Niacinamide-Moisture-Sabi-Beet-Serum-40ml-i.110573301.8715961750</v>
      </c>
      <c r="C483" s="8" t="s">
        <v>45</v>
      </c>
      <c r="D483" s="8" t="s">
        <v>227</v>
      </c>
      <c r="E483" s="8" t="s">
        <v>12</v>
      </c>
      <c r="F483" s="8" t="s">
        <v>13</v>
      </c>
      <c r="G483" s="8" t="s">
        <v>61</v>
      </c>
      <c r="H483" s="16">
        <v>112.0</v>
      </c>
      <c r="I483" s="15" t="str">
        <f>SUBSTITUTE(Sheet1!K483, "Rp", "")</f>
        <v>16688000</v>
      </c>
    </row>
    <row r="484">
      <c r="A484" s="8" t="s">
        <v>1298</v>
      </c>
      <c r="B484" s="13" t="str">
        <f>HYPERLINK("https://shopee.co.id/The-Aubree-Hyaluron-Hydrating-Serum-30ml-i.495290309.10142422275", "https://shopee.co.id/The-Aubree-Hyaluron-Hydrating-Serum-30ml-i.495290309.10142422275")</f>
        <v>https://shopee.co.id/The-Aubree-Hyaluron-Hydrating-Serum-30ml-i.495290309.10142422275</v>
      </c>
      <c r="C484" s="8" t="s">
        <v>772</v>
      </c>
      <c r="D484" s="8" t="s">
        <v>773</v>
      </c>
      <c r="E484" s="8" t="s">
        <v>12</v>
      </c>
      <c r="F484" s="8" t="s">
        <v>13</v>
      </c>
      <c r="G484" s="8" t="s">
        <v>241</v>
      </c>
      <c r="H484" s="16">
        <v>112.0</v>
      </c>
      <c r="I484" s="15" t="str">
        <f>SUBSTITUTE(Sheet1!K484, "Rp", "")</f>
        <v>10810800</v>
      </c>
    </row>
    <row r="485">
      <c r="A485" s="8" t="s">
        <v>694</v>
      </c>
      <c r="B485" s="13" t="str">
        <f>HYPERLINK("https://shopee.co.id/MISSHA-Time-Revolution-The-First-Essence-5X-150ml-Free-2-Mascure-Guaiazulene-Madecasoid--i.37557990.562122040", "https://shopee.co.id/MISSHA-Time-Revolution-The-First-Essence-5X-150ml-Free-2-Mascure-Guaiazulene-Madecasoid--i.37557990.562122040")</f>
        <v>https://shopee.co.id/MISSHA-Time-Revolution-The-First-Essence-5X-150ml-Free-2-Mascure-Guaiazulene-Madecasoid--i.37557990.562122040</v>
      </c>
      <c r="C485" s="8" t="s">
        <v>695</v>
      </c>
      <c r="D485" s="8" t="s">
        <v>696</v>
      </c>
      <c r="E485" s="8" t="s">
        <v>12</v>
      </c>
      <c r="F485" s="8" t="s">
        <v>13</v>
      </c>
      <c r="G485" s="8" t="s">
        <v>80</v>
      </c>
      <c r="H485" s="16">
        <v>111.0</v>
      </c>
      <c r="I485" s="15" t="str">
        <f>SUBSTITUTE(Sheet1!K485, "Rp", "")</f>
        <v>40074500</v>
      </c>
    </row>
    <row r="486">
      <c r="A486" s="8" t="s">
        <v>1251</v>
      </c>
      <c r="B486" s="13" t="str">
        <f>HYPERLINK("https://shopee.co.id/Airnderm-Aesthetic-AHA-BHA-Serum-by-AIRIN-BEAUTY--i.112372548.12605910298", "https://shopee.co.id/Airnderm-Aesthetic-AHA-BHA-Serum-by-AIRIN-BEAUTY--i.112372548.12605910298")</f>
        <v>https://shopee.co.id/Airnderm-Aesthetic-AHA-BHA-Serum-by-AIRIN-BEAUTY--i.112372548.12605910298</v>
      </c>
      <c r="C486" s="8" t="s">
        <v>239</v>
      </c>
      <c r="D486" s="8" t="s">
        <v>240</v>
      </c>
      <c r="E486" s="8" t="s">
        <v>12</v>
      </c>
      <c r="F486" s="8" t="s">
        <v>13</v>
      </c>
      <c r="G486" s="8" t="s">
        <v>241</v>
      </c>
      <c r="H486" s="16">
        <v>110.0</v>
      </c>
      <c r="I486" s="15" t="str">
        <f>SUBSTITUTE(Sheet1!K486, "Rp", "")</f>
        <v>11800000</v>
      </c>
    </row>
    <row r="487">
      <c r="A487" s="8" t="s">
        <v>1108</v>
      </c>
      <c r="B487" s="13" t="str">
        <f>HYPERLINK("https://shopee.co.id/AVOSKIN-YOUR-SKIN-BAE-SERIES-Marine-Collagen-10-Ginseng-Root-30ml--i.68111.9317480363", "https://shopee.co.id/AVOSKIN-YOUR-SKIN-BAE-SERIES-Marine-Collagen-10-Ginseng-Root-30ml--i.68111.9317480363")</f>
        <v>https://shopee.co.id/AVOSKIN-YOUR-SKIN-BAE-SERIES-Marine-Collagen-10-Ginseng-Root-30ml--i.68111.9317480363</v>
      </c>
      <c r="C487" s="8" t="s">
        <v>83</v>
      </c>
      <c r="D487" s="8" t="s">
        <v>441</v>
      </c>
      <c r="E487" s="8" t="s">
        <v>12</v>
      </c>
      <c r="F487" s="8" t="s">
        <v>13</v>
      </c>
      <c r="G487" s="8" t="s">
        <v>130</v>
      </c>
      <c r="H487" s="16">
        <v>110.0</v>
      </c>
      <c r="I487" s="15" t="str">
        <f>SUBSTITUTE(Sheet1!K487, "Rp", "")</f>
        <v>14952230</v>
      </c>
    </row>
    <row r="488">
      <c r="A488" s="8" t="s">
        <v>1355</v>
      </c>
      <c r="B488" s="13" t="str">
        <f>HYPERLINK("https://shopee.co.id/ERTOS-PORE-MINIMIZER-20ML-SERUM-PENGECIL-PORI-PORI-ERTO-S-i.23831802.2039843694", "https://shopee.co.id/ERTOS-PORE-MINIMIZER-20ML-SERUM-PENGECIL-PORI-PORI-ERTO-S-i.23831802.2039843694")</f>
        <v>https://shopee.co.id/ERTOS-PORE-MINIMIZER-20ML-SERUM-PENGECIL-PORI-PORI-ERTO-S-i.23831802.2039843694</v>
      </c>
      <c r="C488" s="8" t="s">
        <v>467</v>
      </c>
      <c r="D488" s="8" t="s">
        <v>1084</v>
      </c>
      <c r="E488" s="8" t="s">
        <v>12</v>
      </c>
      <c r="F488" s="8" t="s">
        <v>13</v>
      </c>
      <c r="G488" s="8" t="s">
        <v>1085</v>
      </c>
      <c r="H488" s="16">
        <v>110.0</v>
      </c>
      <c r="I488" s="15" t="str">
        <f>SUBSTITUTE(Sheet1!K488, "Rp", "")</f>
        <v>9889000</v>
      </c>
    </row>
    <row r="489">
      <c r="A489" s="8" t="s">
        <v>880</v>
      </c>
      <c r="B489" s="13" t="str">
        <f>HYPERLINK("https://shopee.co.id/MSBB-Avoskin-Miraculous-Refining-Serum-30ml-i.288588702.3249381177", "https://shopee.co.id/MSBB-Avoskin-Miraculous-Refining-Serum-30ml-i.288588702.3249381177")</f>
        <v>https://shopee.co.id/MSBB-Avoskin-Miraculous-Refining-Serum-30ml-i.288588702.3249381177</v>
      </c>
      <c r="C489" s="8" t="s">
        <v>83</v>
      </c>
      <c r="D489" s="8" t="s">
        <v>79</v>
      </c>
      <c r="E489" s="8" t="s">
        <v>12</v>
      </c>
      <c r="F489" s="8" t="s">
        <v>13</v>
      </c>
      <c r="G489" s="8" t="s">
        <v>80</v>
      </c>
      <c r="H489" s="16">
        <v>110.0</v>
      </c>
      <c r="I489" s="15" t="str">
        <f>SUBSTITUTE(Sheet1!K489, "Rp", "")</f>
        <v>25016130</v>
      </c>
    </row>
    <row r="490">
      <c r="A490" s="8" t="s">
        <v>1462</v>
      </c>
      <c r="B490" s="13" t="str">
        <f>HYPERLINK("https://shopee.co.id/Azalea-Amazing-Brightening-Face-Serum-i.38631574.6043378647", "https://shopee.co.id/Azalea-Amazing-Brightening-Face-Serum-i.38631574.6043378647")</f>
        <v>https://shopee.co.id/Azalea-Amazing-Brightening-Face-Serum-i.38631574.6043378647</v>
      </c>
      <c r="C490" s="8" t="s">
        <v>1463</v>
      </c>
      <c r="D490" s="8" t="s">
        <v>1235</v>
      </c>
      <c r="E490" s="8" t="s">
        <v>12</v>
      </c>
      <c r="F490" s="8" t="s">
        <v>13</v>
      </c>
      <c r="G490" s="8" t="s">
        <v>469</v>
      </c>
      <c r="H490" s="16">
        <v>109.0</v>
      </c>
      <c r="I490" s="15" t="str">
        <f>SUBSTITUTE(Sheet1!K490, "Rp", "")</f>
        <v>8034800</v>
      </c>
    </row>
    <row r="491">
      <c r="A491" s="8" t="s">
        <v>1535</v>
      </c>
      <c r="B491" s="13" t="str">
        <f>HYPERLINK("https://shopee.co.id/Intense-Ultimate-Care-200ml-For-Women-i.166871644.2615609180", "https://shopee.co.id/Intense-Ultimate-Care-200ml-For-Women-i.166871644.2615609180")</f>
        <v>https://shopee.co.id/Intense-Ultimate-Care-200ml-For-Women-i.166871644.2615609180</v>
      </c>
      <c r="C491" s="8" t="s">
        <v>1536</v>
      </c>
      <c r="D491" s="8" t="s">
        <v>1537</v>
      </c>
      <c r="E491" s="8" t="s">
        <v>12</v>
      </c>
      <c r="F491" s="8" t="s">
        <v>13</v>
      </c>
      <c r="G491" s="8" t="s">
        <v>61</v>
      </c>
      <c r="H491" s="16">
        <v>109.0</v>
      </c>
      <c r="I491" s="15" t="str">
        <f>SUBSTITUTE(Sheet1!K491, "Rp", "")</f>
        <v>7249550</v>
      </c>
    </row>
    <row r="492">
      <c r="A492" s="8" t="s">
        <v>1327</v>
      </c>
      <c r="B492" s="13" t="str">
        <f>HYPERLINK("https://shopee.co.id/Natur-Miracle-Renew-Skin-Face-Serum-Ginseng-Probiotic-i.38631574.4933325521", "https://shopee.co.id/Natur-Miracle-Renew-Skin-Face-Serum-Ginseng-Probiotic-i.38631574.4933325521")</f>
        <v>https://shopee.co.id/Natur-Miracle-Renew-Skin-Face-Serum-Ginseng-Probiotic-i.38631574.4933325521</v>
      </c>
      <c r="C492" s="8" t="s">
        <v>1234</v>
      </c>
      <c r="D492" s="8" t="s">
        <v>1235</v>
      </c>
      <c r="E492" s="8" t="s">
        <v>12</v>
      </c>
      <c r="F492" s="8" t="s">
        <v>13</v>
      </c>
      <c r="G492" s="8" t="s">
        <v>469</v>
      </c>
      <c r="H492" s="16">
        <v>108.0</v>
      </c>
      <c r="I492" s="15" t="str">
        <f>SUBSTITUTE(Sheet1!K492, "Rp", "")</f>
        <v>10257000</v>
      </c>
    </row>
    <row r="493">
      <c r="A493" s="8" t="s">
        <v>1365</v>
      </c>
      <c r="B493" s="13" t="str">
        <f>HYPERLINK("https://shopee.co.id/SOMETHINC-Bakuchiol-Skinpair-Oil-Serum-20ml-i.68111.6473135276", "https://shopee.co.id/SOMETHINC-Bakuchiol-Skinpair-Oil-Serum-20ml-i.68111.6473135276")</f>
        <v>https://shopee.co.id/SOMETHINC-Bakuchiol-Skinpair-Oil-Serum-20ml-i.68111.6473135276</v>
      </c>
      <c r="C493" s="8" t="s">
        <v>45</v>
      </c>
      <c r="D493" s="8" t="s">
        <v>441</v>
      </c>
      <c r="E493" s="8" t="s">
        <v>12</v>
      </c>
      <c r="F493" s="8" t="s">
        <v>13</v>
      </c>
      <c r="G493" s="8" t="s">
        <v>130</v>
      </c>
      <c r="H493" s="16">
        <v>108.0</v>
      </c>
      <c r="I493" s="15" t="str">
        <f>SUBSTITUTE(Sheet1!K493, "Rp", "")</f>
        <v>9612000</v>
      </c>
    </row>
    <row r="494">
      <c r="A494" s="8" t="s">
        <v>1482</v>
      </c>
      <c r="B494" s="13" t="str">
        <f>HYPERLINK("https://shopee.co.id/Indoganic-Beauty-Rose-Essence-C-i.4706308.3392481469", "https://shopee.co.id/Indoganic-Beauty-Rose-Essence-C-i.4706308.3392481469")</f>
        <v>https://shopee.co.id/Indoganic-Beauty-Rose-Essence-C-i.4706308.3392481469</v>
      </c>
      <c r="C494" s="8" t="s">
        <v>995</v>
      </c>
      <c r="D494" s="8" t="s">
        <v>996</v>
      </c>
      <c r="E494" s="8" t="s">
        <v>12</v>
      </c>
      <c r="F494" s="8" t="s">
        <v>13</v>
      </c>
      <c r="G494" s="8" t="s">
        <v>241</v>
      </c>
      <c r="H494" s="16">
        <v>107.0</v>
      </c>
      <c r="I494" s="15" t="str">
        <f>SUBSTITUTE(Sheet1!K494, "Rp", "")</f>
        <v>7860500</v>
      </c>
    </row>
    <row r="495">
      <c r="A495" s="8" t="s">
        <v>1397</v>
      </c>
      <c r="B495" s="13" t="str">
        <f>HYPERLINK("https://shopee.co.id/PIXY-White-Aqua-Concentrated-Brightening-Serum-i.168693892.2900798584", "https://shopee.co.id/PIXY-White-Aqua-Concentrated-Brightening-Serum-i.168693892.2900798584")</f>
        <v>https://shopee.co.id/PIXY-White-Aqua-Concentrated-Brightening-Serum-i.168693892.2900798584</v>
      </c>
      <c r="C495" s="8" t="s">
        <v>1398</v>
      </c>
      <c r="D495" s="8" t="s">
        <v>1399</v>
      </c>
      <c r="E495" s="8" t="s">
        <v>12</v>
      </c>
      <c r="F495" s="8" t="s">
        <v>13</v>
      </c>
      <c r="G495" s="8" t="s">
        <v>61</v>
      </c>
      <c r="H495" s="16">
        <v>107.0</v>
      </c>
      <c r="I495" s="15" t="str">
        <f>SUBSTITUTE(Sheet1!K495, "Rp", "")</f>
        <v>8878800</v>
      </c>
    </row>
    <row r="496">
      <c r="A496" s="8" t="s">
        <v>1542</v>
      </c>
      <c r="B496" s="13" t="str">
        <f>HYPERLINK("https://shopee.co.id/SCARLETT-WHITENING-ACNE-Serum-15ml-i.270965687.4696902950", "https://shopee.co.id/SCARLETT-WHITENING-ACNE-Serum-15ml-i.270965687.4696902950")</f>
        <v>https://shopee.co.id/SCARLETT-WHITENING-ACNE-Serum-15ml-i.270965687.4696902950</v>
      </c>
      <c r="C496" s="8" t="s">
        <v>19</v>
      </c>
      <c r="D496" s="8" t="s">
        <v>379</v>
      </c>
      <c r="E496" s="8" t="s">
        <v>12</v>
      </c>
      <c r="F496" s="8" t="s">
        <v>13</v>
      </c>
      <c r="G496" s="8" t="s">
        <v>380</v>
      </c>
      <c r="H496" s="16">
        <v>107.0</v>
      </c>
      <c r="I496" s="15" t="str">
        <f>SUBSTITUTE(Sheet1!K496, "Rp", "")</f>
        <v>7169000</v>
      </c>
    </row>
    <row r="497">
      <c r="A497" s="8" t="s">
        <v>2611</v>
      </c>
      <c r="B497" s="13" t="str">
        <f>HYPERLINK("https://shopee.co.id/Yoqueen-Beuaty-Light-Booster-Serum-10ml-i.48380572.7217900769", "https://shopee.co.id/Yoqueen-Beuaty-Light-Booster-Serum-10ml-i.48380572.7217900769")</f>
        <v>https://shopee.co.id/Yoqueen-Beuaty-Light-Booster-Serum-10ml-i.48380572.7217900769</v>
      </c>
      <c r="C497" s="8" t="s">
        <v>2118</v>
      </c>
      <c r="D497" s="8" t="s">
        <v>2119</v>
      </c>
      <c r="E497" s="8" t="s">
        <v>12</v>
      </c>
      <c r="F497" s="8" t="s">
        <v>13</v>
      </c>
      <c r="G497" s="8" t="s">
        <v>2120</v>
      </c>
      <c r="H497" s="16">
        <v>107.0</v>
      </c>
      <c r="I497" s="15" t="str">
        <f>SUBSTITUTE(Sheet1!K497, "Rp", "")</f>
        <v>1425000</v>
      </c>
    </row>
    <row r="498">
      <c r="A498" s="8" t="s">
        <v>1409</v>
      </c>
      <c r="B498" s="13" t="str">
        <f>HYPERLINK("https://shopee.co.id/Azarine-AHA-BHA-Miraclear-Herbal-Peeling-Serum-20ml-i.65323877.10519054606", "https://shopee.co.id/Azarine-AHA-BHA-Miraclear-Herbal-Peeling-Serum-20ml-i.65323877.10519054606")</f>
        <v>https://shopee.co.id/Azarine-AHA-BHA-Miraclear-Herbal-Peeling-Serum-20ml-i.65323877.10519054606</v>
      </c>
      <c r="C498" s="8" t="s">
        <v>233</v>
      </c>
      <c r="D498" s="8" t="s">
        <v>1600</v>
      </c>
      <c r="E498" s="8" t="s">
        <v>12</v>
      </c>
      <c r="F498" s="8" t="s">
        <v>13</v>
      </c>
      <c r="G498" s="8" t="s">
        <v>296</v>
      </c>
      <c r="H498" s="16">
        <v>106.0</v>
      </c>
      <c r="I498" s="15" t="str">
        <f>SUBSTITUTE(Sheet1!K498, "Rp", "")</f>
        <v>2850000</v>
      </c>
    </row>
    <row r="499">
      <c r="A499" s="8" t="s">
        <v>1377</v>
      </c>
      <c r="B499" s="13" t="str">
        <f>HYPERLINK("https://shopee.co.id/ERTOS-Retinol-Serum-Wajah-BPOM-ORIGINAL-Atasi-Kerutan-Noda-Hitam-Mencerahkan-Wajah-i.23831802.3642035008", "https://shopee.co.id/ERTOS-Retinol-Serum-Wajah-BPOM-ORIGINAL-Atasi-Kerutan-Noda-Hitam-Mencerahkan-Wajah-i.23831802.3642035008")</f>
        <v>https://shopee.co.id/ERTOS-Retinol-Serum-Wajah-BPOM-ORIGINAL-Atasi-Kerutan-Noda-Hitam-Mencerahkan-Wajah-i.23831802.3642035008</v>
      </c>
      <c r="C499" s="8" t="s">
        <v>467</v>
      </c>
      <c r="D499" s="8" t="s">
        <v>1084</v>
      </c>
      <c r="E499" s="8" t="s">
        <v>12</v>
      </c>
      <c r="F499" s="8" t="s">
        <v>13</v>
      </c>
      <c r="G499" s="8" t="s">
        <v>1085</v>
      </c>
      <c r="H499" s="16">
        <v>106.0</v>
      </c>
      <c r="I499" s="15" t="str">
        <f>SUBSTITUTE(Sheet1!K499, "Rp", "")</f>
        <v>9374000</v>
      </c>
    </row>
    <row r="500">
      <c r="A500" s="8" t="s">
        <v>708</v>
      </c>
      <c r="B500" s="13" t="str">
        <f>HYPERLINK("https://shopee.co.id/Bening-s-Deluxe-Serum-Serum-Anti-Aging-i.190390143.7024099790", "https://shopee.co.id/Bening-s-Deluxe-Serum-Serum-Anti-Aging-i.190390143.7024099790")</f>
        <v>https://shopee.co.id/Bening-s-Deluxe-Serum-Serum-Anti-Aging-i.190390143.7024099790</v>
      </c>
      <c r="C500" s="8" t="s">
        <v>10</v>
      </c>
      <c r="D500" s="8" t="s">
        <v>11</v>
      </c>
      <c r="E500" s="8" t="s">
        <v>12</v>
      </c>
      <c r="F500" s="8" t="s">
        <v>13</v>
      </c>
      <c r="G500" s="8" t="s">
        <v>14</v>
      </c>
      <c r="H500" s="16">
        <v>105.0</v>
      </c>
      <c r="I500" s="15" t="str">
        <f>SUBSTITUTE(Sheet1!K500, "Rp", "")</f>
        <v>37880000</v>
      </c>
    </row>
    <row r="501">
      <c r="A501" s="8" t="s">
        <v>994</v>
      </c>
      <c r="B501" s="13" t="str">
        <f>HYPERLINK("https://shopee.co.id/Indoganic-Beauty-Brightening-Vitamin-C-Serum-with-Glutathione-15ml-brightening-serum-vit-c-serum-i.4706308.5315062291", "https://shopee.co.id/Indoganic-Beauty-Brightening-Vitamin-C-Serum-with-Glutathione-15ml-brightening-serum-vit-c-serum-i.4706308.5315062291")</f>
        <v>https://shopee.co.id/Indoganic-Beauty-Brightening-Vitamin-C-Serum-with-Glutathione-15ml-brightening-serum-vit-c-serum-i.4706308.5315062291</v>
      </c>
      <c r="C501" s="8" t="s">
        <v>995</v>
      </c>
      <c r="D501" s="8" t="s">
        <v>996</v>
      </c>
      <c r="E501" s="8" t="s">
        <v>12</v>
      </c>
      <c r="F501" s="8" t="s">
        <v>13</v>
      </c>
      <c r="G501" s="8" t="s">
        <v>241</v>
      </c>
      <c r="H501" s="16">
        <v>105.0</v>
      </c>
      <c r="I501" s="15" t="str">
        <f>SUBSTITUTE(Sheet1!K501, "Rp", "")</f>
        <v>19364458</v>
      </c>
    </row>
    <row r="502">
      <c r="A502" s="8" t="s">
        <v>769</v>
      </c>
      <c r="B502" s="13" t="str">
        <f>HYPERLINK("https://shopee.co.id/L-Oreal-Paris-Youth-Code-Ferment-Pre-Essence-Serum-Skin-Care-30ml-Untuk-Kulit-Cerah-Kencang--i.62579622.1023031416", "https://shopee.co.id/L-Oreal-Paris-Youth-Code-Ferment-Pre-Essence-Serum-Skin-Care-30ml-Untuk-Kulit-Cerah-Kencang--i.62579622.1023031416")</f>
        <v>https://shopee.co.id/L-Oreal-Paris-Youth-Code-Ferment-Pre-Essence-Serum-Skin-Care-30ml-Untuk-Kulit-Cerah-Kencang--i.62579622.1023031416</v>
      </c>
      <c r="C502" s="8" t="s">
        <v>105</v>
      </c>
      <c r="D502" s="8" t="s">
        <v>106</v>
      </c>
      <c r="E502" s="8" t="s">
        <v>12</v>
      </c>
      <c r="F502" s="8" t="s">
        <v>13</v>
      </c>
      <c r="G502" s="8" t="s">
        <v>61</v>
      </c>
      <c r="H502" s="16">
        <v>105.0</v>
      </c>
      <c r="I502" s="15" t="str">
        <f>SUBSTITUTE(Sheet1!K502, "Rp", "")</f>
        <v>32703500</v>
      </c>
    </row>
    <row r="503">
      <c r="A503" s="8" t="s">
        <v>1557</v>
      </c>
      <c r="B503" s="13" t="str">
        <f>HYPERLINK("https://shopee.co.id/Olay-White-Radiance-Essence-7-ml-i.11487927.4261207408", "https://shopee.co.id/Olay-White-Radiance-Essence-7-ml-i.11487927.4261207408")</f>
        <v>https://shopee.co.id/Olay-White-Radiance-Essence-7-ml-i.11487927.4261207408</v>
      </c>
      <c r="C503" s="8" t="s">
        <v>317</v>
      </c>
      <c r="D503" s="8" t="s">
        <v>318</v>
      </c>
      <c r="E503" s="8" t="s">
        <v>12</v>
      </c>
      <c r="F503" s="8" t="s">
        <v>13</v>
      </c>
      <c r="G503" s="8" t="s">
        <v>296</v>
      </c>
      <c r="H503" s="16">
        <v>105.0</v>
      </c>
      <c r="I503" s="15" t="str">
        <f>SUBSTITUTE(Sheet1!K503, "Rp", "")</f>
        <v>7035000</v>
      </c>
    </row>
    <row r="504">
      <c r="A504" s="8" t="s">
        <v>1511</v>
      </c>
      <c r="B504" s="13" t="str">
        <f>HYPERLINK("https://shopee.co.id/Bless-Hydrating-Brightening-Serum-20ml-i.3299033.6087488590", "https://shopee.co.id/Bless-Hydrating-Brightening-Serum-20ml-i.3299033.6087488590")</f>
        <v>https://shopee.co.id/Bless-Hydrating-Brightening-Serum-20ml-i.3299033.6087488590</v>
      </c>
      <c r="C504" s="8" t="s">
        <v>1512</v>
      </c>
      <c r="D504" s="8" t="s">
        <v>1513</v>
      </c>
      <c r="E504" s="8" t="s">
        <v>12</v>
      </c>
      <c r="F504" s="8" t="s">
        <v>13</v>
      </c>
      <c r="G504" s="8" t="s">
        <v>532</v>
      </c>
      <c r="H504" s="16">
        <v>104.0</v>
      </c>
      <c r="I504" s="15" t="str">
        <f>SUBSTITUTE(Sheet1!K504, "Rp", "")</f>
        <v>7459750</v>
      </c>
    </row>
    <row r="505">
      <c r="A505" s="8" t="s">
        <v>787</v>
      </c>
      <c r="B505" s="13" t="str">
        <f>HYPERLINK("https://shopee.co.id/Some-By-Mi-Galactomyces-Pure-Vitamin-C-Glow-Serum-i.455311481.11709811684", "https://shopee.co.id/Some-By-Mi-Galactomyces-Pure-Vitamin-C-Glow-Serum-i.455311481.11709811684")</f>
        <v>https://shopee.co.id/Some-By-Mi-Galactomyces-Pure-Vitamin-C-Glow-Serum-i.455311481.11709811684</v>
      </c>
      <c r="C505" s="8" t="s">
        <v>213</v>
      </c>
      <c r="D505" s="8" t="s">
        <v>214</v>
      </c>
      <c r="E505" s="8" t="s">
        <v>12</v>
      </c>
      <c r="F505" s="8" t="s">
        <v>13</v>
      </c>
      <c r="G505" s="8" t="s">
        <v>130</v>
      </c>
      <c r="H505" s="16">
        <v>104.0</v>
      </c>
      <c r="I505" s="15" t="str">
        <f>SUBSTITUTE(Sheet1!K505, "Rp", "")</f>
        <v>31896800</v>
      </c>
    </row>
    <row r="506">
      <c r="A506" s="8" t="s">
        <v>1165</v>
      </c>
      <c r="B506" s="13" t="str">
        <f>HYPERLINK("https://shopee.co.id/Bio-Essence-Bio-Gold-Gold-Water-30-ml-Bio-Essence-Bio-Gold-Radiance-Cleanser-100-gr-i.63822287.5556206884", "https://shopee.co.id/Bio-Essence-Bio-Gold-Gold-Water-30-ml-Bio-Essence-Bio-Gold-Radiance-Cleanser-100-gr-i.63822287.5556206884")</f>
        <v>https://shopee.co.id/Bio-Essence-Bio-Gold-Gold-Water-30-ml-Bio-Essence-Bio-Gold-Radiance-Cleanser-100-gr-i.63822287.5556206884</v>
      </c>
      <c r="C506" s="8" t="s">
        <v>834</v>
      </c>
      <c r="D506" s="8" t="s">
        <v>835</v>
      </c>
      <c r="E506" s="8" t="s">
        <v>12</v>
      </c>
      <c r="F506" s="8" t="s">
        <v>13</v>
      </c>
      <c r="G506" s="8" t="s">
        <v>61</v>
      </c>
      <c r="H506" s="16">
        <v>103.0</v>
      </c>
      <c r="I506" s="15" t="str">
        <f>SUBSTITUTE(Sheet1!K506, "Rp", "")</f>
        <v>13618800</v>
      </c>
    </row>
    <row r="507">
      <c r="A507" s="8" t="s">
        <v>1006</v>
      </c>
      <c r="B507" s="13" t="str">
        <f>HYPERLINK("https://shopee.co.id/Dear-Me-Beauty-Paket-Serum-Bumil-12ml-PHA-Bakuchiol-i.45495764.6696522727", "https://shopee.co.id/Dear-Me-Beauty-Paket-Serum-Bumil-12ml-PHA-Bakuchiol-i.45495764.6696522727")</f>
        <v>https://shopee.co.id/Dear-Me-Beauty-Paket-Serum-Bumil-12ml-PHA-Bakuchiol-i.45495764.6696522727</v>
      </c>
      <c r="C507" s="8" t="s">
        <v>70</v>
      </c>
      <c r="D507" s="8" t="s">
        <v>71</v>
      </c>
      <c r="E507" s="8" t="s">
        <v>12</v>
      </c>
      <c r="F507" s="8" t="s">
        <v>13</v>
      </c>
      <c r="G507" s="8" t="s">
        <v>61</v>
      </c>
      <c r="H507" s="16">
        <v>103.0</v>
      </c>
      <c r="I507" s="15" t="str">
        <f>SUBSTITUTE(Sheet1!K507, "Rp", "")</f>
        <v>18819900</v>
      </c>
    </row>
    <row r="508">
      <c r="A508" s="8" t="s">
        <v>683</v>
      </c>
      <c r="B508" s="13" t="str">
        <f>HYPERLINK("https://shopee.co.id/ElsheSkin-Radiant-Skin-Serum-x-Active-Rejuvenating-Night-Serum-LIMITED-EDITION--i.9035345.4249122044", "https://shopee.co.id/ElsheSkin-Radiant-Skin-Serum-x-Active-Rejuvenating-Night-Serum-LIMITED-EDITION--i.9035345.4249122044")</f>
        <v>https://shopee.co.id/ElsheSkin-Radiant-Skin-Serum-x-Active-Rejuvenating-Night-Serum-LIMITED-EDITION--i.9035345.4249122044</v>
      </c>
      <c r="C508" s="8" t="s">
        <v>135</v>
      </c>
      <c r="D508" s="8" t="s">
        <v>136</v>
      </c>
      <c r="E508" s="8" t="s">
        <v>12</v>
      </c>
      <c r="F508" s="8" t="s">
        <v>13</v>
      </c>
      <c r="G508" s="8" t="s">
        <v>80</v>
      </c>
      <c r="H508" s="16">
        <v>103.0</v>
      </c>
      <c r="I508" s="15" t="str">
        <f>SUBSTITUTE(Sheet1!K508, "Rp", "")</f>
        <v>41418650</v>
      </c>
    </row>
    <row r="509">
      <c r="A509" s="8" t="s">
        <v>989</v>
      </c>
      <c r="B509" s="13" t="str">
        <f>HYPERLINK("https://shopee.co.id/Olay-Regenerist-Micro-Sculpting-Essence-Water-Serum-Wajah-Brightening-Skincare-150ml-i.11487927.8173536337", "https://shopee.co.id/Olay-Regenerist-Micro-Sculpting-Essence-Water-Serum-Wajah-Brightening-Skincare-150ml-i.11487927.8173536337")</f>
        <v>https://shopee.co.id/Olay-Regenerist-Micro-Sculpting-Essence-Water-Serum-Wajah-Brightening-Skincare-150ml-i.11487927.8173536337</v>
      </c>
      <c r="C509" s="8" t="s">
        <v>317</v>
      </c>
      <c r="D509" s="8" t="s">
        <v>318</v>
      </c>
      <c r="E509" s="8" t="s">
        <v>12</v>
      </c>
      <c r="F509" s="8" t="s">
        <v>13</v>
      </c>
      <c r="G509" s="8" t="s">
        <v>296</v>
      </c>
      <c r="H509" s="16">
        <v>103.0</v>
      </c>
      <c r="I509" s="15" t="str">
        <f>SUBSTITUTE(Sheet1!K509, "Rp", "")</f>
        <v>19580700</v>
      </c>
    </row>
    <row r="510">
      <c r="A510" s="8" t="s">
        <v>1220</v>
      </c>
      <c r="B510" s="13" t="str">
        <f>HYPERLINK("https://shopee.co.id/Tuesbelle-AVOSKIN-Your-Skin-Bae-Alpha-Arbutin-Niacinamide-Marine-Collagen-Mugwort-Cica-i.36872574.7375700597", "https://shopee.co.id/Tuesbelle-AVOSKIN-Your-Skin-Bae-Alpha-Arbutin-Niacinamide-Marine-Collagen-Mugwort-Cica-i.36872574.7375700597")</f>
        <v>https://shopee.co.id/Tuesbelle-AVOSKIN-Your-Skin-Bae-Alpha-Arbutin-Niacinamide-Marine-Collagen-Mugwort-Cica-i.36872574.7375700597</v>
      </c>
      <c r="C510" s="8" t="s">
        <v>83</v>
      </c>
      <c r="D510" s="8" t="s">
        <v>969</v>
      </c>
      <c r="E510" s="8" t="s">
        <v>12</v>
      </c>
      <c r="F510" s="8" t="s">
        <v>13</v>
      </c>
      <c r="G510" s="8" t="s">
        <v>115</v>
      </c>
      <c r="H510" s="16">
        <v>103.0</v>
      </c>
      <c r="I510" s="15" t="str">
        <f>SUBSTITUTE(Sheet1!K510, "Rp", "")</f>
        <v>12457000</v>
      </c>
    </row>
    <row r="511">
      <c r="A511" s="8" t="s">
        <v>2178</v>
      </c>
      <c r="B511" s="13" t="str">
        <f>HYPERLINK("https://shopee.co.id/Yoqueen-Beauty-Serum-for-Acne-30ml-i.48380572.7239084936", "https://shopee.co.id/Yoqueen-Beauty-Serum-for-Acne-30ml-i.48380572.7239084936")</f>
        <v>https://shopee.co.id/Yoqueen-Beauty-Serum-for-Acne-30ml-i.48380572.7239084936</v>
      </c>
      <c r="C511" s="8" t="s">
        <v>2118</v>
      </c>
      <c r="D511" s="8" t="s">
        <v>2119</v>
      </c>
      <c r="E511" s="8" t="s">
        <v>12</v>
      </c>
      <c r="F511" s="8" t="s">
        <v>13</v>
      </c>
      <c r="G511" s="8" t="s">
        <v>2120</v>
      </c>
      <c r="H511" s="16">
        <v>103.0</v>
      </c>
      <c r="I511" s="15" t="str">
        <f>SUBSTITUTE(Sheet1!K511, "Rp", "")</f>
        <v>2607000</v>
      </c>
    </row>
    <row r="512">
      <c r="A512" s="8" t="s">
        <v>2548</v>
      </c>
      <c r="B512" s="13" t="str">
        <f>HYPERLINK("https://shopee.co.id/Hanasui-Serum-Whitening-Collagen-Plus-Vit-C-20ml-i.277377659.3153441719", "https://shopee.co.id/Hanasui-Serum-Whitening-Collagen-Plus-Vit-C-20ml-i.277377659.3153441719")</f>
        <v>https://shopee.co.id/Hanasui-Serum-Whitening-Collagen-Plus-Vit-C-20ml-i.277377659.3153441719</v>
      </c>
      <c r="C512" s="8" t="s">
        <v>784</v>
      </c>
      <c r="D512" s="8" t="s">
        <v>2549</v>
      </c>
      <c r="E512" s="8" t="s">
        <v>12</v>
      </c>
      <c r="F512" s="8" t="s">
        <v>13</v>
      </c>
      <c r="G512" s="8" t="s">
        <v>532</v>
      </c>
      <c r="H512" s="16">
        <v>102.0</v>
      </c>
      <c r="I512" s="15" t="str">
        <f>SUBSTITUTE(Sheet1!K512, "Rp", "")</f>
        <v>1581000</v>
      </c>
    </row>
    <row r="513">
      <c r="A513" s="8" t="s">
        <v>1419</v>
      </c>
      <c r="B513" s="13" t="str">
        <f>HYPERLINK("https://shopee.co.id/THE-AUBREE-Niacinamide-Skin-Booster-30ml-i.270965687.6476032162", "https://shopee.co.id/THE-AUBREE-Niacinamide-Skin-Booster-30ml-i.270965687.6476032162")</f>
        <v>https://shopee.co.id/THE-AUBREE-Niacinamide-Skin-Booster-30ml-i.270965687.6476032162</v>
      </c>
      <c r="C513" s="8" t="s">
        <v>772</v>
      </c>
      <c r="D513" s="8" t="s">
        <v>379</v>
      </c>
      <c r="E513" s="8" t="s">
        <v>12</v>
      </c>
      <c r="F513" s="8" t="s">
        <v>13</v>
      </c>
      <c r="G513" s="8" t="s">
        <v>380</v>
      </c>
      <c r="H513" s="16">
        <v>102.0</v>
      </c>
      <c r="I513" s="15" t="str">
        <f>SUBSTITUTE(Sheet1!K513, "Rp", "")</f>
        <v>8583300</v>
      </c>
    </row>
    <row r="514">
      <c r="A514" s="8" t="s">
        <v>1593</v>
      </c>
      <c r="B514" s="13" t="str">
        <f>HYPERLINK("https://shopee.co.id/Bio-Essence-Bio-Renew-Foamy-Cleanser-100-gr-Foam-Cleanser-i.63822287.1222603782", "https://shopee.co.id/Bio-Essence-Bio-Renew-Foamy-Cleanser-100-gr-Foam-Cleanser-i.63822287.1222603782")</f>
        <v>https://shopee.co.id/Bio-Essence-Bio-Renew-Foamy-Cleanser-100-gr-Foam-Cleanser-i.63822287.1222603782</v>
      </c>
      <c r="C514" s="8" t="s">
        <v>1254</v>
      </c>
      <c r="D514" s="8" t="s">
        <v>835</v>
      </c>
      <c r="E514" s="8" t="s">
        <v>12</v>
      </c>
      <c r="F514" s="8" t="s">
        <v>13</v>
      </c>
      <c r="G514" s="8" t="s">
        <v>61</v>
      </c>
      <c r="H514" s="16">
        <v>101.0</v>
      </c>
      <c r="I514" s="15" t="str">
        <f>SUBSTITUTE(Sheet1!K514, "Rp", "")</f>
        <v>6462600</v>
      </c>
    </row>
    <row r="515">
      <c r="A515" s="8" t="s">
        <v>789</v>
      </c>
      <c r="B515" s="13" t="str">
        <f>HYPERLINK("https://shopee.co.id/Frudia-Blueberry-Hydrating-Serum-FREE-Frudia-Pouch-Garis-Vertikal-i.98124209.1610470956", "https://shopee.co.id/Frudia-Blueberry-Hydrating-Serum-FREE-Frudia-Pouch-Garis-Vertikal-i.98124209.1610470956")</f>
        <v>https://shopee.co.id/Frudia-Blueberry-Hydrating-Serum-FREE-Frudia-Pouch-Garis-Vertikal-i.98124209.1610470956</v>
      </c>
      <c r="C515" s="8" t="s">
        <v>790</v>
      </c>
      <c r="D515" s="8" t="s">
        <v>791</v>
      </c>
      <c r="E515" s="8" t="s">
        <v>12</v>
      </c>
      <c r="F515" s="8" t="s">
        <v>13</v>
      </c>
      <c r="G515" s="8" t="s">
        <v>85</v>
      </c>
      <c r="H515" s="16">
        <v>100.0</v>
      </c>
      <c r="I515" s="15" t="str">
        <f>SUBSTITUTE(Sheet1!K515, "Rp", "")</f>
        <v>31660000</v>
      </c>
    </row>
    <row r="516">
      <c r="A516" s="8" t="s">
        <v>2163</v>
      </c>
      <c r="B516" s="13" t="str">
        <f>HYPERLINK("https://shopee.co.id/L-Oreal-Paris-Revitalift-Crystal-Micro-Essence-Serum-Mask-Skin-Care-Kulit-Tampak-Sebening-Kristal--i.62579622.5239056974", "https://shopee.co.id/L-Oreal-Paris-Revitalift-Crystal-Micro-Essence-Serum-Mask-Skin-Care-Kulit-Tampak-Sebening-Kristal--i.62579622.5239056974")</f>
        <v>https://shopee.co.id/L-Oreal-Paris-Revitalift-Crystal-Micro-Essence-Serum-Mask-Skin-Care-Kulit-Tampak-Sebening-Kristal--i.62579622.5239056974</v>
      </c>
      <c r="C516" s="8" t="s">
        <v>105</v>
      </c>
      <c r="D516" s="8" t="s">
        <v>106</v>
      </c>
      <c r="E516" s="8" t="s">
        <v>12</v>
      </c>
      <c r="F516" s="8" t="s">
        <v>13</v>
      </c>
      <c r="G516" s="8" t="s">
        <v>61</v>
      </c>
      <c r="H516" s="16">
        <v>100.0</v>
      </c>
      <c r="I516" s="15" t="str">
        <f>SUBSTITUTE(Sheet1!K516, "Rp", "")</f>
        <v>2670000</v>
      </c>
    </row>
    <row r="517">
      <c r="A517" s="8" t="s">
        <v>1143</v>
      </c>
      <c r="B517" s="13" t="str">
        <f>HYPERLINK("https://shopee.co.id/Haum-LCID-Salicylic-Acid-2-28-Ml-X-1-i.344731863.7365350818", "https://shopee.co.id/Haum-LCID-Salicylic-Acid-2-28-Ml-X-1-i.344731863.7365350818")</f>
        <v>https://shopee.co.id/Haum-LCID-Salicylic-Acid-2-28-Ml-X-1-i.344731863.7365350818</v>
      </c>
      <c r="C517" s="8" t="s">
        <v>1144</v>
      </c>
      <c r="D517" s="8" t="s">
        <v>1145</v>
      </c>
      <c r="E517" s="8" t="s">
        <v>12</v>
      </c>
      <c r="F517" s="8" t="s">
        <v>13</v>
      </c>
      <c r="G517" s="8" t="s">
        <v>98</v>
      </c>
      <c r="H517" s="16">
        <v>99.0</v>
      </c>
      <c r="I517" s="15" t="str">
        <f>SUBSTITUTE(Sheet1!K517, "Rp", "")</f>
        <v>14259800</v>
      </c>
    </row>
    <row r="518">
      <c r="A518" s="8" t="s">
        <v>915</v>
      </c>
      <c r="B518" s="13" t="str">
        <f>HYPERLINK("https://shopee.co.id/MSBB-Lacoco-Hydrating-Divine-Essence-i.288588702.6544564284", "https://shopee.co.id/MSBB-Lacoco-Hydrating-Divine-Essence-i.288588702.6544564284")</f>
        <v>https://shopee.co.id/MSBB-Lacoco-Hydrating-Divine-Essence-i.288588702.6544564284</v>
      </c>
      <c r="C518" s="8" t="s">
        <v>78</v>
      </c>
      <c r="D518" s="8" t="s">
        <v>79</v>
      </c>
      <c r="E518" s="8" t="s">
        <v>12</v>
      </c>
      <c r="F518" s="8" t="s">
        <v>13</v>
      </c>
      <c r="G518" s="8" t="s">
        <v>80</v>
      </c>
      <c r="H518" s="16">
        <v>99.0</v>
      </c>
      <c r="I518" s="15" t="str">
        <f>SUBSTITUTE(Sheet1!K518, "Rp", "")</f>
        <v>23172500</v>
      </c>
    </row>
    <row r="519">
      <c r="A519" s="8" t="s">
        <v>320</v>
      </c>
      <c r="B519" s="13" t="str">
        <f>HYPERLINK("https://shopee.co.id/Sulwhasoo-First-Care-Activating-Serum-Amber-Set-i.274949344.11910298258", "https://shopee.co.id/Sulwhasoo-First-Care-Activating-Serum-Amber-Set-i.274949344.11910298258")</f>
        <v>https://shopee.co.id/Sulwhasoo-First-Care-Activating-Serum-Amber-Set-i.274949344.11910298258</v>
      </c>
      <c r="C519" s="8" t="s">
        <v>282</v>
      </c>
      <c r="D519" s="8" t="s">
        <v>283</v>
      </c>
      <c r="E519" s="8" t="s">
        <v>12</v>
      </c>
      <c r="F519" s="8" t="s">
        <v>13</v>
      </c>
      <c r="G519" s="8" t="s">
        <v>61</v>
      </c>
      <c r="H519" s="16">
        <v>99.0</v>
      </c>
      <c r="I519" s="15" t="str">
        <f>SUBSTITUTE(Sheet1!K519, "Rp", "")</f>
        <v>123291000</v>
      </c>
    </row>
    <row r="520">
      <c r="A520" s="8" t="s">
        <v>1366</v>
      </c>
      <c r="B520" s="13" t="str">
        <f>HYPERLINK("https://shopee.co.id/The-Aubree-Centella-Herb-Serum-UNSCENTED-30-ml-i.495290309.11420466520", "https://shopee.co.id/The-Aubree-Centella-Herb-Serum-UNSCENTED-30-ml-i.495290309.11420466520")</f>
        <v>https://shopee.co.id/The-Aubree-Centella-Herb-Serum-UNSCENTED-30-ml-i.495290309.11420466520</v>
      </c>
      <c r="C520" s="8" t="s">
        <v>772</v>
      </c>
      <c r="D520" s="8" t="s">
        <v>773</v>
      </c>
      <c r="E520" s="8" t="s">
        <v>12</v>
      </c>
      <c r="F520" s="8" t="s">
        <v>13</v>
      </c>
      <c r="G520" s="8" t="s">
        <v>241</v>
      </c>
      <c r="H520" s="16">
        <v>99.0</v>
      </c>
      <c r="I520" s="15" t="str">
        <f>SUBSTITUTE(Sheet1!K520, "Rp", "")</f>
        <v>9557460</v>
      </c>
    </row>
    <row r="521">
      <c r="A521" s="8" t="s">
        <v>1227</v>
      </c>
      <c r="B521" s="13" t="str">
        <f>HYPERLINK("https://shopee.co.id/Avoskin-Perfect-Hydrating-Treatment-Essence-30-Ml-Menjaga-Kesegaran-Dan-Kelembapan-Kulit-i.50972887.3167307802", "https://shopee.co.id/Avoskin-Perfect-Hydrating-Treatment-Essence-30-Ml-Menjaga-Kesegaran-Dan-Kelembapan-Kulit-i.50972887.3167307802")</f>
        <v>https://shopee.co.id/Avoskin-Perfect-Hydrating-Treatment-Essence-30-Ml-Menjaga-Kesegaran-Dan-Kelembapan-Kulit-i.50972887.3167307802</v>
      </c>
      <c r="C521" s="8" t="s">
        <v>83</v>
      </c>
      <c r="D521" s="8" t="s">
        <v>552</v>
      </c>
      <c r="E521" s="8" t="s">
        <v>12</v>
      </c>
      <c r="F521" s="8" t="s">
        <v>13</v>
      </c>
      <c r="G521" s="8" t="s">
        <v>61</v>
      </c>
      <c r="H521" s="16">
        <v>98.0</v>
      </c>
      <c r="I521" s="15" t="str">
        <f>SUBSTITUTE(Sheet1!K521, "Rp", "")</f>
        <v>12259800</v>
      </c>
    </row>
    <row r="522">
      <c r="A522" s="8" t="s">
        <v>1367</v>
      </c>
      <c r="B522" s="13" t="str">
        <f>HYPERLINK("https://shopee.co.id/Dear-Me-Beauty-5-Inoceramide-Ceramide-Pomegranate-Extract-Face-Serum-12ml-i.45495764.9548394639", "https://shopee.co.id/Dear-Me-Beauty-5-Inoceramide-Ceramide-Pomegranate-Extract-Face-Serum-12ml-i.45495764.9548394639")</f>
        <v>https://shopee.co.id/Dear-Me-Beauty-5-Inoceramide-Ceramide-Pomegranate-Extract-Face-Serum-12ml-i.45495764.9548394639</v>
      </c>
      <c r="C522" s="8" t="s">
        <v>70</v>
      </c>
      <c r="D522" s="8" t="s">
        <v>71</v>
      </c>
      <c r="E522" s="8" t="s">
        <v>12</v>
      </c>
      <c r="F522" s="8" t="s">
        <v>13</v>
      </c>
      <c r="G522" s="8" t="s">
        <v>61</v>
      </c>
      <c r="H522" s="16">
        <v>98.0</v>
      </c>
      <c r="I522" s="15" t="str">
        <f>SUBSTITUTE(Sheet1!K522, "Rp", "")</f>
        <v>9538650</v>
      </c>
    </row>
    <row r="523">
      <c r="A523" s="8" t="s">
        <v>1464</v>
      </c>
      <c r="B523" s="13" t="str">
        <f>HYPERLINK("https://shopee.co.id/Inez-900-Anti-Aging-Serum-i.38581860.618362303", "https://shopee.co.id/Inez-900-Anti-Aging-Serum-i.38581860.618362303")</f>
        <v>https://shopee.co.id/Inez-900-Anti-Aging-Serum-i.38581860.618362303</v>
      </c>
      <c r="C523" s="8" t="s">
        <v>1465</v>
      </c>
      <c r="D523" s="8" t="s">
        <v>1466</v>
      </c>
      <c r="E523" s="8" t="s">
        <v>12</v>
      </c>
      <c r="F523" s="8" t="s">
        <v>13</v>
      </c>
      <c r="G523" s="8" t="s">
        <v>98</v>
      </c>
      <c r="H523" s="16">
        <v>97.0</v>
      </c>
      <c r="I523" s="15" t="str">
        <f>SUBSTITUTE(Sheet1!K523, "Rp", "")</f>
        <v>8034150</v>
      </c>
    </row>
    <row r="524">
      <c r="A524" s="8" t="s">
        <v>1525</v>
      </c>
      <c r="B524" s="13" t="str">
        <f>HYPERLINK("https://shopee.co.id/Roro-Mendut-Natural-Ingredients-Serum-i.87869551.3867854998", "https://shopee.co.id/Roro-Mendut-Natural-Ingredients-Serum-i.87869551.3867854998")</f>
        <v>https://shopee.co.id/Roro-Mendut-Natural-Ingredients-Serum-i.87869551.3867854998</v>
      </c>
      <c r="C524" s="8" t="s">
        <v>1526</v>
      </c>
      <c r="D524" s="8" t="s">
        <v>1527</v>
      </c>
      <c r="E524" s="8" t="s">
        <v>12</v>
      </c>
      <c r="F524" s="8" t="s">
        <v>13</v>
      </c>
      <c r="G524" s="8" t="s">
        <v>380</v>
      </c>
      <c r="H524" s="16">
        <v>97.0</v>
      </c>
      <c r="I524" s="15" t="str">
        <f>SUBSTITUTE(Sheet1!K524, "Rp", "")</f>
        <v>7350576</v>
      </c>
    </row>
    <row r="525">
      <c r="A525" s="8" t="s">
        <v>2629</v>
      </c>
      <c r="B525" s="13" t="str">
        <f>HYPERLINK("https://shopee.co.id/Yoqueen-Beauty-Serum-for-Acne-10ml-i.48380572.7015595344", "https://shopee.co.id/Yoqueen-Beauty-Serum-for-Acne-10ml-i.48380572.7015595344")</f>
        <v>https://shopee.co.id/Yoqueen-Beauty-Serum-for-Acne-10ml-i.48380572.7015595344</v>
      </c>
      <c r="C525" s="8" t="s">
        <v>2118</v>
      </c>
      <c r="D525" s="8" t="s">
        <v>2119</v>
      </c>
      <c r="E525" s="8" t="s">
        <v>12</v>
      </c>
      <c r="F525" s="8" t="s">
        <v>13</v>
      </c>
      <c r="G525" s="8" t="s">
        <v>2120</v>
      </c>
      <c r="H525" s="16">
        <v>97.0</v>
      </c>
      <c r="I525" s="15" t="str">
        <f>SUBSTITUTE(Sheet1!K525, "Rp", "")</f>
        <v>1375000</v>
      </c>
    </row>
    <row r="526">
      <c r="A526" s="8" t="s">
        <v>1348</v>
      </c>
      <c r="B526" s="13" t="str">
        <f>HYPERLINK("https://shopee.co.id/Hyaluronic-Plus-Serum-Erto-s-i.96907343.3739018473", "https://shopee.co.id/Hyaluronic-Plus-Serum-Erto-s-i.96907343.3739018473")</f>
        <v>https://shopee.co.id/Hyaluronic-Plus-Serum-Erto-s-i.96907343.3739018473</v>
      </c>
      <c r="C526" s="8" t="s">
        <v>467</v>
      </c>
      <c r="D526" s="8" t="s">
        <v>468</v>
      </c>
      <c r="E526" s="8" t="s">
        <v>12</v>
      </c>
      <c r="F526" s="8" t="s">
        <v>13</v>
      </c>
      <c r="G526" s="8" t="s">
        <v>469</v>
      </c>
      <c r="H526" s="16">
        <v>96.0</v>
      </c>
      <c r="I526" s="15" t="str">
        <f>SUBSTITUTE(Sheet1!K526, "Rp", "")</f>
        <v>9913124</v>
      </c>
    </row>
    <row r="527">
      <c r="A527" s="8" t="s">
        <v>1135</v>
      </c>
      <c r="B527" s="13" t="str">
        <f>HYPERLINK("https://shopee.co.id/NATURE-REPUBLIC-Good-Skin-Ampoule-NIACINAMIDE-i.78838801.4965332189", "https://shopee.co.id/NATURE-REPUBLIC-Good-Skin-Ampoule-NIACINAMIDE-i.78838801.4965332189")</f>
        <v>https://shopee.co.id/NATURE-REPUBLIC-Good-Skin-Ampoule-NIACINAMIDE-i.78838801.4965332189</v>
      </c>
      <c r="C527" s="8" t="s">
        <v>1079</v>
      </c>
      <c r="D527" s="8" t="s">
        <v>1080</v>
      </c>
      <c r="E527" s="8" t="s">
        <v>12</v>
      </c>
      <c r="F527" s="8" t="s">
        <v>13</v>
      </c>
      <c r="G527" s="8" t="s">
        <v>532</v>
      </c>
      <c r="H527" s="16">
        <v>96.0</v>
      </c>
      <c r="I527" s="15" t="str">
        <f>SUBSTITUTE(Sheet1!K527, "Rp", "")</f>
        <v>14400000</v>
      </c>
    </row>
    <row r="528">
      <c r="A528" s="8" t="s">
        <v>2461</v>
      </c>
      <c r="B528" s="13" t="str">
        <f>HYPERLINK("https://shopee.co.id/Wardah-Lightening-Serum-Ampoule-8ml-i.30736001.9752457557", "https://shopee.co.id/Wardah-Lightening-Serum-Ampoule-8ml-i.30736001.9752457557")</f>
        <v>https://shopee.co.id/Wardah-Lightening-Serum-Ampoule-8ml-i.30736001.9752457557</v>
      </c>
      <c r="C528" s="8" t="s">
        <v>169</v>
      </c>
      <c r="D528" s="8" t="s">
        <v>335</v>
      </c>
      <c r="E528" s="8" t="s">
        <v>12</v>
      </c>
      <c r="F528" s="8" t="s">
        <v>13</v>
      </c>
      <c r="G528" s="8" t="s">
        <v>36</v>
      </c>
      <c r="H528" s="16">
        <v>96.0</v>
      </c>
      <c r="I528" s="15" t="str">
        <f>SUBSTITUTE(Sheet1!K528, "Rp", "")</f>
        <v>1794000</v>
      </c>
    </row>
    <row r="529">
      <c r="A529" s="8" t="s">
        <v>1436</v>
      </c>
      <c r="B529" s="13" t="str">
        <f>HYPERLINK("https://shopee.co.id/Somethinc-Niacinamide-Serum-20ml-i.50948181.2704472517", "https://shopee.co.id/Somethinc-Niacinamide-Serum-20ml-i.50948181.2704472517")</f>
        <v>https://shopee.co.id/Somethinc-Niacinamide-Serum-20ml-i.50948181.2704472517</v>
      </c>
      <c r="C529" s="8" t="s">
        <v>45</v>
      </c>
      <c r="D529" s="8" t="s">
        <v>1129</v>
      </c>
      <c r="E529" s="8" t="s">
        <v>12</v>
      </c>
      <c r="F529" s="8" t="s">
        <v>13</v>
      </c>
      <c r="G529" s="8" t="s">
        <v>1130</v>
      </c>
      <c r="H529" s="16">
        <v>95.0</v>
      </c>
      <c r="I529" s="15" t="str">
        <f>SUBSTITUTE(Sheet1!K529, "Rp", "")</f>
        <v>8498500</v>
      </c>
    </row>
    <row r="530">
      <c r="A530" s="8" t="s">
        <v>1988</v>
      </c>
      <c r="B530" s="13" t="str">
        <f>HYPERLINK("https://shopee.co.id/L-OREAL-Dex-Revitalift-Crystal-Micro-Essence-Water-22ml-i.30736001.8845031483", "https://shopee.co.id/L-OREAL-Dex-Revitalift-Crystal-Micro-Essence-Water-22ml-i.30736001.8845031483")</f>
        <v>https://shopee.co.id/L-OREAL-Dex-Revitalift-Crystal-Micro-Essence-Water-22ml-i.30736001.8845031483</v>
      </c>
      <c r="C530" s="8" t="s">
        <v>105</v>
      </c>
      <c r="D530" s="8" t="s">
        <v>335</v>
      </c>
      <c r="E530" s="8" t="s">
        <v>12</v>
      </c>
      <c r="F530" s="8" t="s">
        <v>13</v>
      </c>
      <c r="G530" s="8" t="s">
        <v>36</v>
      </c>
      <c r="H530" s="16">
        <v>95.0</v>
      </c>
      <c r="I530" s="15" t="str">
        <f>SUBSTITUTE(Sheet1!K530, "Rp", "")</f>
        <v>3538000</v>
      </c>
    </row>
    <row r="531">
      <c r="A531" s="8" t="s">
        <v>715</v>
      </c>
      <c r="B531" s="13" t="str">
        <f>HYPERLINK("https://shopee.co.id/Ponds-Bright-Beauty-Perfect-Potion-Essence-Normal-Skin-50ml--i.65323877.3595065096", "https://shopee.co.id/Ponds-Bright-Beauty-Perfect-Potion-Essence-Normal-Skin-50ml--i.65323877.3595065096")</f>
        <v>https://shopee.co.id/Ponds-Bright-Beauty-Perfect-Potion-Essence-Normal-Skin-50ml--i.65323877.3595065096</v>
      </c>
      <c r="C531" s="8" t="s">
        <v>325</v>
      </c>
      <c r="D531" s="8" t="s">
        <v>1600</v>
      </c>
      <c r="E531" s="8" t="s">
        <v>12</v>
      </c>
      <c r="F531" s="8" t="s">
        <v>13</v>
      </c>
      <c r="G531" s="8" t="s">
        <v>296</v>
      </c>
      <c r="H531" s="16">
        <v>95.0</v>
      </c>
      <c r="I531" s="15" t="str">
        <f>SUBSTITUTE(Sheet1!K531, "Rp", "")</f>
        <v>2591900</v>
      </c>
    </row>
    <row r="532">
      <c r="A532" s="8" t="s">
        <v>1374</v>
      </c>
      <c r="B532" s="13" t="str">
        <f>HYPERLINK("https://shopee.co.id/SOMETHINC-5-Niacinamide-Moisture-Sabi-Beet-Serum-20ml-i.30736001.9635381836", "https://shopee.co.id/SOMETHINC-5-Niacinamide-Moisture-Sabi-Beet-Serum-20ml-i.30736001.9635381836")</f>
        <v>https://shopee.co.id/SOMETHINC-5-Niacinamide-Moisture-Sabi-Beet-Serum-20ml-i.30736001.9635381836</v>
      </c>
      <c r="C532" s="8" t="s">
        <v>45</v>
      </c>
      <c r="D532" s="8" t="s">
        <v>335</v>
      </c>
      <c r="E532" s="8" t="s">
        <v>12</v>
      </c>
      <c r="F532" s="8" t="s">
        <v>13</v>
      </c>
      <c r="G532" s="8" t="s">
        <v>36</v>
      </c>
      <c r="H532" s="16">
        <v>95.0</v>
      </c>
      <c r="I532" s="15" t="str">
        <f>SUBSTITUTE(Sheet1!K532, "Rp", "")</f>
        <v>9405000</v>
      </c>
    </row>
    <row r="533">
      <c r="A533" s="8" t="s">
        <v>1475</v>
      </c>
      <c r="B533" s="13" t="str">
        <f>HYPERLINK("https://shopee.co.id/Erto-s-For-Men-Toner-Essence-Serum-i.96907343.6943431285", "https://shopee.co.id/Erto-s-For-Men-Toner-Essence-Serum-i.96907343.6943431285")</f>
        <v>https://shopee.co.id/Erto-s-For-Men-Toner-Essence-Serum-i.96907343.6943431285</v>
      </c>
      <c r="C533" s="8" t="s">
        <v>467</v>
      </c>
      <c r="D533" s="8" t="s">
        <v>468</v>
      </c>
      <c r="E533" s="8" t="s">
        <v>12</v>
      </c>
      <c r="F533" s="8" t="s">
        <v>13</v>
      </c>
      <c r="G533" s="8" t="s">
        <v>469</v>
      </c>
      <c r="H533" s="16">
        <v>94.0</v>
      </c>
      <c r="I533" s="15" t="str">
        <f>SUBSTITUTE(Sheet1!K533, "Rp", "")</f>
        <v>7948638</v>
      </c>
    </row>
    <row r="534">
      <c r="A534" s="8" t="s">
        <v>1132</v>
      </c>
      <c r="B534" s="13" t="str">
        <f>HYPERLINK("https://shopee.co.id/Jarkeen-Vit-C-Booster-Serum-i.147936010.2688509710", "https://shopee.co.id/Jarkeen-Vit-C-Booster-Serum-i.147936010.2688509710")</f>
        <v>https://shopee.co.id/Jarkeen-Vit-C-Booster-Serum-i.147936010.2688509710</v>
      </c>
      <c r="C534" s="8" t="s">
        <v>738</v>
      </c>
      <c r="D534" s="8" t="s">
        <v>739</v>
      </c>
      <c r="E534" s="8" t="s">
        <v>12</v>
      </c>
      <c r="F534" s="8" t="s">
        <v>13</v>
      </c>
      <c r="G534" s="8" t="s">
        <v>241</v>
      </c>
      <c r="H534" s="16">
        <v>94.0</v>
      </c>
      <c r="I534" s="15" t="str">
        <f>SUBSTITUTE(Sheet1!K534, "Rp", "")</f>
        <v>14461050</v>
      </c>
    </row>
    <row r="535">
      <c r="A535" s="8" t="s">
        <v>929</v>
      </c>
      <c r="B535" s="13" t="str">
        <f>HYPERLINK("https://shopee.co.id/L-Oreal-Paris-Revitalift-Crystal-Micro-Essence-Serum-Skin-Care-65-ml-x2-Pcs-i.62579622.7848735085", "https://shopee.co.id/L-Oreal-Paris-Revitalift-Crystal-Micro-Essence-Serum-Skin-Care-65-ml-x2-Pcs-i.62579622.7848735085")</f>
        <v>https://shopee.co.id/L-Oreal-Paris-Revitalift-Crystal-Micro-Essence-Serum-Skin-Care-65-ml-x2-Pcs-i.62579622.7848735085</v>
      </c>
      <c r="C535" s="8" t="s">
        <v>105</v>
      </c>
      <c r="D535" s="8" t="s">
        <v>106</v>
      </c>
      <c r="E535" s="8" t="s">
        <v>12</v>
      </c>
      <c r="F535" s="8" t="s">
        <v>13</v>
      </c>
      <c r="G535" s="8" t="s">
        <v>61</v>
      </c>
      <c r="H535" s="16">
        <v>94.0</v>
      </c>
      <c r="I535" s="15" t="str">
        <f>SUBSTITUTE(Sheet1!K535, "Rp", "")</f>
        <v>22356200</v>
      </c>
    </row>
    <row r="536">
      <c r="A536" s="8" t="s">
        <v>720</v>
      </c>
      <c r="B536" s="13" t="str">
        <f>HYPERLINK("https://shopee.co.id/L-Oreal-Paris-Revitalift-Crystal-Micro-Essence-Serum-Skin-Care-130-ml-x2-Pcs-i.62579622.7769228478", "https://shopee.co.id/L-Oreal-Paris-Revitalift-Crystal-Micro-Essence-Serum-Skin-Care-130-ml-x2-Pcs-i.62579622.7769228478")</f>
        <v>https://shopee.co.id/L-Oreal-Paris-Revitalift-Crystal-Micro-Essence-Serum-Skin-Care-130-ml-x2-Pcs-i.62579622.7769228478</v>
      </c>
      <c r="C536" s="8" t="s">
        <v>105</v>
      </c>
      <c r="D536" s="8" t="s">
        <v>106</v>
      </c>
      <c r="E536" s="8" t="s">
        <v>12</v>
      </c>
      <c r="F536" s="8" t="s">
        <v>13</v>
      </c>
      <c r="G536" s="8" t="s">
        <v>61</v>
      </c>
      <c r="H536" s="16">
        <v>94.0</v>
      </c>
      <c r="I536" s="15" t="str">
        <f>SUBSTITUTE(Sheet1!K536, "Rp", "")</f>
        <v>37189600</v>
      </c>
    </row>
    <row r="537">
      <c r="A537" s="8" t="s">
        <v>803</v>
      </c>
      <c r="B537" s="13" t="str">
        <f>HYPERLINK("https://shopee.co.id/The-Body-Shop-Tea-Tree-Daily-Solution-Serum-50ml-i.28053737.383051039", "https://shopee.co.id/The-Body-Shop-Tea-Tree-Daily-Solution-Serum-50ml-i.28053737.383051039")</f>
        <v>https://shopee.co.id/The-Body-Shop-Tea-Tree-Daily-Solution-Serum-50ml-i.28053737.383051039</v>
      </c>
      <c r="C537" s="8" t="s">
        <v>221</v>
      </c>
      <c r="D537" s="8" t="s">
        <v>222</v>
      </c>
      <c r="E537" s="8" t="s">
        <v>12</v>
      </c>
      <c r="F537" s="8" t="s">
        <v>13</v>
      </c>
      <c r="G537" s="8" t="s">
        <v>80</v>
      </c>
      <c r="H537" s="16">
        <v>94.0</v>
      </c>
      <c r="I537" s="15" t="str">
        <f>SUBSTITUTE(Sheet1!K537, "Rp", "")</f>
        <v>30926000</v>
      </c>
    </row>
    <row r="538">
      <c r="A538" s="8" t="s">
        <v>2600</v>
      </c>
      <c r="B538" s="13" t="str">
        <f>HYPERLINK("https://shopee.co.id/Xi-XiU-FACE-SERUM-VITAMIN-C-i.222854973.4462101303", "https://shopee.co.id/Xi-XiU-FACE-SERUM-VITAMIN-C-i.222854973.4462101303")</f>
        <v>https://shopee.co.id/Xi-XiU-FACE-SERUM-VITAMIN-C-i.222854973.4462101303</v>
      </c>
      <c r="C538" s="8" t="s">
        <v>2231</v>
      </c>
      <c r="D538" s="8" t="s">
        <v>2232</v>
      </c>
      <c r="E538" s="8" t="s">
        <v>12</v>
      </c>
      <c r="F538" s="8" t="s">
        <v>13</v>
      </c>
      <c r="G538" s="8" t="s">
        <v>36</v>
      </c>
      <c r="H538" s="16">
        <v>94.0</v>
      </c>
      <c r="I538" s="15" t="str">
        <f>SUBSTITUTE(Sheet1!K538, "Rp", "")</f>
        <v>1457000</v>
      </c>
    </row>
    <row r="539">
      <c r="A539" s="8" t="s">
        <v>1200</v>
      </c>
      <c r="B539" s="13" t="str">
        <f>HYPERLINK("https://shopee.co.id/AVOSKIN-Your-Skin-Bae-Vitamin-C-3-Niacinamide-2-Mandarin-Orange-Fruit-Extract-30ml-i.270965687.9828351833", "https://shopee.co.id/AVOSKIN-Your-Skin-Bae-Vitamin-C-3-Niacinamide-2-Mandarin-Orange-Fruit-Extract-30ml-i.270965687.9828351833")</f>
        <v>https://shopee.co.id/AVOSKIN-Your-Skin-Bae-Vitamin-C-3-Niacinamide-2-Mandarin-Orange-Fruit-Extract-30ml-i.270965687.9828351833</v>
      </c>
      <c r="C539" s="8" t="s">
        <v>83</v>
      </c>
      <c r="D539" s="8" t="s">
        <v>379</v>
      </c>
      <c r="E539" s="8" t="s">
        <v>12</v>
      </c>
      <c r="F539" s="8" t="s">
        <v>13</v>
      </c>
      <c r="G539" s="8" t="s">
        <v>380</v>
      </c>
      <c r="H539" s="16">
        <v>93.0</v>
      </c>
      <c r="I539" s="15" t="str">
        <f>SUBSTITUTE(Sheet1!K539, "Rp", "")</f>
        <v>12927000</v>
      </c>
    </row>
    <row r="540">
      <c r="A540" s="8" t="s">
        <v>1532</v>
      </c>
      <c r="B540" s="13" t="str">
        <f>HYPERLINK("https://shopee.co.id/Derma-Express-Solution-Essence-i.243650388.7287426099", "https://shopee.co.id/Derma-Express-Solution-Essence-i.243650388.7287426099")</f>
        <v>https://shopee.co.id/Derma-Express-Solution-Essence-i.243650388.7287426099</v>
      </c>
      <c r="C540" s="8" t="s">
        <v>957</v>
      </c>
      <c r="D540" s="8" t="s">
        <v>958</v>
      </c>
      <c r="E540" s="8" t="s">
        <v>12</v>
      </c>
      <c r="F540" s="8" t="s">
        <v>13</v>
      </c>
      <c r="G540" s="8" t="s">
        <v>532</v>
      </c>
      <c r="H540" s="16">
        <v>93.0</v>
      </c>
      <c r="I540" s="15" t="str">
        <f>SUBSTITUTE(Sheet1!K540, "Rp", "")</f>
        <v>7347000</v>
      </c>
    </row>
    <row r="541">
      <c r="A541" s="8" t="s">
        <v>1221</v>
      </c>
      <c r="B541" s="13" t="str">
        <f>HYPERLINK("https://shopee.co.id/Jarkeen-Porecelain-Skin-Serum-i.147936010.6031596076", "https://shopee.co.id/Jarkeen-Porecelain-Skin-Serum-i.147936010.6031596076")</f>
        <v>https://shopee.co.id/Jarkeen-Porecelain-Skin-Serum-i.147936010.6031596076</v>
      </c>
      <c r="C541" s="8" t="s">
        <v>738</v>
      </c>
      <c r="D541" s="8" t="s">
        <v>739</v>
      </c>
      <c r="E541" s="8" t="s">
        <v>12</v>
      </c>
      <c r="F541" s="8" t="s">
        <v>13</v>
      </c>
      <c r="G541" s="8" t="s">
        <v>241</v>
      </c>
      <c r="H541" s="16">
        <v>93.0</v>
      </c>
      <c r="I541" s="15" t="str">
        <f>SUBSTITUTE(Sheet1!K541, "Rp", "")</f>
        <v>12448500</v>
      </c>
    </row>
    <row r="542">
      <c r="A542" s="8" t="s">
        <v>582</v>
      </c>
      <c r="B542" s="13" t="str">
        <f>HYPERLINK("https://shopee.co.id/La-Roche-Posay-Acne-Fighter-Serum-Bundle-i.433144176.10746661281", "https://shopee.co.id/La-Roche-Posay-Acne-Fighter-Serum-Bundle-i.433144176.10746661281")</f>
        <v>https://shopee.co.id/La-Roche-Posay-Acne-Fighter-Serum-Bundle-i.433144176.10746661281</v>
      </c>
      <c r="C542" s="8" t="s">
        <v>147</v>
      </c>
      <c r="D542" s="8" t="s">
        <v>148</v>
      </c>
      <c r="E542" s="8" t="s">
        <v>12</v>
      </c>
      <c r="F542" s="8" t="s">
        <v>13</v>
      </c>
      <c r="G542" s="8" t="s">
        <v>61</v>
      </c>
      <c r="H542" s="16">
        <v>93.0</v>
      </c>
      <c r="I542" s="15" t="str">
        <f>SUBSTITUTE(Sheet1!K542, "Rp", "")</f>
        <v>49944200</v>
      </c>
    </row>
    <row r="543">
      <c r="A543" s="8" t="s">
        <v>425</v>
      </c>
      <c r="B543" s="13" t="str">
        <f>HYPERLINK("https://shopee.co.id/Laneige-Clear-C-Booster-Serum-Set-OL21--i.52917348.9134181789", "https://shopee.co.id/Laneige-Clear-C-Booster-Serum-Set-OL21--i.52917348.9134181789")</f>
        <v>https://shopee.co.id/Laneige-Clear-C-Booster-Serum-Set-OL21--i.52917348.9134181789</v>
      </c>
      <c r="C543" s="8" t="s">
        <v>364</v>
      </c>
      <c r="D543" s="8" t="s">
        <v>365</v>
      </c>
      <c r="E543" s="8" t="s">
        <v>12</v>
      </c>
      <c r="F543" s="8" t="s">
        <v>13</v>
      </c>
      <c r="G543" s="8" t="s">
        <v>61</v>
      </c>
      <c r="H543" s="16">
        <v>93.0</v>
      </c>
      <c r="I543" s="15" t="str">
        <f>SUBSTITUTE(Sheet1!K543, "Rp", "")</f>
        <v>74801800</v>
      </c>
    </row>
    <row r="544">
      <c r="A544" s="8" t="s">
        <v>2476</v>
      </c>
      <c r="B544" s="13" t="str">
        <f>HYPERLINK("https://shopee.co.id/Rojukiss-Jeju-Lotus-Pinkish-Bright-Serum-size-8-ml-Edit-by-Sociolla-i.224957239.11801718329", "https://shopee.co.id/Rojukiss-Jeju-Lotus-Pinkish-Bright-Serum-size-8-ml-Edit-by-Sociolla-i.224957239.11801718329")</f>
        <v>https://shopee.co.id/Rojukiss-Jeju-Lotus-Pinkish-Bright-Serum-size-8-ml-Edit-by-Sociolla-i.224957239.11801718329</v>
      </c>
      <c r="C544" s="8" t="s">
        <v>1508</v>
      </c>
      <c r="D544" s="8" t="s">
        <v>492</v>
      </c>
      <c r="E544" s="8" t="s">
        <v>12</v>
      </c>
      <c r="F544" s="8" t="s">
        <v>13</v>
      </c>
      <c r="G544" s="8" t="s">
        <v>21</v>
      </c>
      <c r="H544" s="16">
        <v>93.0</v>
      </c>
      <c r="I544" s="15" t="str">
        <f>SUBSTITUTE(Sheet1!K544, "Rp", "")</f>
        <v>1762800</v>
      </c>
    </row>
    <row r="545">
      <c r="A545" s="8" t="s">
        <v>917</v>
      </c>
      <c r="B545" s="13" t="str">
        <f>HYPERLINK("https://shopee.co.id/NACIFIC-Fresh-Herb-Origin-Serum-50ml-i.238604292.7221808671", "https://shopee.co.id/NACIFIC-Fresh-Herb-Origin-Serum-50ml-i.238604292.7221808671")</f>
        <v>https://shopee.co.id/NACIFIC-Fresh-Herb-Origin-Serum-50ml-i.238604292.7221808671</v>
      </c>
      <c r="C545" s="8" t="s">
        <v>344</v>
      </c>
      <c r="D545" s="8" t="s">
        <v>918</v>
      </c>
      <c r="E545" s="8" t="s">
        <v>12</v>
      </c>
      <c r="F545" s="8" t="s">
        <v>13</v>
      </c>
      <c r="G545" s="8" t="s">
        <v>80</v>
      </c>
      <c r="H545" s="16">
        <v>92.0</v>
      </c>
      <c r="I545" s="15" t="str">
        <f>SUBSTITUTE(Sheet1!K545, "Rp", "")</f>
        <v>23104000</v>
      </c>
    </row>
    <row r="546">
      <c r="A546" s="8" t="s">
        <v>2664</v>
      </c>
      <c r="B546" s="13" t="str">
        <f>HYPERLINK("https://shopee.co.id/SYB-Forte-Serum-Acne-i.150222332.2329528579", "https://shopee.co.id/SYB-Forte-Serum-Acne-i.150222332.2329528579")</f>
        <v>https://shopee.co.id/SYB-Forte-Serum-Acne-i.150222332.2329528579</v>
      </c>
      <c r="C546" s="8" t="s">
        <v>1736</v>
      </c>
      <c r="D546" s="8" t="s">
        <v>1737</v>
      </c>
      <c r="E546" s="8" t="s">
        <v>12</v>
      </c>
      <c r="F546" s="8" t="s">
        <v>13</v>
      </c>
      <c r="G546" s="8" t="s">
        <v>350</v>
      </c>
      <c r="H546" s="16">
        <v>92.0</v>
      </c>
      <c r="I546" s="15" t="str">
        <f>SUBSTITUTE(Sheet1!K546, "Rp", "")</f>
        <v>1292340</v>
      </c>
    </row>
    <row r="547">
      <c r="A547" s="8" t="s">
        <v>1263</v>
      </c>
      <c r="B547" s="13" t="str">
        <f>HYPERLINK("https://shopee.co.id/The-Aubree-Brightening-Serum-Concentrate-30-ml-i.495290309.11720466603", "https://shopee.co.id/The-Aubree-Brightening-Serum-Concentrate-30-ml-i.495290309.11720466603")</f>
        <v>https://shopee.co.id/The-Aubree-Brightening-Serum-Concentrate-30-ml-i.495290309.11720466603</v>
      </c>
      <c r="C547" s="8" t="s">
        <v>772</v>
      </c>
      <c r="D547" s="8" t="s">
        <v>773</v>
      </c>
      <c r="E547" s="8" t="s">
        <v>12</v>
      </c>
      <c r="F547" s="8" t="s">
        <v>13</v>
      </c>
      <c r="G547" s="8" t="s">
        <v>241</v>
      </c>
      <c r="H547" s="16">
        <v>92.0</v>
      </c>
      <c r="I547" s="15" t="str">
        <f>SUBSTITUTE(Sheet1!K547, "Rp", "")</f>
        <v>11591940</v>
      </c>
    </row>
    <row r="548">
      <c r="A548" s="8" t="s">
        <v>1618</v>
      </c>
      <c r="B548" s="13" t="str">
        <f>HYPERLINK("https://shopee.co.id/Crushlicious-Niacinamide-Glow-Up-Facial-Serum-i.4184162.8057399682", "https://shopee.co.id/Crushlicious-Niacinamide-Glow-Up-Facial-Serum-i.4184162.8057399682")</f>
        <v>https://shopee.co.id/Crushlicious-Niacinamide-Glow-Up-Facial-Serum-i.4184162.8057399682</v>
      </c>
      <c r="C548" s="8" t="s">
        <v>1619</v>
      </c>
      <c r="D548" s="8" t="s">
        <v>1620</v>
      </c>
      <c r="E548" s="8" t="s">
        <v>12</v>
      </c>
      <c r="F548" s="8" t="s">
        <v>13</v>
      </c>
      <c r="G548" s="8" t="s">
        <v>1621</v>
      </c>
      <c r="H548" s="16">
        <v>91.0</v>
      </c>
      <c r="I548" s="15" t="str">
        <f>SUBSTITUTE(Sheet1!K548, "Rp", "")</f>
        <v>6202500</v>
      </c>
    </row>
    <row r="549">
      <c r="A549" s="8" t="s">
        <v>1653</v>
      </c>
      <c r="B549" s="13" t="str">
        <f>HYPERLINK("https://shopee.co.id/Ella-Skincare-Glass-Skin-Rice-Bran-Essence-i.95154428.1913299872", "https://shopee.co.id/Ella-Skincare-Glass-Skin-Rice-Bran-Essence-i.95154428.1913299872")</f>
        <v>https://shopee.co.id/Ella-Skincare-Glass-Skin-Rice-Bran-Essence-i.95154428.1913299872</v>
      </c>
      <c r="C549" s="8" t="s">
        <v>700</v>
      </c>
      <c r="D549" s="8" t="s">
        <v>598</v>
      </c>
      <c r="E549" s="8" t="s">
        <v>12</v>
      </c>
      <c r="F549" s="8" t="s">
        <v>13</v>
      </c>
      <c r="G549" s="8" t="s">
        <v>409</v>
      </c>
      <c r="H549" s="16">
        <v>91.0</v>
      </c>
      <c r="I549" s="15" t="str">
        <f>SUBSTITUTE(Sheet1!K549, "Rp", "")</f>
        <v>5814250</v>
      </c>
    </row>
    <row r="550">
      <c r="A550" s="8" t="s">
        <v>842</v>
      </c>
      <c r="B550" s="13" t="str">
        <f>HYPERLINK("https://shopee.co.id/L-Oreal-Paris-Revitalift-Anti-Wrinkle-Set-Serum-30-ml-Day-Cream-50-ml-i.62579622.4338186539", "https://shopee.co.id/L-Oreal-Paris-Revitalift-Anti-Wrinkle-Set-Serum-30-ml-Day-Cream-50-ml-i.62579622.4338186539")</f>
        <v>https://shopee.co.id/L-Oreal-Paris-Revitalift-Anti-Wrinkle-Set-Serum-30-ml-Day-Cream-50-ml-i.62579622.4338186539</v>
      </c>
      <c r="C550" s="8" t="s">
        <v>105</v>
      </c>
      <c r="D550" s="8" t="s">
        <v>106</v>
      </c>
      <c r="E550" s="8" t="s">
        <v>12</v>
      </c>
      <c r="F550" s="8" t="s">
        <v>13</v>
      </c>
      <c r="G550" s="8" t="s">
        <v>61</v>
      </c>
      <c r="H550" s="16">
        <v>91.0</v>
      </c>
      <c r="I550" s="15" t="str">
        <f>SUBSTITUTE(Sheet1!K550, "Rp", "")</f>
        <v>27385000</v>
      </c>
    </row>
    <row r="551">
      <c r="A551" s="8" t="s">
        <v>962</v>
      </c>
      <c r="B551" s="13" t="str">
        <f>HYPERLINK("https://shopee.co.id/NACIFIC-Phyto-Niacin-Whitening-Essence-50ml-i.238604292.3821917426", "https://shopee.co.id/NACIFIC-Phyto-Niacin-Whitening-Essence-50ml-i.238604292.3821917426")</f>
        <v>https://shopee.co.id/NACIFIC-Phyto-Niacin-Whitening-Essence-50ml-i.238604292.3821917426</v>
      </c>
      <c r="C551" s="8" t="s">
        <v>344</v>
      </c>
      <c r="D551" s="8" t="s">
        <v>918</v>
      </c>
      <c r="E551" s="8" t="s">
        <v>12</v>
      </c>
      <c r="F551" s="8" t="s">
        <v>13</v>
      </c>
      <c r="G551" s="8" t="s">
        <v>80</v>
      </c>
      <c r="H551" s="16">
        <v>91.0</v>
      </c>
      <c r="I551" s="15" t="str">
        <f>SUBSTITUTE(Sheet1!K551, "Rp", "")</f>
        <v>20577000</v>
      </c>
    </row>
    <row r="552">
      <c r="A552" s="8" t="s">
        <v>1703</v>
      </c>
      <c r="B552" s="13" t="str">
        <f>HYPERLINK("https://shopee.co.id/Real-White-AHA-BHA-Serum-i.349337394.7768902589", "https://shopee.co.id/Real-White-AHA-BHA-Serum-i.349337394.7768902589")</f>
        <v>https://shopee.co.id/Real-White-AHA-BHA-Serum-i.349337394.7768902589</v>
      </c>
      <c r="C552" s="8" t="s">
        <v>547</v>
      </c>
      <c r="D552" s="8" t="s">
        <v>548</v>
      </c>
      <c r="E552" s="8" t="s">
        <v>12</v>
      </c>
      <c r="F552" s="8" t="s">
        <v>13</v>
      </c>
      <c r="G552" s="8" t="s">
        <v>380</v>
      </c>
      <c r="H552" s="16">
        <v>91.0</v>
      </c>
      <c r="I552" s="15" t="str">
        <f>SUBSTITUTE(Sheet1!K552, "Rp", "")</f>
        <v>5409750</v>
      </c>
    </row>
    <row r="553">
      <c r="A553" s="8" t="s">
        <v>1156</v>
      </c>
      <c r="B553" s="13" t="str">
        <f>HYPERLINK("https://shopee.co.id/Vitamin-C-Serum-20ml-Nadfaskin--i.3087844.50496123", "https://shopee.co.id/Vitamin-C-Serum-20ml-Nadfaskin--i.3087844.50496123")</f>
        <v>https://shopee.co.id/Vitamin-C-Serum-20ml-Nadfaskin--i.3087844.50496123</v>
      </c>
      <c r="C553" s="8" t="s">
        <v>1157</v>
      </c>
      <c r="D553" s="8" t="s">
        <v>1158</v>
      </c>
      <c r="E553" s="8" t="s">
        <v>12</v>
      </c>
      <c r="F553" s="8" t="s">
        <v>13</v>
      </c>
      <c r="G553" s="8" t="s">
        <v>241</v>
      </c>
      <c r="H553" s="16">
        <v>91.0</v>
      </c>
      <c r="I553" s="15" t="str">
        <f>SUBSTITUTE(Sheet1!K553, "Rp", "")</f>
        <v>13777500</v>
      </c>
    </row>
    <row r="554">
      <c r="A554" s="8" t="s">
        <v>1253</v>
      </c>
      <c r="B554" s="13" t="str">
        <f>HYPERLINK("https://shopee.co.id/Bio-Essence-Bio-Renew-Exfoliating-Face-Scrub-Gel-60-gr-Cleanser-i.63822287.2777201279", "https://shopee.co.id/Bio-Essence-Bio-Renew-Exfoliating-Face-Scrub-Gel-60-gr-Cleanser-i.63822287.2777201279")</f>
        <v>https://shopee.co.id/Bio-Essence-Bio-Renew-Exfoliating-Face-Scrub-Gel-60-gr-Cleanser-i.63822287.2777201279</v>
      </c>
      <c r="C554" s="8" t="s">
        <v>1254</v>
      </c>
      <c r="D554" s="8" t="s">
        <v>835</v>
      </c>
      <c r="E554" s="8" t="s">
        <v>12</v>
      </c>
      <c r="F554" s="8" t="s">
        <v>13</v>
      </c>
      <c r="G554" s="8" t="s">
        <v>61</v>
      </c>
      <c r="H554" s="16">
        <v>89.0</v>
      </c>
      <c r="I554" s="15" t="str">
        <f>SUBSTITUTE(Sheet1!K554, "Rp", "")</f>
        <v>11762980</v>
      </c>
    </row>
    <row r="555">
      <c r="A555" s="8" t="s">
        <v>1029</v>
      </c>
      <c r="B555" s="13" t="str">
        <f>HYPERLINK("https://shopee.co.id/ERHA-Age-Corrector-Essence-100ml-Galactomyces-Prebiotic-i.129153987.2936469846", "https://shopee.co.id/ERHA-Age-Corrector-Essence-100ml-Galactomyces-Prebiotic-i.129153987.2936469846")</f>
        <v>https://shopee.co.id/ERHA-Age-Corrector-Essence-100ml-Galactomyces-Prebiotic-i.129153987.2936469846</v>
      </c>
      <c r="C555" s="8" t="s">
        <v>181</v>
      </c>
      <c r="D555" s="8" t="s">
        <v>182</v>
      </c>
      <c r="E555" s="8" t="s">
        <v>12</v>
      </c>
      <c r="F555" s="8" t="s">
        <v>13</v>
      </c>
      <c r="G555" s="8" t="s">
        <v>61</v>
      </c>
      <c r="H555" s="16">
        <v>89.0</v>
      </c>
      <c r="I555" s="15" t="str">
        <f>SUBSTITUTE(Sheet1!K555, "Rp", "")</f>
        <v>17836266</v>
      </c>
    </row>
    <row r="556">
      <c r="A556" s="8" t="s">
        <v>2307</v>
      </c>
      <c r="B556" s="13" t="str">
        <f>HYPERLINK("https://shopee.co.id/Nuface-Nu-Glow-Liquid-Brighten-Supple-Skin-Serum-Niacinamide-Licorice-Extract-Vit-C--i.2315394.12002372434", "https://shopee.co.id/Nuface-Nu-Glow-Liquid-Brighten-Supple-Skin-Serum-Niacinamide-Licorice-Extract-Vit-C--i.2315394.12002372434")</f>
        <v>https://shopee.co.id/Nuface-Nu-Glow-Liquid-Brighten-Supple-Skin-Serum-Niacinamide-Licorice-Extract-Vit-C--i.2315394.12002372434</v>
      </c>
      <c r="C556" s="8" t="s">
        <v>1918</v>
      </c>
      <c r="D556" s="8" t="s">
        <v>1919</v>
      </c>
      <c r="E556" s="8" t="s">
        <v>12</v>
      </c>
      <c r="F556" s="8" t="s">
        <v>13</v>
      </c>
      <c r="G556" s="8" t="s">
        <v>61</v>
      </c>
      <c r="H556" s="16">
        <v>89.0</v>
      </c>
      <c r="I556" s="15" t="str">
        <f>SUBSTITUTE(Sheet1!K556, "Rp", "")</f>
        <v>2252500</v>
      </c>
    </row>
    <row r="557">
      <c r="A557" s="8" t="s">
        <v>1270</v>
      </c>
      <c r="B557" s="13" t="str">
        <f>HYPERLINK("https://shopee.co.id/SNP-Prep-Peptaronic-Serum-220ml-i.270965687.5757253748", "https://shopee.co.id/SNP-Prep-Peptaronic-Serum-220ml-i.270965687.5757253748")</f>
        <v>https://shopee.co.id/SNP-Prep-Peptaronic-Serum-220ml-i.270965687.5757253748</v>
      </c>
      <c r="C557" s="8" t="s">
        <v>565</v>
      </c>
      <c r="D557" s="8" t="s">
        <v>379</v>
      </c>
      <c r="E557" s="8" t="s">
        <v>12</v>
      </c>
      <c r="F557" s="8" t="s">
        <v>13</v>
      </c>
      <c r="G557" s="8" t="s">
        <v>380</v>
      </c>
      <c r="H557" s="16">
        <v>89.0</v>
      </c>
      <c r="I557" s="15" t="str">
        <f>SUBSTITUTE(Sheet1!K557, "Rp", "")</f>
        <v>11392000</v>
      </c>
    </row>
    <row r="558">
      <c r="A558" s="8" t="s">
        <v>1329</v>
      </c>
      <c r="B558" s="13" t="str">
        <f>HYPERLINK("https://shopee.co.id/THE-BATH-BOX-Rose-Hydrating-Serum-in-Jar-Anti-Aging--i.52581685.5500390830", "https://shopee.co.id/THE-BATH-BOX-Rose-Hydrating-Serum-in-Jar-Anti-Aging--i.52581685.5500390830")</f>
        <v>https://shopee.co.id/THE-BATH-BOX-Rose-Hydrating-Serum-in-Jar-Anti-Aging--i.52581685.5500390830</v>
      </c>
      <c r="C558" s="8" t="s">
        <v>613</v>
      </c>
      <c r="D558" s="8" t="s">
        <v>614</v>
      </c>
      <c r="E558" s="8" t="s">
        <v>12</v>
      </c>
      <c r="F558" s="8" t="s">
        <v>13</v>
      </c>
      <c r="G558" s="8" t="s">
        <v>61</v>
      </c>
      <c r="H558" s="16">
        <v>89.0</v>
      </c>
      <c r="I558" s="15" t="str">
        <f>SUBSTITUTE(Sheet1!K558, "Rp", "")</f>
        <v>10206000</v>
      </c>
    </row>
    <row r="559">
      <c r="A559" s="8" t="s">
        <v>1408</v>
      </c>
      <c r="B559" s="13" t="str">
        <f>HYPERLINK("https://shopee.co.id/Bio-Essence-Bio-Gold-Radiance-Cleanser-100-gr-Twinpack-Special-i.63822287.9138783184", "https://shopee.co.id/Bio-Essence-Bio-Gold-Radiance-Cleanser-100-gr-Twinpack-Special-i.63822287.9138783184")</f>
        <v>https://shopee.co.id/Bio-Essence-Bio-Gold-Radiance-Cleanser-100-gr-Twinpack-Special-i.63822287.9138783184</v>
      </c>
      <c r="C559" s="8" t="s">
        <v>834</v>
      </c>
      <c r="D559" s="8" t="s">
        <v>835</v>
      </c>
      <c r="E559" s="8" t="s">
        <v>12</v>
      </c>
      <c r="F559" s="8" t="s">
        <v>13</v>
      </c>
      <c r="G559" s="8" t="s">
        <v>61</v>
      </c>
      <c r="H559" s="16">
        <v>88.0</v>
      </c>
      <c r="I559" s="15" t="str">
        <f>SUBSTITUTE(Sheet1!K559, "Rp", "")</f>
        <v>8781000</v>
      </c>
    </row>
    <row r="560">
      <c r="A560" s="8" t="s">
        <v>778</v>
      </c>
      <c r="B560" s="13" t="str">
        <f>HYPERLINK("https://shopee.co.id/Erha-Age-Corrector-Serum-Essence-i.129153987.9448407003", "https://shopee.co.id/Erha-Age-Corrector-Serum-Essence-i.129153987.9448407003")</f>
        <v>https://shopee.co.id/Erha-Age-Corrector-Serum-Essence-i.129153987.9448407003</v>
      </c>
      <c r="C560" s="8" t="s">
        <v>181</v>
      </c>
      <c r="D560" s="8" t="s">
        <v>182</v>
      </c>
      <c r="E560" s="8" t="s">
        <v>12</v>
      </c>
      <c r="F560" s="8" t="s">
        <v>13</v>
      </c>
      <c r="G560" s="8" t="s">
        <v>61</v>
      </c>
      <c r="H560" s="16">
        <v>88.0</v>
      </c>
      <c r="I560" s="15" t="str">
        <f>SUBSTITUTE(Sheet1!K560, "Rp", "")</f>
        <v>32252605</v>
      </c>
    </row>
    <row r="561">
      <c r="A561" s="8" t="s">
        <v>2322</v>
      </c>
      <c r="B561" s="13" t="str">
        <f>HYPERLINK("https://shopee.co.id/Hanasui-Vitamin-C-Collagen-Serum-New-Look-New-Formula-i.129681299.6897050108", "https://shopee.co.id/Hanasui-Vitamin-C-Collagen-Serum-New-Look-New-Formula-i.129681299.6897050108")</f>
        <v>https://shopee.co.id/Hanasui-Vitamin-C-Collagen-Serum-New-Look-New-Formula-i.129681299.6897050108</v>
      </c>
      <c r="C561" s="8" t="s">
        <v>784</v>
      </c>
      <c r="D561" s="8" t="s">
        <v>785</v>
      </c>
      <c r="E561" s="8" t="s">
        <v>12</v>
      </c>
      <c r="F561" s="8" t="s">
        <v>13</v>
      </c>
      <c r="G561" s="8" t="s">
        <v>36</v>
      </c>
      <c r="H561" s="16">
        <v>88.0</v>
      </c>
      <c r="I561" s="15" t="str">
        <f>SUBSTITUTE(Sheet1!K561, "Rp", "")</f>
        <v>2200000</v>
      </c>
    </row>
    <row r="562">
      <c r="A562" s="8" t="s">
        <v>486</v>
      </c>
      <c r="B562" s="13" t="str">
        <f>HYPERLINK("https://shopee.co.id/La-Roche-Posay-Hyalu-B5-Anti-Aging-Serum-50ml-Serum-Hyaluronic-Acid-Kulit-Sensitif-Kering-Kerutan-i.433144176.10301762063", "https://shopee.co.id/La-Roche-Posay-Hyalu-B5-Anti-Aging-Serum-50ml-Serum-Hyaluronic-Acid-Kulit-Sensitif-Kering-Kerutan-i.433144176.10301762063")</f>
        <v>https://shopee.co.id/La-Roche-Posay-Hyalu-B5-Anti-Aging-Serum-50ml-Serum-Hyaluronic-Acid-Kulit-Sensitif-Kering-Kerutan-i.433144176.10301762063</v>
      </c>
      <c r="C562" s="8" t="s">
        <v>147</v>
      </c>
      <c r="D562" s="8" t="s">
        <v>148</v>
      </c>
      <c r="E562" s="8" t="s">
        <v>12</v>
      </c>
      <c r="F562" s="8" t="s">
        <v>13</v>
      </c>
      <c r="G562" s="8" t="s">
        <v>61</v>
      </c>
      <c r="H562" s="16">
        <v>88.0</v>
      </c>
      <c r="I562" s="15" t="str">
        <f>SUBSTITUTE(Sheet1!K562, "Rp", "")</f>
        <v>63356200</v>
      </c>
    </row>
    <row r="563">
      <c r="A563" s="8" t="s">
        <v>1275</v>
      </c>
      <c r="B563" s="13" t="str">
        <f>HYPERLINK("https://shopee.co.id/MISSHA-MINIATUR-KIT-5X-GENERATION-FTE-AMPOULE-AMPOULE-CREAM--i.37557990.8491204595", "https://shopee.co.id/MISSHA-MINIATUR-KIT-5X-GENERATION-FTE-AMPOULE-AMPOULE-CREAM--i.37557990.8491204595")</f>
        <v>https://shopee.co.id/MISSHA-MINIATUR-KIT-5X-GENERATION-FTE-AMPOULE-AMPOULE-CREAM--i.37557990.8491204595</v>
      </c>
      <c r="C563" s="8" t="s">
        <v>695</v>
      </c>
      <c r="D563" s="8" t="s">
        <v>696</v>
      </c>
      <c r="E563" s="8" t="s">
        <v>12</v>
      </c>
      <c r="F563" s="8" t="s">
        <v>13</v>
      </c>
      <c r="G563" s="8" t="s">
        <v>80</v>
      </c>
      <c r="H563" s="16">
        <v>88.0</v>
      </c>
      <c r="I563" s="15" t="str">
        <f>SUBSTITUTE(Sheet1!K563, "Rp", "")</f>
        <v>11262000</v>
      </c>
    </row>
    <row r="564">
      <c r="A564" s="8" t="s">
        <v>1840</v>
      </c>
      <c r="B564" s="13" t="str">
        <f>HYPERLINK("https://shopee.co.id/SERUM-SEOUL-ORGANIC-SERUM-WAJAH-WHITENING-ORGANIK-DAN-SERUM-ANTI-ACNE-JERAWAT-i.23831802.8114301545", "https://shopee.co.id/SERUM-SEOUL-ORGANIC-SERUM-WAJAH-WHITENING-ORGANIK-DAN-SERUM-ANTI-ACNE-JERAWAT-i.23831802.8114301545")</f>
        <v>https://shopee.co.id/SERUM-SEOUL-ORGANIC-SERUM-WAJAH-WHITENING-ORGANIK-DAN-SERUM-ANTI-ACNE-JERAWAT-i.23831802.8114301545</v>
      </c>
      <c r="C564" s="8" t="s">
        <v>1841</v>
      </c>
      <c r="D564" s="8" t="s">
        <v>1084</v>
      </c>
      <c r="E564" s="8" t="s">
        <v>12</v>
      </c>
      <c r="F564" s="8" t="s">
        <v>13</v>
      </c>
      <c r="G564" s="8" t="s">
        <v>1085</v>
      </c>
      <c r="H564" s="16">
        <v>88.0</v>
      </c>
      <c r="I564" s="15" t="str">
        <f>SUBSTITUTE(Sheet1!K564, "Rp", "")</f>
        <v>4457920</v>
      </c>
    </row>
    <row r="565">
      <c r="A565" s="8" t="s">
        <v>1178</v>
      </c>
      <c r="B565" s="13" t="str">
        <f>HYPERLINK("https://shopee.co.id/Viva-Queen-Whitening-Advanced-Face-Serum-i.233711658.3444048621", "https://shopee.co.id/Viva-Queen-Whitening-Advanced-Face-Serum-i.233711658.3444048621")</f>
        <v>https://shopee.co.id/Viva-Queen-Whitening-Advanced-Face-Serum-i.233711658.3444048621</v>
      </c>
      <c r="C565" s="8" t="s">
        <v>647</v>
      </c>
      <c r="D565" s="8" t="s">
        <v>1740</v>
      </c>
      <c r="E565" s="8" t="s">
        <v>12</v>
      </c>
      <c r="F565" s="8" t="s">
        <v>13</v>
      </c>
      <c r="G565" s="8" t="s">
        <v>1741</v>
      </c>
      <c r="H565" s="16">
        <v>88.0</v>
      </c>
      <c r="I565" s="15" t="str">
        <f>SUBSTITUTE(Sheet1!K565, "Rp", "")</f>
        <v>5054680</v>
      </c>
    </row>
    <row r="566">
      <c r="A566" s="8" t="s">
        <v>1264</v>
      </c>
      <c r="B566" s="13" t="str">
        <f>HYPERLINK("https://shopee.co.id/Garnier-Sakura-White-Daily-Treatment-Skin-Care-Rangkaian-Lengkap-Untuk-Kulit-Cerah-Merona--i.62583853.6559435099", "https://shopee.co.id/Garnier-Sakura-White-Daily-Treatment-Skin-Care-Rangkaian-Lengkap-Untuk-Kulit-Cerah-Merona--i.62583853.6559435099")</f>
        <v>https://shopee.co.id/Garnier-Sakura-White-Daily-Treatment-Skin-Care-Rangkaian-Lengkap-Untuk-Kulit-Cerah-Merona--i.62583853.6559435099</v>
      </c>
      <c r="C566" s="8" t="s">
        <v>74</v>
      </c>
      <c r="D566" s="8" t="s">
        <v>75</v>
      </c>
      <c r="E566" s="8" t="s">
        <v>12</v>
      </c>
      <c r="F566" s="8" t="s">
        <v>13</v>
      </c>
      <c r="G566" s="8" t="s">
        <v>61</v>
      </c>
      <c r="H566" s="16">
        <v>87.0</v>
      </c>
      <c r="I566" s="15" t="str">
        <f>SUBSTITUTE(Sheet1!K566, "Rp", "")</f>
        <v>11552100</v>
      </c>
    </row>
    <row r="567">
      <c r="A567" s="8" t="s">
        <v>1717</v>
      </c>
      <c r="B567" s="13" t="str">
        <f>HYPERLINK("https://shopee.co.id/Ponds-Age-Miracle-Double-Action-Retinol-Serum-Anti-Aging-15-mL-i.65323877.10018290137", "https://shopee.co.id/Ponds-Age-Miracle-Double-Action-Retinol-Serum-Anti-Aging-15-mL-i.65323877.10018290137")</f>
        <v>https://shopee.co.id/Ponds-Age-Miracle-Double-Action-Retinol-Serum-Anti-Aging-15-mL-i.65323877.10018290137</v>
      </c>
      <c r="C567" s="8" t="s">
        <v>325</v>
      </c>
      <c r="D567" s="8" t="s">
        <v>1600</v>
      </c>
      <c r="E567" s="8" t="s">
        <v>12</v>
      </c>
      <c r="F567" s="8" t="s">
        <v>13</v>
      </c>
      <c r="G567" s="8" t="s">
        <v>296</v>
      </c>
      <c r="H567" s="16">
        <v>87.0</v>
      </c>
      <c r="I567" s="15" t="str">
        <f>SUBSTITUTE(Sheet1!K567, "Rp", "")</f>
        <v>5254100</v>
      </c>
    </row>
    <row r="568">
      <c r="A568" s="8" t="s">
        <v>1241</v>
      </c>
      <c r="B568" s="13" t="str">
        <f>HYPERLINK("https://shopee.co.id/AVOSKIN-Your-Skin-Bae-Collagen10-Ginseng-Root-30ml-i.270965687.9004838011", "https://shopee.co.id/AVOSKIN-Your-Skin-Bae-Collagen10-Ginseng-Root-30ml-i.270965687.9004838011")</f>
        <v>https://shopee.co.id/AVOSKIN-Your-Skin-Bae-Collagen10-Ginseng-Root-30ml-i.270965687.9004838011</v>
      </c>
      <c r="C568" s="8" t="s">
        <v>83</v>
      </c>
      <c r="D568" s="8" t="s">
        <v>379</v>
      </c>
      <c r="E568" s="8" t="s">
        <v>12</v>
      </c>
      <c r="F568" s="8" t="s">
        <v>13</v>
      </c>
      <c r="G568" s="8" t="s">
        <v>380</v>
      </c>
      <c r="H568" s="16">
        <v>86.0</v>
      </c>
      <c r="I568" s="15" t="str">
        <f>SUBSTITUTE(Sheet1!K568, "Rp", "")</f>
        <v>11954000</v>
      </c>
    </row>
    <row r="569">
      <c r="A569" s="8" t="s">
        <v>1089</v>
      </c>
      <c r="B569" s="13" t="str">
        <f>HYPERLINK("https://shopee.co.id/L-Oreal-Paris-Revitalift-Crystal-Micro-Essence-Serum-Mask-Skin-Care-Buy-5-Get-5-i.62579622.3353669199", "https://shopee.co.id/L-Oreal-Paris-Revitalift-Crystal-Micro-Essence-Serum-Mask-Skin-Care-Buy-5-Get-5-i.62579622.3353669199")</f>
        <v>https://shopee.co.id/L-Oreal-Paris-Revitalift-Crystal-Micro-Essence-Serum-Mask-Skin-Care-Buy-5-Get-5-i.62579622.3353669199</v>
      </c>
      <c r="C569" s="8" t="s">
        <v>105</v>
      </c>
      <c r="D569" s="8" t="s">
        <v>106</v>
      </c>
      <c r="E569" s="8" t="s">
        <v>12</v>
      </c>
      <c r="F569" s="8" t="s">
        <v>13</v>
      </c>
      <c r="G569" s="8" t="s">
        <v>61</v>
      </c>
      <c r="H569" s="16">
        <v>86.0</v>
      </c>
      <c r="I569" s="15" t="str">
        <f>SUBSTITUTE(Sheet1!K569, "Rp", "")</f>
        <v>15712400</v>
      </c>
    </row>
    <row r="570">
      <c r="A570" s="8" t="s">
        <v>520</v>
      </c>
      <c r="B570" s="13" t="str">
        <f>HYPERLINK("https://shopee.co.id/Laneige-White-Dew-Ampoule-Essence-40ml-OL21--i.52917348.7717272197", "https://shopee.co.id/Laneige-White-Dew-Ampoule-Essence-40ml-OL21--i.52917348.7717272197")</f>
        <v>https://shopee.co.id/Laneige-White-Dew-Ampoule-Essence-40ml-OL21--i.52917348.7717272197</v>
      </c>
      <c r="C570" s="8" t="s">
        <v>364</v>
      </c>
      <c r="D570" s="8" t="s">
        <v>365</v>
      </c>
      <c r="E570" s="8" t="s">
        <v>12</v>
      </c>
      <c r="F570" s="8" t="s">
        <v>13</v>
      </c>
      <c r="G570" s="8" t="s">
        <v>61</v>
      </c>
      <c r="H570" s="16">
        <v>86.0</v>
      </c>
      <c r="I570" s="15" t="str">
        <f>SUBSTITUTE(Sheet1!K570, "Rp", "")</f>
        <v>57110300</v>
      </c>
    </row>
    <row r="571">
      <c r="A571" s="8" t="s">
        <v>1567</v>
      </c>
      <c r="B571" s="13" t="str">
        <f>HYPERLINK("https://shopee.co.id/Mineral-Botanica-Perfect-Purifying-Face-Serum-i.124549994.1889391403", "https://shopee.co.id/Mineral-Botanica-Perfect-Purifying-Face-Serum-i.124549994.1889391403")</f>
        <v>https://shopee.co.id/Mineral-Botanica-Perfect-Purifying-Face-Serum-i.124549994.1889391403</v>
      </c>
      <c r="C571" s="8" t="s">
        <v>807</v>
      </c>
      <c r="D571" s="8" t="s">
        <v>808</v>
      </c>
      <c r="E571" s="8" t="s">
        <v>12</v>
      </c>
      <c r="F571" s="8" t="s">
        <v>13</v>
      </c>
      <c r="G571" s="8" t="s">
        <v>61</v>
      </c>
      <c r="H571" s="16">
        <v>86.0</v>
      </c>
      <c r="I571" s="15" t="str">
        <f>SUBSTITUTE(Sheet1!K571, "Rp", "")</f>
        <v>6895339</v>
      </c>
    </row>
    <row r="572">
      <c r="A572" s="8" t="s">
        <v>1140</v>
      </c>
      <c r="B572" s="13" t="str">
        <f>HYPERLINK("https://shopee.co.id/Skinmee-Dualmee-Series-Shine-Bright-i.426361756.8976990950", "https://shopee.co.id/Skinmee-Dualmee-Series-Shine-Bright-i.426361756.8976990950")</f>
        <v>https://shopee.co.id/Skinmee-Dualmee-Series-Shine-Bright-i.426361756.8976990950</v>
      </c>
      <c r="C572" s="8" t="s">
        <v>1141</v>
      </c>
      <c r="D572" s="8" t="s">
        <v>1142</v>
      </c>
      <c r="E572" s="8" t="s">
        <v>12</v>
      </c>
      <c r="F572" s="8" t="s">
        <v>13</v>
      </c>
      <c r="G572" s="8" t="s">
        <v>98</v>
      </c>
      <c r="H572" s="16">
        <v>86.0</v>
      </c>
      <c r="I572" s="15" t="str">
        <f>SUBSTITUTE(Sheet1!K572, "Rp", "")</f>
        <v>14300310</v>
      </c>
    </row>
    <row r="573">
      <c r="A573" s="8" t="s">
        <v>1044</v>
      </c>
      <c r="B573" s="13" t="str">
        <f>HYPERLINK("https://shopee.co.id/Somethinc-10-Niacinamide-Moisture-Sabi-White-Max-Brightening-Serum-40ml-i.110573301.5679522403", "https://shopee.co.id/Somethinc-10-Niacinamide-Moisture-Sabi-White-Max-Brightening-Serum-40ml-i.110573301.5679522403")</f>
        <v>https://shopee.co.id/Somethinc-10-Niacinamide-Moisture-Sabi-White-Max-Brightening-Serum-40ml-i.110573301.5679522403</v>
      </c>
      <c r="C573" s="8" t="s">
        <v>45</v>
      </c>
      <c r="D573" s="8" t="s">
        <v>227</v>
      </c>
      <c r="E573" s="8" t="s">
        <v>12</v>
      </c>
      <c r="F573" s="8" t="s">
        <v>13</v>
      </c>
      <c r="G573" s="8" t="s">
        <v>61</v>
      </c>
      <c r="H573" s="16">
        <v>86.0</v>
      </c>
      <c r="I573" s="15" t="str">
        <f>SUBSTITUTE(Sheet1!K573, "Rp", "")</f>
        <v>17114000</v>
      </c>
    </row>
    <row r="574">
      <c r="A574" s="8" t="s">
        <v>767</v>
      </c>
      <c r="B574" s="13" t="str">
        <f>HYPERLINK("https://shopee.co.id/-innisfree-Jeju-Pomegranate-Revitalizing-Serum-50ML-Serum-Wajah-Perawatan-Wajah-i.61504589.2262316718", "https://shopee.co.id/-innisfree-Jeju-Pomegranate-Revitalizing-Serum-50ML-Serum-Wajah-Perawatan-Wajah-i.61504589.2262316718")</f>
        <v>https://shopee.co.id/-innisfree-Jeju-Pomegranate-Revitalizing-Serum-50ML-Serum-Wajah-Perawatan-Wajah-i.61504589.2262316718</v>
      </c>
      <c r="C574" s="8" t="s">
        <v>294</v>
      </c>
      <c r="D574" s="8" t="s">
        <v>295</v>
      </c>
      <c r="E574" s="8" t="s">
        <v>12</v>
      </c>
      <c r="F574" s="8" t="s">
        <v>13</v>
      </c>
      <c r="G574" s="8" t="s">
        <v>296</v>
      </c>
      <c r="H574" s="16">
        <v>85.0</v>
      </c>
      <c r="I574" s="15" t="str">
        <f>SUBSTITUTE(Sheet1!K574, "Rp", "")</f>
        <v>32809000</v>
      </c>
    </row>
    <row r="575">
      <c r="A575" s="8" t="s">
        <v>932</v>
      </c>
      <c r="B575" s="13" t="str">
        <f>HYPERLINK("https://shopee.co.id/Dear-Me-Beauty-Paket-Serum-Melawan-Waktu-12ml-Retinol-Peptide-i.45495764.11023417257", "https://shopee.co.id/Dear-Me-Beauty-Paket-Serum-Melawan-Waktu-12ml-Retinol-Peptide-i.45495764.11023417257")</f>
        <v>https://shopee.co.id/Dear-Me-Beauty-Paket-Serum-Melawan-Waktu-12ml-Retinol-Peptide-i.45495764.11023417257</v>
      </c>
      <c r="C575" s="8" t="s">
        <v>70</v>
      </c>
      <c r="D575" s="8" t="s">
        <v>71</v>
      </c>
      <c r="E575" s="8" t="s">
        <v>12</v>
      </c>
      <c r="F575" s="8" t="s">
        <v>13</v>
      </c>
      <c r="G575" s="8" t="s">
        <v>61</v>
      </c>
      <c r="H575" s="16">
        <v>85.0</v>
      </c>
      <c r="I575" s="15" t="str">
        <f>SUBSTITUTE(Sheet1!K575, "Rp", "")</f>
        <v>22060800</v>
      </c>
    </row>
    <row r="576">
      <c r="A576" s="8" t="s">
        <v>1020</v>
      </c>
      <c r="B576" s="13" t="str">
        <f>HYPERLINK("https://shopee.co.id/Avoskin-Miraculous-Refining-Serum-30-Ml-Pencerah-Dan-Regenerasi-Kulit-Pengangkat-Sel-Kulit-Mati-i.50972887.4057761432", "https://shopee.co.id/Avoskin-Miraculous-Refining-Serum-30-Ml-Pencerah-Dan-Regenerasi-Kulit-Pengangkat-Sel-Kulit-Mati-i.50972887.4057761432")</f>
        <v>https://shopee.co.id/Avoskin-Miraculous-Refining-Serum-30-Ml-Pencerah-Dan-Regenerasi-Kulit-Pengangkat-Sel-Kulit-Mati-i.50972887.4057761432</v>
      </c>
      <c r="C576" s="8" t="s">
        <v>83</v>
      </c>
      <c r="D576" s="8" t="s">
        <v>552</v>
      </c>
      <c r="E576" s="8" t="s">
        <v>12</v>
      </c>
      <c r="F576" s="8" t="s">
        <v>13</v>
      </c>
      <c r="G576" s="8" t="s">
        <v>61</v>
      </c>
      <c r="H576" s="16">
        <v>84.0</v>
      </c>
      <c r="I576" s="15" t="str">
        <f>SUBSTITUTE(Sheet1!K576, "Rp", "")</f>
        <v>18286961</v>
      </c>
    </row>
    <row r="577">
      <c r="A577" s="8" t="s">
        <v>1392</v>
      </c>
      <c r="B577" s="13" t="str">
        <f>HYPERLINK("https://shopee.co.id/HALE-Brightening-Potion-i.205814683.9450502867", "https://shopee.co.id/HALE-Brightening-Potion-i.205814683.9450502867")</f>
        <v>https://shopee.co.id/HALE-Brightening-Potion-i.205814683.9450502867</v>
      </c>
      <c r="C577" s="8" t="s">
        <v>1393</v>
      </c>
      <c r="D577" s="8" t="s">
        <v>1394</v>
      </c>
      <c r="E577" s="8" t="s">
        <v>12</v>
      </c>
      <c r="F577" s="8" t="s">
        <v>13</v>
      </c>
      <c r="G577" s="8" t="s">
        <v>98</v>
      </c>
      <c r="H577" s="16">
        <v>84.0</v>
      </c>
      <c r="I577" s="15" t="str">
        <f>SUBSTITUTE(Sheet1!K577, "Rp", "")</f>
        <v>9156000</v>
      </c>
    </row>
    <row r="578">
      <c r="A578" s="8" t="s">
        <v>1629</v>
      </c>
      <c r="B578" s="13" t="str">
        <f>HYPERLINK("https://shopee.co.id/Raecca-Glow-It-Up-Serum-Official-Store--i.41005244.10600465937", "https://shopee.co.id/Raecca-Glow-It-Up-Serum-Official-Store--i.41005244.10600465937")</f>
        <v>https://shopee.co.id/Raecca-Glow-It-Up-Serum-Official-Store--i.41005244.10600465937</v>
      </c>
      <c r="C578" s="8" t="s">
        <v>1630</v>
      </c>
      <c r="D578" s="8" t="s">
        <v>1631</v>
      </c>
      <c r="E578" s="8" t="s">
        <v>12</v>
      </c>
      <c r="F578" s="8" t="s">
        <v>13</v>
      </c>
      <c r="G578" s="8" t="s">
        <v>241</v>
      </c>
      <c r="H578" s="16">
        <v>84.0</v>
      </c>
      <c r="I578" s="15" t="str">
        <f>SUBSTITUTE(Sheet1!K578, "Rp", "")</f>
        <v>6150000</v>
      </c>
    </row>
    <row r="579">
      <c r="A579" s="8" t="s">
        <v>1055</v>
      </c>
      <c r="B579" s="13" t="str">
        <f>HYPERLINK("https://shopee.co.id/SOMETHINC-10-Niacinamide-Moisture-Sabi-Beet-Brightening-Serum-40ml-10-sabi--i.68111.7777449177", "https://shopee.co.id/SOMETHINC-10-Niacinamide-Moisture-Sabi-Beet-Brightening-Serum-40ml-10-sabi--i.68111.7777449177")</f>
        <v>https://shopee.co.id/SOMETHINC-10-Niacinamide-Moisture-Sabi-Beet-Brightening-Serum-40ml-10-sabi--i.68111.7777449177</v>
      </c>
      <c r="C579" s="8" t="s">
        <v>45</v>
      </c>
      <c r="D579" s="8" t="s">
        <v>441</v>
      </c>
      <c r="E579" s="8" t="s">
        <v>12</v>
      </c>
      <c r="F579" s="8" t="s">
        <v>13</v>
      </c>
      <c r="G579" s="8" t="s">
        <v>130</v>
      </c>
      <c r="H579" s="16">
        <v>84.0</v>
      </c>
      <c r="I579" s="15" t="str">
        <f>SUBSTITUTE(Sheet1!K579, "Rp", "")</f>
        <v>16716000</v>
      </c>
    </row>
    <row r="580">
      <c r="A580" s="8" t="s">
        <v>1517</v>
      </c>
      <c r="B580" s="13" t="str">
        <f>HYPERLINK("https://shopee.co.id/Azrina-Brightening-Secret-Serum-i.32101291.7613459187", "https://shopee.co.id/Azrina-Brightening-Secret-Serum-i.32101291.7613459187")</f>
        <v>https://shopee.co.id/Azrina-Brightening-Secret-Serum-i.32101291.7613459187</v>
      </c>
      <c r="C580" s="8" t="s">
        <v>1518</v>
      </c>
      <c r="D580" s="8" t="s">
        <v>1076</v>
      </c>
      <c r="E580" s="8" t="s">
        <v>12</v>
      </c>
      <c r="F580" s="8" t="s">
        <v>13</v>
      </c>
      <c r="G580" s="8" t="s">
        <v>370</v>
      </c>
      <c r="H580" s="16">
        <v>83.0</v>
      </c>
      <c r="I580" s="15" t="str">
        <f>SUBSTITUTE(Sheet1!K580, "Rp", "")</f>
        <v>7430000</v>
      </c>
    </row>
    <row r="581">
      <c r="A581" s="8" t="s">
        <v>764</v>
      </c>
      <c r="B581" s="13" t="str">
        <f>HYPERLINK("https://shopee.co.id/ElsheSkin-Radiant-Skin-Serum-x-Active-Rejuvenating-Night-Serum-i.9035345.9917973886", "https://shopee.co.id/ElsheSkin-Radiant-Skin-Serum-x-Active-Rejuvenating-Night-Serum-i.9035345.9917973886")</f>
        <v>https://shopee.co.id/ElsheSkin-Radiant-Skin-Serum-x-Active-Rejuvenating-Night-Serum-i.9035345.9917973886</v>
      </c>
      <c r="C581" s="8" t="s">
        <v>135</v>
      </c>
      <c r="D581" s="8" t="s">
        <v>136</v>
      </c>
      <c r="E581" s="8" t="s">
        <v>12</v>
      </c>
      <c r="F581" s="8" t="s">
        <v>13</v>
      </c>
      <c r="G581" s="8" t="s">
        <v>80</v>
      </c>
      <c r="H581" s="16">
        <v>83.0</v>
      </c>
      <c r="I581" s="15" t="str">
        <f>SUBSTITUTE(Sheet1!K581, "Rp", "")</f>
        <v>33005700</v>
      </c>
    </row>
    <row r="582">
      <c r="A582" s="8" t="s">
        <v>1319</v>
      </c>
      <c r="B582" s="13" t="str">
        <f>HYPERLINK("https://shopee.co.id/Avoskin-Your-Skin-Bae-Serum-Series-30ml-i.50948181.8209822825", "https://shopee.co.id/Avoskin-Your-Skin-Bae-Serum-Series-30ml-i.50948181.8209822825")</f>
        <v>https://shopee.co.id/Avoskin-Your-Skin-Bae-Serum-Series-30ml-i.50948181.8209822825</v>
      </c>
      <c r="C582" s="8" t="s">
        <v>83</v>
      </c>
      <c r="D582" s="8" t="s">
        <v>1129</v>
      </c>
      <c r="E582" s="8" t="s">
        <v>12</v>
      </c>
      <c r="F582" s="8" t="s">
        <v>13</v>
      </c>
      <c r="G582" s="8" t="s">
        <v>1130</v>
      </c>
      <c r="H582" s="16">
        <v>82.0</v>
      </c>
      <c r="I582" s="15" t="str">
        <f>SUBSTITUTE(Sheet1!K582, "Rp", "")</f>
        <v>10368900</v>
      </c>
    </row>
    <row r="583">
      <c r="A583" s="8" t="s">
        <v>919</v>
      </c>
      <c r="B583" s="13" t="str">
        <f>HYPERLINK("https://shopee.co.id/MSBB-Avoskin-Perfect-Hydrating-Treatment-Essence-100ml-i.288588702.8762523120", "https://shopee.co.id/MSBB-Avoskin-Perfect-Hydrating-Treatment-Essence-100ml-i.288588702.8762523120")</f>
        <v>https://shopee.co.id/MSBB-Avoskin-Perfect-Hydrating-Treatment-Essence-100ml-i.288588702.8762523120</v>
      </c>
      <c r="C583" s="8" t="s">
        <v>78</v>
      </c>
      <c r="D583" s="8" t="s">
        <v>79</v>
      </c>
      <c r="E583" s="8" t="s">
        <v>12</v>
      </c>
      <c r="F583" s="8" t="s">
        <v>13</v>
      </c>
      <c r="G583" s="8" t="s">
        <v>80</v>
      </c>
      <c r="H583" s="16">
        <v>82.0</v>
      </c>
      <c r="I583" s="15" t="str">
        <f>SUBSTITUTE(Sheet1!K583, "Rp", "")</f>
        <v>23082800</v>
      </c>
    </row>
    <row r="584">
      <c r="A584" s="8" t="s">
        <v>1734</v>
      </c>
      <c r="B584" s="13" t="str">
        <f>HYPERLINK("https://shopee.co.id/Scarlett-Whitening-Glowtening-Serum-15ml-i.53887195.8267921098", "https://shopee.co.id/Scarlett-Whitening-Glowtening-Serum-15ml-i.53887195.8267921098")</f>
        <v>https://shopee.co.id/Scarlett-Whitening-Glowtening-Serum-15ml-i.53887195.8267921098</v>
      </c>
      <c r="C584" s="8" t="s">
        <v>19</v>
      </c>
      <c r="D584" s="8" t="s">
        <v>1026</v>
      </c>
      <c r="E584" s="8" t="s">
        <v>12</v>
      </c>
      <c r="F584" s="8" t="s">
        <v>13</v>
      </c>
      <c r="G584" s="8" t="s">
        <v>80</v>
      </c>
      <c r="H584" s="16">
        <v>82.0</v>
      </c>
      <c r="I584" s="15" t="str">
        <f>SUBSTITUTE(Sheet1!K584, "Rp", "")</f>
        <v>5133245</v>
      </c>
    </row>
    <row r="585">
      <c r="A585" s="8" t="s">
        <v>1267</v>
      </c>
      <c r="B585" s="13" t="str">
        <f>HYPERLINK("https://shopee.co.id/Solcare-Collagen-Serum-i.266902345.7363783609", "https://shopee.co.id/Solcare-Collagen-Serum-i.266902345.7363783609")</f>
        <v>https://shopee.co.id/Solcare-Collagen-Serum-i.266902345.7363783609</v>
      </c>
      <c r="C585" s="8" t="s">
        <v>910</v>
      </c>
      <c r="D585" s="8" t="s">
        <v>911</v>
      </c>
      <c r="E585" s="8" t="s">
        <v>12</v>
      </c>
      <c r="F585" s="8" t="s">
        <v>13</v>
      </c>
      <c r="G585" s="8" t="s">
        <v>241</v>
      </c>
      <c r="H585" s="16">
        <v>82.0</v>
      </c>
      <c r="I585" s="15" t="str">
        <f>SUBSTITUTE(Sheet1!K585, "Rp", "")</f>
        <v>11525000</v>
      </c>
    </row>
    <row r="586">
      <c r="A586" s="8" t="s">
        <v>1271</v>
      </c>
      <c r="B586" s="13" t="str">
        <f>HYPERLINK("https://shopee.co.id/White-Expert-Cerahkan-Ramadhan-2-i.63823668.11700471518", "https://shopee.co.id/White-Expert-Cerahkan-Ramadhan-2-i.63823668.11700471518")</f>
        <v>https://shopee.co.id/White-Expert-Cerahkan-Ramadhan-2-i.63823668.11700471518</v>
      </c>
      <c r="C586" s="8" t="s">
        <v>278</v>
      </c>
      <c r="D586" s="8" t="s">
        <v>279</v>
      </c>
      <c r="E586" s="8" t="s">
        <v>12</v>
      </c>
      <c r="F586" s="8" t="s">
        <v>13</v>
      </c>
      <c r="G586" s="8" t="s">
        <v>61</v>
      </c>
      <c r="H586" s="16">
        <v>82.0</v>
      </c>
      <c r="I586" s="15" t="str">
        <f>SUBSTITUTE(Sheet1!K586, "Rp", "")</f>
        <v>11318900</v>
      </c>
    </row>
    <row r="587">
      <c r="A587" s="8" t="s">
        <v>1769</v>
      </c>
      <c r="B587" s="13" t="str">
        <f>HYPERLINK("https://shopee.co.id/GF-TRILOGY-CERTIFIED-ORGANIC-RHO-5ML-i.53497038.6268869426", "https://shopee.co.id/GF-TRILOGY-CERTIFIED-ORGANIC-RHO-5ML-i.53497038.6268869426")</f>
        <v>https://shopee.co.id/GF-TRILOGY-CERTIFIED-ORGANIC-RHO-5ML-i.53497038.6268869426</v>
      </c>
      <c r="C587" s="8" t="s">
        <v>906</v>
      </c>
      <c r="D587" s="8" t="s">
        <v>907</v>
      </c>
      <c r="E587" s="8" t="s">
        <v>12</v>
      </c>
      <c r="F587" s="8" t="s">
        <v>13</v>
      </c>
      <c r="G587" s="8" t="s">
        <v>61</v>
      </c>
      <c r="H587" s="16">
        <v>81.0</v>
      </c>
      <c r="I587" s="15" t="str">
        <f>SUBSTITUTE(Sheet1!K587, "Rp", "")</f>
        <v>4860000</v>
      </c>
    </row>
    <row r="588">
      <c r="A588" s="8" t="s">
        <v>2658</v>
      </c>
      <c r="B588" s="13" t="str">
        <f>HYPERLINK("https://shopee.co.id/Hanasui-Serum-Vit-C-20ml-i.277377659.3739770649", "https://shopee.co.id/Hanasui-Serum-Vit-C-20ml-i.277377659.3739770649")</f>
        <v>https://shopee.co.id/Hanasui-Serum-Vit-C-20ml-i.277377659.3739770649</v>
      </c>
      <c r="C588" s="8" t="s">
        <v>784</v>
      </c>
      <c r="D588" s="8" t="s">
        <v>2549</v>
      </c>
      <c r="E588" s="8" t="s">
        <v>12</v>
      </c>
      <c r="F588" s="8" t="s">
        <v>13</v>
      </c>
      <c r="G588" s="8" t="s">
        <v>532</v>
      </c>
      <c r="H588" s="16">
        <v>81.0</v>
      </c>
      <c r="I588" s="15" t="str">
        <f>SUBSTITUTE(Sheet1!K588, "Rp", "")</f>
        <v>1304000</v>
      </c>
    </row>
    <row r="589">
      <c r="A589" s="8" t="s">
        <v>1231</v>
      </c>
      <c r="B589" s="13" t="str">
        <f>HYPERLINK("https://shopee.co.id/NATURE-REPUBLIC-Good-Skin-Ampoule-VITAMIN-E-i.78838801.4165324908", "https://shopee.co.id/NATURE-REPUBLIC-Good-Skin-Ampoule-VITAMIN-E-i.78838801.4165324908")</f>
        <v>https://shopee.co.id/NATURE-REPUBLIC-Good-Skin-Ampoule-VITAMIN-E-i.78838801.4165324908</v>
      </c>
      <c r="C589" s="8" t="s">
        <v>1079</v>
      </c>
      <c r="D589" s="8" t="s">
        <v>1080</v>
      </c>
      <c r="E589" s="8" t="s">
        <v>12</v>
      </c>
      <c r="F589" s="8" t="s">
        <v>13</v>
      </c>
      <c r="G589" s="8" t="s">
        <v>532</v>
      </c>
      <c r="H589" s="16">
        <v>81.0</v>
      </c>
      <c r="I589" s="15" t="str">
        <f>SUBSTITUTE(Sheet1!K589, "Rp", "")</f>
        <v>12150000</v>
      </c>
    </row>
    <row r="590">
      <c r="A590" s="8" t="s">
        <v>1559</v>
      </c>
      <c r="B590" s="13" t="str">
        <f>HYPERLINK("https://shopee.co.id/Dear-Me-Beauty-10-Lactic-Acid-AHA-Pineapple-Extract-Face-Serum-12ml-i.45495764.8848397088", "https://shopee.co.id/Dear-Me-Beauty-10-Lactic-Acid-AHA-Pineapple-Extract-Face-Serum-12ml-i.45495764.8848397088")</f>
        <v>https://shopee.co.id/Dear-Me-Beauty-10-Lactic-Acid-AHA-Pineapple-Extract-Face-Serum-12ml-i.45495764.8848397088</v>
      </c>
      <c r="C590" s="8" t="s">
        <v>70</v>
      </c>
      <c r="D590" s="8" t="s">
        <v>71</v>
      </c>
      <c r="E590" s="8" t="s">
        <v>12</v>
      </c>
      <c r="F590" s="8" t="s">
        <v>13</v>
      </c>
      <c r="G590" s="8" t="s">
        <v>61</v>
      </c>
      <c r="H590" s="16">
        <v>80.0</v>
      </c>
      <c r="I590" s="15" t="str">
        <f>SUBSTITUTE(Sheet1!K590, "Rp", "")</f>
        <v>7017650</v>
      </c>
    </row>
    <row r="591">
      <c r="A591" s="8" t="s">
        <v>2033</v>
      </c>
      <c r="B591" s="13" t="str">
        <f>HYPERLINK("https://shopee.co.id/Envygreen-Pore-Minimizer-Serum-5gr-i.825870.7450706840", "https://shopee.co.id/Envygreen-Pore-Minimizer-Serum-5gr-i.825870.7450706840")</f>
        <v>https://shopee.co.id/Envygreen-Pore-Minimizer-Serum-5gr-i.825870.7450706840</v>
      </c>
      <c r="C591" s="8" t="s">
        <v>2034</v>
      </c>
      <c r="D591" s="8" t="s">
        <v>1184</v>
      </c>
      <c r="E591" s="8" t="s">
        <v>12</v>
      </c>
      <c r="F591" s="8" t="s">
        <v>13</v>
      </c>
      <c r="G591" s="8" t="s">
        <v>21</v>
      </c>
      <c r="H591" s="16">
        <v>80.0</v>
      </c>
      <c r="I591" s="15" t="str">
        <f>SUBSTITUTE(Sheet1!K591, "Rp", "")</f>
        <v>3360000</v>
      </c>
    </row>
    <row r="592">
      <c r="A592" s="8" t="s">
        <v>1501</v>
      </c>
      <c r="B592" s="13" t="str">
        <f>HYPERLINK("https://shopee.co.id/The-Aubree-Ginseng-Renewing-First-Serum-30-ml-i.495290309.11620466598", "https://shopee.co.id/The-Aubree-Ginseng-Renewing-First-Serum-30-ml-i.495290309.11620466598")</f>
        <v>https://shopee.co.id/The-Aubree-Ginseng-Renewing-First-Serum-30-ml-i.495290309.11620466598</v>
      </c>
      <c r="C592" s="8" t="s">
        <v>772</v>
      </c>
      <c r="D592" s="8" t="s">
        <v>773</v>
      </c>
      <c r="E592" s="8" t="s">
        <v>12</v>
      </c>
      <c r="F592" s="8" t="s">
        <v>13</v>
      </c>
      <c r="G592" s="8" t="s">
        <v>241</v>
      </c>
      <c r="H592" s="16">
        <v>80.0</v>
      </c>
      <c r="I592" s="15" t="str">
        <f>SUBSTITUTE(Sheet1!K592, "Rp", "")</f>
        <v>7706160</v>
      </c>
    </row>
    <row r="593">
      <c r="A593" s="8" t="s">
        <v>1341</v>
      </c>
      <c r="B593" s="13" t="str">
        <f>HYPERLINK("https://shopee.co.id/Garnier-Light-Complete-Booster-Serum-30-ml-Light-Complete-Serum-Mask-x-3-Pcs-i.62583853.4441461979", "https://shopee.co.id/Garnier-Light-Complete-Booster-Serum-30-ml-Light-Complete-Serum-Mask-x-3-Pcs-i.62583853.4441461979")</f>
        <v>https://shopee.co.id/Garnier-Light-Complete-Booster-Serum-30-ml-Light-Complete-Serum-Mask-x-3-Pcs-i.62583853.4441461979</v>
      </c>
      <c r="C593" s="8" t="s">
        <v>74</v>
      </c>
      <c r="D593" s="8" t="s">
        <v>75</v>
      </c>
      <c r="E593" s="8" t="s">
        <v>12</v>
      </c>
      <c r="F593" s="8" t="s">
        <v>13</v>
      </c>
      <c r="G593" s="8" t="s">
        <v>61</v>
      </c>
      <c r="H593" s="16">
        <v>79.0</v>
      </c>
      <c r="I593" s="15" t="str">
        <f>SUBSTITUTE(Sheet1!K593, "Rp", "")</f>
        <v>10006700</v>
      </c>
    </row>
    <row r="594">
      <c r="A594" s="8" t="s">
        <v>1732</v>
      </c>
      <c r="B594" s="13" t="str">
        <f>HYPERLINK("https://shopee.co.id/I-Face-Vitamin-C-Serum-10ml-Serum-Wajah-Vitamin-Wajah-Kulit-Cerah-Antioksidan-Kolagen-i.121791179.1863497482", "https://shopee.co.id/I-Face-Vitamin-C-Serum-10ml-Serum-Wajah-Vitamin-Wajah-Kulit-Cerah-Antioksidan-Kolagen-i.121791179.1863497482")</f>
        <v>https://shopee.co.id/I-Face-Vitamin-C-Serum-10ml-Serum-Wajah-Vitamin-Wajah-Kulit-Cerah-Antioksidan-Kolagen-i.121791179.1863497482</v>
      </c>
      <c r="C594" s="8" t="s">
        <v>1116</v>
      </c>
      <c r="D594" s="8" t="s">
        <v>1733</v>
      </c>
      <c r="E594" s="8" t="s">
        <v>12</v>
      </c>
      <c r="F594" s="8" t="s">
        <v>13</v>
      </c>
      <c r="G594" s="8" t="s">
        <v>36</v>
      </c>
      <c r="H594" s="16">
        <v>79.0</v>
      </c>
      <c r="I594" s="15" t="str">
        <f>SUBSTITUTE(Sheet1!K594, "Rp", "")</f>
        <v>5135000</v>
      </c>
    </row>
    <row r="595">
      <c r="A595" s="8" t="s">
        <v>1230</v>
      </c>
      <c r="B595" s="13" t="str">
        <f>HYPERLINK("https://shopee.co.id/SOMETHINC-Level-1-Encapsulated-Retinol-i.195455930.11647048690", "https://shopee.co.id/SOMETHINC-Level-1-Encapsulated-Retinol-i.195455930.11647048690")</f>
        <v>https://shopee.co.id/SOMETHINC-Level-1-Encapsulated-Retinol-i.195455930.11647048690</v>
      </c>
      <c r="C595" s="8" t="s">
        <v>45</v>
      </c>
      <c r="D595" s="8" t="s">
        <v>46</v>
      </c>
      <c r="E595" s="8" t="s">
        <v>12</v>
      </c>
      <c r="F595" s="8" t="s">
        <v>13</v>
      </c>
      <c r="G595" s="8" t="s">
        <v>21</v>
      </c>
      <c r="H595" s="16">
        <v>79.0</v>
      </c>
      <c r="I595" s="15" t="str">
        <f>SUBSTITUTE(Sheet1!K595, "Rp", "")</f>
        <v>12245000</v>
      </c>
    </row>
    <row r="596">
      <c r="A596" s="8" t="s">
        <v>2630</v>
      </c>
      <c r="B596" s="13" t="str">
        <f>HYPERLINK("https://shopee.co.id/Dove-Deodorant-Dry-Serum-Regenerate-Care-Collagen-Vitamin-B3-50-ml-Anti-Bakteri-i.14318452.4961173417", "https://shopee.co.id/Dove-Deodorant-Dry-Serum-Regenerate-Care-Collagen-Vitamin-B3-50-ml-Anti-Bakteri-i.14318452.4961173417")</f>
        <v>https://shopee.co.id/Dove-Deodorant-Dry-Serum-Regenerate-Care-Collagen-Vitamin-B3-50-ml-Anti-Bakteri-i.14318452.4961173417</v>
      </c>
      <c r="C596" s="8" t="s">
        <v>591</v>
      </c>
      <c r="D596" s="8" t="s">
        <v>326</v>
      </c>
      <c r="E596" s="8" t="s">
        <v>12</v>
      </c>
      <c r="F596" s="8" t="s">
        <v>13</v>
      </c>
      <c r="G596" s="8" t="s">
        <v>296</v>
      </c>
      <c r="H596" s="16">
        <v>78.0</v>
      </c>
      <c r="I596" s="15" t="str">
        <f>SUBSTITUTE(Sheet1!K596, "Rp", "")</f>
        <v>1365000</v>
      </c>
    </row>
    <row r="597">
      <c r="A597" s="8" t="s">
        <v>1112</v>
      </c>
      <c r="B597" s="13" t="str">
        <f>HYPERLINK("https://shopee.co.id/JUMISO-All-Day-Vitamin-Brightening-Balancing-Facial-Serum-i.125116082.3719266760", "https://shopee.co.id/JUMISO-All-Day-Vitamin-Brightening-Balancing-Facial-Serum-i.125116082.3719266760")</f>
        <v>https://shopee.co.id/JUMISO-All-Day-Vitamin-Brightening-Balancing-Facial-Serum-i.125116082.3719266760</v>
      </c>
      <c r="C597" s="8" t="s">
        <v>1113</v>
      </c>
      <c r="D597" s="8" t="s">
        <v>713</v>
      </c>
      <c r="E597" s="8" t="s">
        <v>12</v>
      </c>
      <c r="F597" s="8" t="s">
        <v>13</v>
      </c>
      <c r="G597" s="8" t="s">
        <v>61</v>
      </c>
      <c r="H597" s="16">
        <v>78.0</v>
      </c>
      <c r="I597" s="15" t="str">
        <f>SUBSTITUTE(Sheet1!K597, "Rp", "")</f>
        <v>14868200</v>
      </c>
    </row>
    <row r="598">
      <c r="A598" s="8" t="s">
        <v>1265</v>
      </c>
      <c r="B598" s="13" t="str">
        <f>HYPERLINK("https://shopee.co.id/Azarine-Vitamin-Lab-Series-Beauty-is-Fun-x-Nanda-Arsyinta-i.80036545.8848449285", "https://shopee.co.id/Azarine-Vitamin-Lab-Series-Beauty-is-Fun-x-Nanda-Arsyinta-i.80036545.8848449285")</f>
        <v>https://shopee.co.id/Azarine-Vitamin-Lab-Series-Beauty-is-Fun-x-Nanda-Arsyinta-i.80036545.8848449285</v>
      </c>
      <c r="C598" s="8" t="s">
        <v>233</v>
      </c>
      <c r="D598" s="8" t="s">
        <v>234</v>
      </c>
      <c r="E598" s="8" t="s">
        <v>12</v>
      </c>
      <c r="F598" s="8" t="s">
        <v>13</v>
      </c>
      <c r="G598" s="8" t="s">
        <v>115</v>
      </c>
      <c r="H598" s="16">
        <v>77.0</v>
      </c>
      <c r="I598" s="15" t="str">
        <f>SUBSTITUTE(Sheet1!K598, "Rp", "")</f>
        <v>11532500</v>
      </c>
    </row>
    <row r="599">
      <c r="A599" s="8" t="s">
        <v>1645</v>
      </c>
      <c r="B599" s="13" t="str">
        <f>HYPERLINK("https://shopee.co.id/Luxcrime-Venus-Serum-Hydrating-Glowing-i.3278276.1819072253", "https://shopee.co.id/Luxcrime-Venus-Serum-Hydrating-Glowing-i.3278276.1819072253")</f>
        <v>https://shopee.co.id/Luxcrime-Venus-Serum-Hydrating-Glowing-i.3278276.1819072253</v>
      </c>
      <c r="C599" s="8" t="s">
        <v>1646</v>
      </c>
      <c r="D599" s="8" t="s">
        <v>1647</v>
      </c>
      <c r="E599" s="8" t="s">
        <v>12</v>
      </c>
      <c r="F599" s="8" t="s">
        <v>13</v>
      </c>
      <c r="G599" s="8" t="s">
        <v>98</v>
      </c>
      <c r="H599" s="16">
        <v>77.0</v>
      </c>
      <c r="I599" s="15" t="str">
        <f>SUBSTITUTE(Sheet1!K599, "Rp", "")</f>
        <v>5859000</v>
      </c>
    </row>
    <row r="600">
      <c r="A600" s="8" t="s">
        <v>1713</v>
      </c>
      <c r="B600" s="13" t="str">
        <f>HYPERLINK("https://shopee.co.id/Safi-Age-Defy-Gold-Water-Essence-30-ml-Naturals-Micellar-Water-with-Rose-100-ml-i.63823668.7643851852", "https://shopee.co.id/Safi-Age-Defy-Gold-Water-Essence-30-ml-Naturals-Micellar-Water-with-Rose-100-ml-i.63823668.7643851852")</f>
        <v>https://shopee.co.id/Safi-Age-Defy-Gold-Water-Essence-30-ml-Naturals-Micellar-Water-with-Rose-100-ml-i.63823668.7643851852</v>
      </c>
      <c r="C600" s="8" t="s">
        <v>278</v>
      </c>
      <c r="D600" s="8" t="s">
        <v>279</v>
      </c>
      <c r="E600" s="8" t="s">
        <v>12</v>
      </c>
      <c r="F600" s="8" t="s">
        <v>13</v>
      </c>
      <c r="G600" s="8" t="s">
        <v>61</v>
      </c>
      <c r="H600" s="16">
        <v>77.0</v>
      </c>
      <c r="I600" s="15" t="str">
        <f>SUBSTITUTE(Sheet1!K600, "Rp", "")</f>
        <v>5277800</v>
      </c>
    </row>
    <row r="601">
      <c r="A601" s="8" t="s">
        <v>2438</v>
      </c>
      <c r="B601" s="13" t="str">
        <f>HYPERLINK("https://shopee.co.id/SNP-mini-Shea-Butter-Moisture-Serum-i.88399725.6125364515", "https://shopee.co.id/SNP-mini-Shea-Butter-Moisture-Serum-i.88399725.6125364515")</f>
        <v>https://shopee.co.id/SNP-mini-Shea-Butter-Moisture-Serum-i.88399725.6125364515</v>
      </c>
      <c r="C601" s="8" t="s">
        <v>565</v>
      </c>
      <c r="D601" s="8" t="s">
        <v>566</v>
      </c>
      <c r="E601" s="8" t="s">
        <v>12</v>
      </c>
      <c r="F601" s="8" t="s">
        <v>13</v>
      </c>
      <c r="G601" s="8" t="s">
        <v>98</v>
      </c>
      <c r="H601" s="16">
        <v>77.0</v>
      </c>
      <c r="I601" s="15" t="str">
        <f>SUBSTITUTE(Sheet1!K601, "Rp", "")</f>
        <v>1854000</v>
      </c>
    </row>
    <row r="602">
      <c r="A602" s="8" t="s">
        <v>902</v>
      </c>
      <c r="B602" s="13" t="str">
        <f>HYPERLINK("https://shopee.co.id/Some-By-Mi-Aha-Bha-Pha-30-Days-Miracle-Serum-Light-i.455311481.7795273802", "https://shopee.co.id/Some-By-Mi-Aha-Bha-Pha-30-Days-Miracle-Serum-Light-i.455311481.7795273802")</f>
        <v>https://shopee.co.id/Some-By-Mi-Aha-Bha-Pha-30-Days-Miracle-Serum-Light-i.455311481.7795273802</v>
      </c>
      <c r="C602" s="8" t="s">
        <v>213</v>
      </c>
      <c r="D602" s="8" t="s">
        <v>214</v>
      </c>
      <c r="E602" s="8" t="s">
        <v>12</v>
      </c>
      <c r="F602" s="8" t="s">
        <v>13</v>
      </c>
      <c r="G602" s="8" t="s">
        <v>130</v>
      </c>
      <c r="H602" s="16">
        <v>77.0</v>
      </c>
      <c r="I602" s="15" t="str">
        <f>SUBSTITUTE(Sheet1!K602, "Rp", "")</f>
        <v>23615900</v>
      </c>
    </row>
    <row r="603">
      <c r="A603" s="8" t="s">
        <v>2824</v>
      </c>
      <c r="B603" s="13" t="str">
        <f>HYPERLINK("https://shopee.co.id/SYB-Forte-Serum-Vitamin-C-i.150222332.2329559210", "https://shopee.co.id/SYB-Forte-Serum-Vitamin-C-i.150222332.2329559210")</f>
        <v>https://shopee.co.id/SYB-Forte-Serum-Vitamin-C-i.150222332.2329559210</v>
      </c>
      <c r="C603" s="8" t="s">
        <v>1736</v>
      </c>
      <c r="D603" s="8" t="s">
        <v>1737</v>
      </c>
      <c r="E603" s="8" t="s">
        <v>12</v>
      </c>
      <c r="F603" s="8" t="s">
        <v>13</v>
      </c>
      <c r="G603" s="8" t="s">
        <v>350</v>
      </c>
      <c r="H603" s="16">
        <v>77.0</v>
      </c>
      <c r="I603" s="15" t="str">
        <f>SUBSTITUTE(Sheet1!K603, "Rp", "")</f>
        <v>1017000</v>
      </c>
    </row>
    <row r="604">
      <c r="A604" s="8" t="s">
        <v>669</v>
      </c>
      <c r="B604" s="13" t="str">
        <f>HYPERLINK("https://shopee.co.id/-innisfree-Brightening-Pore-Serum-Bundle-i.61504589.9652091396", "https://shopee.co.id/-innisfree-Brightening-Pore-Serum-Bundle-i.61504589.9652091396")</f>
        <v>https://shopee.co.id/-innisfree-Brightening-Pore-Serum-Bundle-i.61504589.9652091396</v>
      </c>
      <c r="C604" s="8" t="s">
        <v>294</v>
      </c>
      <c r="D604" s="8" t="s">
        <v>295</v>
      </c>
      <c r="E604" s="8" t="s">
        <v>12</v>
      </c>
      <c r="F604" s="8" t="s">
        <v>13</v>
      </c>
      <c r="G604" s="8" t="s">
        <v>296</v>
      </c>
      <c r="H604" s="16">
        <v>76.0</v>
      </c>
      <c r="I604" s="15" t="str">
        <f>SUBSTITUTE(Sheet1!K604, "Rp", "")</f>
        <v>42410000</v>
      </c>
    </row>
    <row r="605">
      <c r="A605" s="8" t="s">
        <v>1281</v>
      </c>
      <c r="B605" s="13" t="str">
        <f>HYPERLINK("https://shopee.co.id/ERHA-X-AQUA-Re-Fresh-Hydrating-Serum-i.129153987.9912878730", "https://shopee.co.id/ERHA-X-AQUA-Re-Fresh-Hydrating-Serum-i.129153987.9912878730")</f>
        <v>https://shopee.co.id/ERHA-X-AQUA-Re-Fresh-Hydrating-Serum-i.129153987.9912878730</v>
      </c>
      <c r="C605" s="8" t="s">
        <v>181</v>
      </c>
      <c r="D605" s="8" t="s">
        <v>182</v>
      </c>
      <c r="E605" s="8" t="s">
        <v>12</v>
      </c>
      <c r="F605" s="8" t="s">
        <v>13</v>
      </c>
      <c r="G605" s="8" t="s">
        <v>61</v>
      </c>
      <c r="H605" s="16">
        <v>76.0</v>
      </c>
      <c r="I605" s="15" t="str">
        <f>SUBSTITUTE(Sheet1!K605, "Rp", "")</f>
        <v>11089200</v>
      </c>
    </row>
    <row r="606">
      <c r="A606" s="8" t="s">
        <v>1980</v>
      </c>
      <c r="B606" s="13" t="str">
        <f>HYPERLINK("https://shopee.co.id/Garnier-Sakura-Glow-Hyaluron-Water-Glow-Essence-Skin-Care-Untuk-Kulit-Glowing-Dari-Dalam--i.62583853.8020295553", "https://shopee.co.id/Garnier-Sakura-Glow-Hyaluron-Water-Glow-Essence-Skin-Care-Untuk-Kulit-Glowing-Dari-Dalam--i.62583853.8020295553")</f>
        <v>https://shopee.co.id/Garnier-Sakura-Glow-Hyaluron-Water-Glow-Essence-Skin-Care-Untuk-Kulit-Glowing-Dari-Dalam--i.62583853.8020295553</v>
      </c>
      <c r="C606" s="8" t="s">
        <v>74</v>
      </c>
      <c r="D606" s="8" t="s">
        <v>75</v>
      </c>
      <c r="E606" s="8" t="s">
        <v>12</v>
      </c>
      <c r="F606" s="8" t="s">
        <v>13</v>
      </c>
      <c r="G606" s="8" t="s">
        <v>61</v>
      </c>
      <c r="H606" s="16">
        <v>76.0</v>
      </c>
      <c r="I606" s="15" t="str">
        <f>SUBSTITUTE(Sheet1!K606, "Rp", "")</f>
        <v>3564300</v>
      </c>
    </row>
    <row r="607">
      <c r="A607" s="8" t="s">
        <v>1396</v>
      </c>
      <c r="B607" s="13" t="str">
        <f>HYPERLINK("https://shopee.co.id/L-Oreal-Paris-Revitalift-Crystal-Micro-Essence-Serum-Mask-Skin-Care-Buy-3-Get-3-i.62579622.6970580158", "https://shopee.co.id/L-Oreal-Paris-Revitalift-Crystal-Micro-Essence-Serum-Mask-Skin-Care-Buy-3-Get-3-i.62579622.6970580158")</f>
        <v>https://shopee.co.id/L-Oreal-Paris-Revitalift-Crystal-Micro-Essence-Serum-Mask-Skin-Care-Buy-3-Get-3-i.62579622.6970580158</v>
      </c>
      <c r="C607" s="8" t="s">
        <v>105</v>
      </c>
      <c r="D607" s="8" t="s">
        <v>106</v>
      </c>
      <c r="E607" s="8" t="s">
        <v>12</v>
      </c>
      <c r="F607" s="8" t="s">
        <v>13</v>
      </c>
      <c r="G607" s="8" t="s">
        <v>61</v>
      </c>
      <c r="H607" s="16">
        <v>76.0</v>
      </c>
      <c r="I607" s="15" t="str">
        <f>SUBSTITUTE(Sheet1!K607, "Rp", "")</f>
        <v>8955400</v>
      </c>
    </row>
    <row r="608">
      <c r="A608" s="8" t="s">
        <v>1667</v>
      </c>
      <c r="B608" s="13" t="str">
        <f>HYPERLINK("https://shopee.co.id/Roro-Mendut-Temulawak-Pore-Control-Serum-i.87869551.4267757677", "https://shopee.co.id/Roro-Mendut-Temulawak-Pore-Control-Serum-i.87869551.4267757677")</f>
        <v>https://shopee.co.id/Roro-Mendut-Temulawak-Pore-Control-Serum-i.87869551.4267757677</v>
      </c>
      <c r="C608" s="8" t="s">
        <v>1526</v>
      </c>
      <c r="D608" s="8" t="s">
        <v>1527</v>
      </c>
      <c r="E608" s="8" t="s">
        <v>12</v>
      </c>
      <c r="F608" s="8" t="s">
        <v>13</v>
      </c>
      <c r="G608" s="8" t="s">
        <v>380</v>
      </c>
      <c r="H608" s="16">
        <v>76.0</v>
      </c>
      <c r="I608" s="15" t="str">
        <f>SUBSTITUTE(Sheet1!K608, "Rp", "")</f>
        <v>5758566</v>
      </c>
    </row>
    <row r="609">
      <c r="A609" s="8" t="s">
        <v>1356</v>
      </c>
      <c r="B609" s="13" t="str">
        <f>HYPERLINK("https://shopee.co.id/YOU-Biomecera-Advanced-Booster-Serum-20-ml-i.72375863.10348355112", "https://shopee.co.id/YOU-Biomecera-Advanced-Booster-Serum-20-ml-i.72375863.10348355112")</f>
        <v>https://shopee.co.id/YOU-Biomecera-Advanced-Booster-Serum-20-ml-i.72375863.10348355112</v>
      </c>
      <c r="C609" s="8" t="s">
        <v>128</v>
      </c>
      <c r="D609" s="8" t="s">
        <v>129</v>
      </c>
      <c r="E609" s="8" t="s">
        <v>12</v>
      </c>
      <c r="F609" s="8" t="s">
        <v>13</v>
      </c>
      <c r="G609" s="8" t="s">
        <v>130</v>
      </c>
      <c r="H609" s="16">
        <v>76.0</v>
      </c>
      <c r="I609" s="15" t="str">
        <f>SUBSTITUTE(Sheet1!K609, "Rp", "")</f>
        <v>9762600</v>
      </c>
    </row>
    <row r="610">
      <c r="A610" s="8" t="s">
        <v>1060</v>
      </c>
      <c r="B610" s="13" t="str">
        <f>HYPERLINK("https://shopee.co.id/Evershine-Pure-Bakuchiol-2-Blemish-Age-Define-Serum-Natural-Alternatif-Retinol-Anti-aging-i.73969875.11423981242", "https://shopee.co.id/Evershine-Pure-Bakuchiol-2-Blemish-Age-Define-Serum-Natural-Alternatif-Retinol-Anti-aging-i.73969875.11423981242")</f>
        <v>https://shopee.co.id/Evershine-Pure-Bakuchiol-2-Blemish-Age-Define-Serum-Natural-Alternatif-Retinol-Anti-aging-i.73969875.11423981242</v>
      </c>
      <c r="C610" s="8" t="s">
        <v>1061</v>
      </c>
      <c r="D610" s="8" t="s">
        <v>896</v>
      </c>
      <c r="E610" s="8" t="s">
        <v>12</v>
      </c>
      <c r="F610" s="8" t="s">
        <v>13</v>
      </c>
      <c r="G610" s="8" t="s">
        <v>21</v>
      </c>
      <c r="H610" s="16">
        <v>75.0</v>
      </c>
      <c r="I610" s="15" t="str">
        <f>SUBSTITUTE(Sheet1!K610, "Rp", "")</f>
        <v>16465000</v>
      </c>
    </row>
    <row r="611">
      <c r="A611" s="8" t="s">
        <v>1194</v>
      </c>
      <c r="B611" s="13" t="str">
        <f>HYPERLINK("https://shopee.co.id/NMW-Serum-Vit-C-20Ml-i.240100481.3922912800", "https://shopee.co.id/NMW-Serum-Vit-C-20Ml-i.240100481.3922912800")</f>
        <v>https://shopee.co.id/NMW-Serum-Vit-C-20Ml-i.240100481.3922912800</v>
      </c>
      <c r="C611" s="8" t="s">
        <v>1195</v>
      </c>
      <c r="D611" s="8" t="s">
        <v>1196</v>
      </c>
      <c r="E611" s="8" t="s">
        <v>12</v>
      </c>
      <c r="F611" s="8" t="s">
        <v>13</v>
      </c>
      <c r="G611" s="8" t="s">
        <v>98</v>
      </c>
      <c r="H611" s="16">
        <v>75.0</v>
      </c>
      <c r="I611" s="15" t="str">
        <f>SUBSTITUTE(Sheet1!K611, "Rp", "")</f>
        <v>13125000</v>
      </c>
    </row>
    <row r="612">
      <c r="A612" s="8" t="s">
        <v>247</v>
      </c>
      <c r="B612" s="13" t="str">
        <f>HYPERLINK("https://shopee.co.id/Scarlett-Whitening-Paket-Reseller-48-Item-i.255365082.5332031961", "https://shopee.co.id/Scarlett-Whitening-Paket-Reseller-48-Item-i.255365082.5332031961")</f>
        <v>https://shopee.co.id/Scarlett-Whitening-Paket-Reseller-48-Item-i.255365082.5332031961</v>
      </c>
      <c r="C612" s="8" t="s">
        <v>19</v>
      </c>
      <c r="D612" s="8" t="s">
        <v>20</v>
      </c>
      <c r="E612" s="8" t="s">
        <v>12</v>
      </c>
      <c r="F612" s="8" t="s">
        <v>13</v>
      </c>
      <c r="G612" s="8" t="s">
        <v>21</v>
      </c>
      <c r="H612" s="16">
        <v>75.0</v>
      </c>
      <c r="I612" s="15" t="str">
        <f>SUBSTITUTE(Sheet1!K612, "Rp", "")</f>
        <v>187200000</v>
      </c>
    </row>
    <row r="613">
      <c r="A613" s="8" t="s">
        <v>942</v>
      </c>
      <c r="B613" s="13" t="str">
        <f>HYPERLINK("https://shopee.co.id/Sensatia-Botanicals-Seastem-Marine-Essence-150-ml-i.39248912.5608908220", "https://shopee.co.id/Sensatia-Botanicals-Seastem-Marine-Essence-150-ml-i.39248912.5608908220")</f>
        <v>https://shopee.co.id/Sensatia-Botanicals-Seastem-Marine-Essence-150-ml-i.39248912.5608908220</v>
      </c>
      <c r="C613" s="8" t="s">
        <v>943</v>
      </c>
      <c r="D613" s="8" t="s">
        <v>944</v>
      </c>
      <c r="E613" s="8" t="s">
        <v>12</v>
      </c>
      <c r="F613" s="8" t="s">
        <v>13</v>
      </c>
      <c r="G613" s="8" t="s">
        <v>945</v>
      </c>
      <c r="H613" s="16">
        <v>75.0</v>
      </c>
      <c r="I613" s="15" t="str">
        <f>SUBSTITUTE(Sheet1!K613, "Rp", "")</f>
        <v>21600000</v>
      </c>
    </row>
    <row r="614">
      <c r="A614" s="8" t="s">
        <v>2362</v>
      </c>
      <c r="B614" s="13" t="str">
        <f>HYPERLINK("https://shopee.co.id/SNP-mini-Royal-Honey-Essence-i.88399725.3625461406", "https://shopee.co.id/SNP-mini-Royal-Honey-Essence-i.88399725.3625461406")</f>
        <v>https://shopee.co.id/SNP-mini-Royal-Honey-Essence-i.88399725.3625461406</v>
      </c>
      <c r="C614" s="8" t="s">
        <v>565</v>
      </c>
      <c r="D614" s="8" t="s">
        <v>566</v>
      </c>
      <c r="E614" s="8" t="s">
        <v>12</v>
      </c>
      <c r="F614" s="8" t="s">
        <v>13</v>
      </c>
      <c r="G614" s="8" t="s">
        <v>98</v>
      </c>
      <c r="H614" s="16">
        <v>75.0</v>
      </c>
      <c r="I614" s="15" t="str">
        <f>SUBSTITUTE(Sheet1!K614, "Rp", "")</f>
        <v>2068480</v>
      </c>
    </row>
    <row r="615">
      <c r="A615" s="8" t="s">
        <v>1413</v>
      </c>
      <c r="B615" s="13" t="str">
        <f>HYPERLINK("https://shopee.co.id/SOMETHINC-10-Niacinamide-BARRIER-Serum-20ml-i.270965687.5991515957", "https://shopee.co.id/SOMETHINC-10-Niacinamide-BARRIER-Serum-20ml-i.270965687.5991515957")</f>
        <v>https://shopee.co.id/SOMETHINC-10-Niacinamide-BARRIER-Serum-20ml-i.270965687.5991515957</v>
      </c>
      <c r="C615" s="8" t="s">
        <v>45</v>
      </c>
      <c r="D615" s="8" t="s">
        <v>379</v>
      </c>
      <c r="E615" s="8" t="s">
        <v>12</v>
      </c>
      <c r="F615" s="8" t="s">
        <v>13</v>
      </c>
      <c r="G615" s="8" t="s">
        <v>380</v>
      </c>
      <c r="H615" s="16">
        <v>75.0</v>
      </c>
      <c r="I615" s="15" t="str">
        <f>SUBSTITUTE(Sheet1!K615, "Rp", "")</f>
        <v>8662500</v>
      </c>
    </row>
    <row r="616">
      <c r="A616" s="8" t="s">
        <v>2517</v>
      </c>
      <c r="B616" s="13" t="str">
        <f>HYPERLINK("https://shopee.co.id/Azarine-Anti-Acne-Brightening-Serum-20ml-i.50948181.3382563819", "https://shopee.co.id/Azarine-Anti-Acne-Brightening-Serum-20ml-i.50948181.3382563819")</f>
        <v>https://shopee.co.id/Azarine-Anti-Acne-Brightening-Serum-20ml-i.50948181.3382563819</v>
      </c>
      <c r="C616" s="8" t="s">
        <v>233</v>
      </c>
      <c r="D616" s="8" t="s">
        <v>1129</v>
      </c>
      <c r="E616" s="8" t="s">
        <v>12</v>
      </c>
      <c r="F616" s="8" t="s">
        <v>13</v>
      </c>
      <c r="G616" s="8" t="s">
        <v>1130</v>
      </c>
      <c r="H616" s="16">
        <v>74.0</v>
      </c>
      <c r="I616" s="15" t="str">
        <f>SUBSTITUTE(Sheet1!K616, "Rp", "")</f>
        <v>1661650</v>
      </c>
    </row>
    <row r="617">
      <c r="A617" s="8" t="s">
        <v>1369</v>
      </c>
      <c r="B617" s="13" t="str">
        <f>HYPERLINK("https://shopee.co.id/Airnderm-Aesthetic-Brightening-Serum-by-AIRIN-BEAUTY--i.112372548.3836177418", "https://shopee.co.id/Airnderm-Aesthetic-Brightening-Serum-by-AIRIN-BEAUTY--i.112372548.3836177418")</f>
        <v>https://shopee.co.id/Airnderm-Aesthetic-Brightening-Serum-by-AIRIN-BEAUTY--i.112372548.3836177418</v>
      </c>
      <c r="C617" s="8" t="s">
        <v>239</v>
      </c>
      <c r="D617" s="8" t="s">
        <v>240</v>
      </c>
      <c r="E617" s="8" t="s">
        <v>12</v>
      </c>
      <c r="F617" s="8" t="s">
        <v>13</v>
      </c>
      <c r="G617" s="8" t="s">
        <v>241</v>
      </c>
      <c r="H617" s="16">
        <v>74.0</v>
      </c>
      <c r="I617" s="15" t="str">
        <f>SUBSTITUTE(Sheet1!K617, "Rp", "")</f>
        <v>9520200</v>
      </c>
    </row>
    <row r="618">
      <c r="A618" s="8" t="s">
        <v>1324</v>
      </c>
      <c r="B618" s="13" t="str">
        <f>HYPERLINK("https://shopee.co.id/Aizen-Whitifique-Face-Cream-Cream-Pemutih-Pencerah-Kulit-Wajah-i.89939211.4970566430", "https://shopee.co.id/Aizen-Whitifique-Face-Cream-Cream-Pemutih-Pencerah-Kulit-Wajah-i.89939211.4970566430")</f>
        <v>https://shopee.co.id/Aizen-Whitifique-Face-Cream-Cream-Pemutih-Pencerah-Kulit-Wajah-i.89939211.4970566430</v>
      </c>
      <c r="C618" s="8" t="s">
        <v>1325</v>
      </c>
      <c r="D618" s="8" t="s">
        <v>1326</v>
      </c>
      <c r="E618" s="8" t="s">
        <v>12</v>
      </c>
      <c r="F618" s="8" t="s">
        <v>13</v>
      </c>
      <c r="G618" s="8" t="s">
        <v>14</v>
      </c>
      <c r="H618" s="16">
        <v>74.0</v>
      </c>
      <c r="I618" s="15" t="str">
        <f>SUBSTITUTE(Sheet1!K618, "Rp", "")</f>
        <v>10286000</v>
      </c>
    </row>
    <row r="619">
      <c r="A619" s="8" t="s">
        <v>1330</v>
      </c>
      <c r="B619" s="13" t="str">
        <f>HYPERLINK("https://shopee.co.id/AVOSKIN-YOUR-SKIN-BAE-SERIES-Vitamin-C-3-Niacinamide-2-Mandarin-Orange-Fruit-Exctract-Serum-i.68111.8474974352", "https://shopee.co.id/AVOSKIN-YOUR-SKIN-BAE-SERIES-Vitamin-C-3-Niacinamide-2-Mandarin-Orange-Fruit-Exctract-Serum-i.68111.8474974352")</f>
        <v>https://shopee.co.id/AVOSKIN-YOUR-SKIN-BAE-SERIES-Vitamin-C-3-Niacinamide-2-Mandarin-Orange-Fruit-Exctract-Serum-i.68111.8474974352</v>
      </c>
      <c r="C619" s="8" t="s">
        <v>83</v>
      </c>
      <c r="D619" s="8" t="s">
        <v>441</v>
      </c>
      <c r="E619" s="8" t="s">
        <v>12</v>
      </c>
      <c r="F619" s="8" t="s">
        <v>13</v>
      </c>
      <c r="G619" s="8" t="s">
        <v>130</v>
      </c>
      <c r="H619" s="16">
        <v>74.0</v>
      </c>
      <c r="I619" s="15" t="str">
        <f>SUBSTITUTE(Sheet1!K619, "Rp", "")</f>
        <v>10188700</v>
      </c>
    </row>
    <row r="620">
      <c r="A620" s="8" t="s">
        <v>981</v>
      </c>
      <c r="B620" s="13" t="str">
        <f>HYPERLINK("https://shopee.co.id/BHUMI-Acid-Complex-Clearing-Serum-i.37421755.2751171750", "https://shopee.co.id/BHUMI-Acid-Complex-Clearing-Serum-i.37421755.2751171750")</f>
        <v>https://shopee.co.id/BHUMI-Acid-Complex-Clearing-Serum-i.37421755.2751171750</v>
      </c>
      <c r="C620" s="8" t="s">
        <v>753</v>
      </c>
      <c r="D620" s="8" t="s">
        <v>754</v>
      </c>
      <c r="E620" s="8" t="s">
        <v>12</v>
      </c>
      <c r="F620" s="8" t="s">
        <v>13</v>
      </c>
      <c r="G620" s="8" t="s">
        <v>469</v>
      </c>
      <c r="H620" s="16">
        <v>74.0</v>
      </c>
      <c r="I620" s="15" t="str">
        <f>SUBSTITUTE(Sheet1!K620, "Rp", "")</f>
        <v>19698100</v>
      </c>
    </row>
    <row r="621">
      <c r="A621" s="8" t="s">
        <v>1783</v>
      </c>
      <c r="B621" s="13" t="str">
        <f>HYPERLINK("https://shopee.co.id/BREYLEE-SETS-of-SERUM-A-Mencerahkan-Mengencangkan-Wajah-2pcs--i.324706771.3768902792", "https://shopee.co.id/BREYLEE-SETS-of-SERUM-A-Mencerahkan-Mengencangkan-Wajah-2pcs--i.324706771.3768902792")</f>
        <v>https://shopee.co.id/BREYLEE-SETS-of-SERUM-A-Mencerahkan-Mengencangkan-Wajah-2pcs--i.324706771.3768902792</v>
      </c>
      <c r="C621" s="8" t="s">
        <v>852</v>
      </c>
      <c r="D621" s="8" t="s">
        <v>853</v>
      </c>
      <c r="E621" s="8" t="s">
        <v>12</v>
      </c>
      <c r="F621" s="8" t="s">
        <v>13</v>
      </c>
      <c r="G621" s="8" t="s">
        <v>532</v>
      </c>
      <c r="H621" s="16">
        <v>74.0</v>
      </c>
      <c r="I621" s="15" t="str">
        <f>SUBSTITUTE(Sheet1!K621, "Rp", "")</f>
        <v>4816000</v>
      </c>
    </row>
    <row r="622">
      <c r="A622" s="8" t="s">
        <v>1391</v>
      </c>
      <c r="B622" s="13" t="str">
        <f>HYPERLINK("https://shopee.co.id/GEUT-BY-DR-T-REVITALIZE-Vitamin-C-Serum-10ml-i.430986274.2969728305", "https://shopee.co.id/GEUT-BY-DR-T-REVITALIZE-Vitamin-C-Serum-10ml-i.430986274.2969728305")</f>
        <v>https://shopee.co.id/GEUT-BY-DR-T-REVITALIZE-Vitamin-C-Serum-10ml-i.430986274.2969728305</v>
      </c>
      <c r="C622" s="8" t="s">
        <v>1167</v>
      </c>
      <c r="D622" s="8" t="s">
        <v>1168</v>
      </c>
      <c r="E622" s="8" t="s">
        <v>12</v>
      </c>
      <c r="F622" s="8" t="s">
        <v>13</v>
      </c>
      <c r="G622" s="8" t="s">
        <v>21</v>
      </c>
      <c r="H622" s="16">
        <v>74.0</v>
      </c>
      <c r="I622" s="15" t="str">
        <f>SUBSTITUTE(Sheet1!K622, "Rp", "")</f>
        <v>9181580</v>
      </c>
    </row>
    <row r="623">
      <c r="A623" s="8" t="s">
        <v>1625</v>
      </c>
      <c r="B623" s="13" t="str">
        <f>HYPERLINK("https://shopee.co.id/KF-Skin-Acne-Serum-i.298365554.7752068608", "https://shopee.co.id/KF-Skin-Acne-Serum-i.298365554.7752068608")</f>
        <v>https://shopee.co.id/KF-Skin-Acne-Serum-i.298365554.7752068608</v>
      </c>
      <c r="C623" s="8" t="s">
        <v>1290</v>
      </c>
      <c r="D623" s="8" t="s">
        <v>1291</v>
      </c>
      <c r="E623" s="8" t="s">
        <v>12</v>
      </c>
      <c r="F623" s="8" t="s">
        <v>13</v>
      </c>
      <c r="G623" s="8" t="s">
        <v>1292</v>
      </c>
      <c r="H623" s="16">
        <v>74.0</v>
      </c>
      <c r="I623" s="15" t="str">
        <f>SUBSTITUTE(Sheet1!K623, "Rp", "")</f>
        <v>6178500</v>
      </c>
    </row>
    <row r="624">
      <c r="A624" s="8" t="s">
        <v>1294</v>
      </c>
      <c r="B624" s="13" t="str">
        <f>HYPERLINK("https://shopee.co.id/Langsre-Good-Times-AHA-ed-Serum-30ml-i.24099389.6560082680", "https://shopee.co.id/Langsre-Good-Times-AHA-ed-Serum-30ml-i.24099389.6560082680")</f>
        <v>https://shopee.co.id/Langsre-Good-Times-AHA-ed-Serum-30ml-i.24099389.6560082680</v>
      </c>
      <c r="C624" s="8" t="s">
        <v>1295</v>
      </c>
      <c r="D624" s="8" t="s">
        <v>1296</v>
      </c>
      <c r="E624" s="8" t="s">
        <v>12</v>
      </c>
      <c r="F624" s="8" t="s">
        <v>13</v>
      </c>
      <c r="G624" s="8" t="s">
        <v>532</v>
      </c>
      <c r="H624" s="16">
        <v>74.0</v>
      </c>
      <c r="I624" s="15" t="str">
        <f>SUBSTITUTE(Sheet1!K624, "Rp", "")</f>
        <v>10832500</v>
      </c>
    </row>
    <row r="625">
      <c r="A625" s="8" t="s">
        <v>1477</v>
      </c>
      <c r="B625" s="13" t="str">
        <f>HYPERLINK("https://shopee.co.id/Mirelle-Glossy-Serum-Glossy-Series--i.303332419.3667027767", "https://shopee.co.id/Mirelle-Glossy-Serum-Glossy-Series--i.303332419.3667027767")</f>
        <v>https://shopee.co.id/Mirelle-Glossy-Serum-Glossy-Series--i.303332419.3667027767</v>
      </c>
      <c r="C625" s="8" t="s">
        <v>1478</v>
      </c>
      <c r="D625" s="8" t="s">
        <v>1479</v>
      </c>
      <c r="E625" s="8" t="s">
        <v>12</v>
      </c>
      <c r="F625" s="8" t="s">
        <v>13</v>
      </c>
      <c r="G625" s="8" t="s">
        <v>1480</v>
      </c>
      <c r="H625" s="16">
        <v>74.0</v>
      </c>
      <c r="I625" s="15" t="str">
        <f>SUBSTITUTE(Sheet1!K625, "Rp", "")</f>
        <v>7881000</v>
      </c>
    </row>
    <row r="626">
      <c r="A626" s="8" t="s">
        <v>1490</v>
      </c>
      <c r="B626" s="13" t="str">
        <f>HYPERLINK("https://shopee.co.id/MSBB-Avoskin-Hydrating-Treatment-Essence-i.288588702.7543553539", "https://shopee.co.id/MSBB-Avoskin-Hydrating-Treatment-Essence-i.288588702.7543553539")</f>
        <v>https://shopee.co.id/MSBB-Avoskin-Hydrating-Treatment-Essence-i.288588702.7543553539</v>
      </c>
      <c r="C626" s="8" t="s">
        <v>83</v>
      </c>
      <c r="D626" s="8" t="s">
        <v>79</v>
      </c>
      <c r="E626" s="8" t="s">
        <v>12</v>
      </c>
      <c r="F626" s="8" t="s">
        <v>13</v>
      </c>
      <c r="G626" s="8" t="s">
        <v>80</v>
      </c>
      <c r="H626" s="16">
        <v>74.0</v>
      </c>
      <c r="I626" s="15" t="str">
        <f>SUBSTITUTE(Sheet1!K626, "Rp", "")</f>
        <v>7826200</v>
      </c>
    </row>
    <row r="627">
      <c r="A627" s="8" t="s">
        <v>1539</v>
      </c>
      <c r="B627" s="13" t="str">
        <f>HYPERLINK("https://shopee.co.id/Natur-Miracle-Brightening-Face-Serum-Vitamin-C-Sour-Lime-i.38631574.3333422021", "https://shopee.co.id/Natur-Miracle-Brightening-Face-Serum-Vitamin-C-Sour-Lime-i.38631574.3333422021")</f>
        <v>https://shopee.co.id/Natur-Miracle-Brightening-Face-Serum-Vitamin-C-Sour-Lime-i.38631574.3333422021</v>
      </c>
      <c r="C627" s="8" t="s">
        <v>1234</v>
      </c>
      <c r="D627" s="8" t="s">
        <v>1235</v>
      </c>
      <c r="E627" s="8" t="s">
        <v>12</v>
      </c>
      <c r="F627" s="8" t="s">
        <v>13</v>
      </c>
      <c r="G627" s="8" t="s">
        <v>469</v>
      </c>
      <c r="H627" s="16">
        <v>74.0</v>
      </c>
      <c r="I627" s="15" t="str">
        <f>SUBSTITUTE(Sheet1!K627, "Rp", "")</f>
        <v>7221000</v>
      </c>
    </row>
    <row r="628">
      <c r="A628" s="8" t="s">
        <v>1205</v>
      </c>
      <c r="B628" s="13" t="str">
        <f>HYPERLINK("https://shopee.co.id/Olay-Regenerist-RETINOL-24-Serum-30ml-i.30736001.11701956571", "https://shopee.co.id/Olay-Regenerist-RETINOL-24-Serum-30ml-i.30736001.11701956571")</f>
        <v>https://shopee.co.id/Olay-Regenerist-RETINOL-24-Serum-30ml-i.30736001.11701956571</v>
      </c>
      <c r="C628" s="8" t="s">
        <v>317</v>
      </c>
      <c r="D628" s="8" t="s">
        <v>335</v>
      </c>
      <c r="E628" s="8" t="s">
        <v>12</v>
      </c>
      <c r="F628" s="8" t="s">
        <v>13</v>
      </c>
      <c r="G628" s="8" t="s">
        <v>36</v>
      </c>
      <c r="H628" s="16">
        <v>74.0</v>
      </c>
      <c r="I628" s="15" t="str">
        <f>SUBSTITUTE(Sheet1!K628, "Rp", "")</f>
        <v>12874600</v>
      </c>
    </row>
    <row r="629">
      <c r="A629" s="8" t="s">
        <v>1389</v>
      </c>
      <c r="B629" s="13" t="str">
        <f>HYPERLINK("https://shopee.co.id/SECA-BAKUCHIOL-1-Serum-i.373749700.9972910134", "https://shopee.co.id/SECA-BAKUCHIOL-1-Serum-i.373749700.9972910134")</f>
        <v>https://shopee.co.id/SECA-BAKUCHIOL-1-Serum-i.373749700.9972910134</v>
      </c>
      <c r="C629" s="8" t="s">
        <v>985</v>
      </c>
      <c r="D629" s="8" t="s">
        <v>986</v>
      </c>
      <c r="E629" s="8" t="s">
        <v>12</v>
      </c>
      <c r="F629" s="8" t="s">
        <v>13</v>
      </c>
      <c r="G629" s="8" t="s">
        <v>36</v>
      </c>
      <c r="H629" s="16">
        <v>74.0</v>
      </c>
      <c r="I629" s="15" t="str">
        <f>SUBSTITUTE(Sheet1!K629, "Rp", "")</f>
        <v>9210600</v>
      </c>
    </row>
    <row r="630">
      <c r="A630" s="8" t="s">
        <v>1336</v>
      </c>
      <c r="B630" s="13" t="str">
        <f>HYPERLINK("https://shopee.co.id/Avoskin-Perfect-Hydrating-Treatment-Essence-30-ml--i.110573301.6368674114", "https://shopee.co.id/Avoskin-Perfect-Hydrating-Treatment-Essence-30-ml--i.110573301.6368674114")</f>
        <v>https://shopee.co.id/Avoskin-Perfect-Hydrating-Treatment-Essence-30-ml--i.110573301.6368674114</v>
      </c>
      <c r="C630" s="8" t="s">
        <v>83</v>
      </c>
      <c r="D630" s="8" t="s">
        <v>227</v>
      </c>
      <c r="E630" s="8" t="s">
        <v>12</v>
      </c>
      <c r="F630" s="8" t="s">
        <v>13</v>
      </c>
      <c r="G630" s="8" t="s">
        <v>61</v>
      </c>
      <c r="H630" s="16">
        <v>73.0</v>
      </c>
      <c r="I630" s="15" t="str">
        <f>SUBSTITUTE(Sheet1!K630, "Rp", "")</f>
        <v>10095900</v>
      </c>
    </row>
    <row r="631">
      <c r="A631" s="8" t="s">
        <v>1334</v>
      </c>
      <c r="B631" s="13" t="str">
        <f>HYPERLINK("https://shopee.co.id/AVOSKIN-YOUR-SKIN-BAE-SERIES-Alpha-Arbutin-3-Grapeseed-30ml-i.68111.6686397325", "https://shopee.co.id/AVOSKIN-YOUR-SKIN-BAE-SERIES-Alpha-Arbutin-3-Grapeseed-30ml-i.68111.6686397325")</f>
        <v>https://shopee.co.id/AVOSKIN-YOUR-SKIN-BAE-SERIES-Alpha-Arbutin-3-Grapeseed-30ml-i.68111.6686397325</v>
      </c>
      <c r="C631" s="8" t="s">
        <v>83</v>
      </c>
      <c r="D631" s="8" t="s">
        <v>441</v>
      </c>
      <c r="E631" s="8" t="s">
        <v>12</v>
      </c>
      <c r="F631" s="8" t="s">
        <v>13</v>
      </c>
      <c r="G631" s="8" t="s">
        <v>130</v>
      </c>
      <c r="H631" s="16">
        <v>73.0</v>
      </c>
      <c r="I631" s="15" t="str">
        <f>SUBSTITUTE(Sheet1!K631, "Rp", "")</f>
        <v>10133100</v>
      </c>
    </row>
    <row r="632">
      <c r="A632" s="8" t="s">
        <v>1987</v>
      </c>
      <c r="B632" s="13" t="str">
        <f>HYPERLINK("https://shopee.co.id/Azarine-Lightening-Serum-20-ml-C-White-i.110573301.6685906490", "https://shopee.co.id/Azarine-Lightening-Serum-20-ml-C-White-i.110573301.6685906490")</f>
        <v>https://shopee.co.id/Azarine-Lightening-Serum-20-ml-C-White-i.110573301.6685906490</v>
      </c>
      <c r="C632" s="8" t="s">
        <v>233</v>
      </c>
      <c r="D632" s="8" t="s">
        <v>227</v>
      </c>
      <c r="E632" s="8" t="s">
        <v>12</v>
      </c>
      <c r="F632" s="8" t="s">
        <v>13</v>
      </c>
      <c r="G632" s="8" t="s">
        <v>61</v>
      </c>
      <c r="H632" s="16">
        <v>73.0</v>
      </c>
      <c r="I632" s="15" t="str">
        <f>SUBSTITUTE(Sheet1!K632, "Rp", "")</f>
        <v>3543700</v>
      </c>
    </row>
    <row r="633">
      <c r="A633" s="8" t="s">
        <v>1181</v>
      </c>
      <c r="B633" s="13" t="str">
        <f>HYPERLINK("https://shopee.co.id/COSRX-Advanced-Snail-96-Mucin-Power-Essence-100ml-i.270965687.5836907183", "https://shopee.co.id/COSRX-Advanced-Snail-96-Mucin-Power-Essence-100ml-i.270965687.5836907183")</f>
        <v>https://shopee.co.id/COSRX-Advanced-Snail-96-Mucin-Power-Essence-100ml-i.270965687.5836907183</v>
      </c>
      <c r="C633" s="8" t="s">
        <v>305</v>
      </c>
      <c r="D633" s="8" t="s">
        <v>379</v>
      </c>
      <c r="E633" s="8" t="s">
        <v>12</v>
      </c>
      <c r="F633" s="8" t="s">
        <v>13</v>
      </c>
      <c r="G633" s="8" t="s">
        <v>380</v>
      </c>
      <c r="H633" s="16">
        <v>72.0</v>
      </c>
      <c r="I633" s="15" t="str">
        <f>SUBSTITUTE(Sheet1!K633, "Rp", "")</f>
        <v>13356000</v>
      </c>
    </row>
    <row r="634">
      <c r="A634" s="8" t="s">
        <v>1138</v>
      </c>
      <c r="B634" s="13" t="str">
        <f>HYPERLINK("https://shopee.co.id/SOMETHINC-Niacinamide-Moisture-Beet-Serum-40-ml--i.68111.6718306335", "https://shopee.co.id/SOMETHINC-Niacinamide-Moisture-Beet-Serum-40-ml--i.68111.6718306335")</f>
        <v>https://shopee.co.id/SOMETHINC-Niacinamide-Moisture-Beet-Serum-40-ml--i.68111.6718306335</v>
      </c>
      <c r="C634" s="8" t="s">
        <v>45</v>
      </c>
      <c r="D634" s="8" t="s">
        <v>441</v>
      </c>
      <c r="E634" s="8" t="s">
        <v>12</v>
      </c>
      <c r="F634" s="8" t="s">
        <v>13</v>
      </c>
      <c r="G634" s="8" t="s">
        <v>130</v>
      </c>
      <c r="H634" s="16">
        <v>72.0</v>
      </c>
      <c r="I634" s="15" t="str">
        <f>SUBSTITUTE(Sheet1!K634, "Rp", "")</f>
        <v>14328000</v>
      </c>
    </row>
    <row r="635">
      <c r="A635" s="8" t="s">
        <v>1311</v>
      </c>
      <c r="B635" s="13" t="str">
        <f>HYPERLINK("https://shopee.co.id/THANA-Orchid-Radiant-Glow-Ampoule-i.313062064.5954487932", "https://shopee.co.id/THANA-Orchid-Radiant-Glow-Ampoule-i.313062064.5954487932")</f>
        <v>https://shopee.co.id/THANA-Orchid-Radiant-Glow-Ampoule-i.313062064.5954487932</v>
      </c>
      <c r="C635" s="8" t="s">
        <v>1312</v>
      </c>
      <c r="D635" s="8" t="s">
        <v>1313</v>
      </c>
      <c r="E635" s="8" t="s">
        <v>12</v>
      </c>
      <c r="F635" s="8" t="s">
        <v>13</v>
      </c>
      <c r="G635" s="8" t="s">
        <v>1314</v>
      </c>
      <c r="H635" s="16">
        <v>72.0</v>
      </c>
      <c r="I635" s="15" t="str">
        <f>SUBSTITUTE(Sheet1!K635, "Rp", "")</f>
        <v>10440000</v>
      </c>
    </row>
    <row r="636">
      <c r="A636" s="8" t="s">
        <v>742</v>
      </c>
      <c r="B636" s="13" t="str">
        <f>HYPERLINK("https://shopee.co.id/-innisfree-Black-Tea-Youth-Enhancing-Ampoule-30ML-i.61504589.5669719261", "https://shopee.co.id/-innisfree-Black-Tea-Youth-Enhancing-Ampoule-30ML-i.61504589.5669719261")</f>
        <v>https://shopee.co.id/-innisfree-Black-Tea-Youth-Enhancing-Ampoule-30ML-i.61504589.5669719261</v>
      </c>
      <c r="C636" s="8" t="s">
        <v>294</v>
      </c>
      <c r="D636" s="8" t="s">
        <v>295</v>
      </c>
      <c r="E636" s="8" t="s">
        <v>12</v>
      </c>
      <c r="F636" s="8" t="s">
        <v>13</v>
      </c>
      <c r="G636" s="8" t="s">
        <v>296</v>
      </c>
      <c r="H636" s="16">
        <v>71.0</v>
      </c>
      <c r="I636" s="15" t="str">
        <f>SUBSTITUTE(Sheet1!K636, "Rp", "")</f>
        <v>35424000</v>
      </c>
    </row>
    <row r="637">
      <c r="A637" s="8" t="s">
        <v>979</v>
      </c>
      <c r="B637" s="13" t="str">
        <f>HYPERLINK("https://shopee.co.id/BHUMI-G-Alpine-Brightening-Serum-i.37421755.2751064563", "https://shopee.co.id/BHUMI-G-Alpine-Brightening-Serum-i.37421755.2751064563")</f>
        <v>https://shopee.co.id/BHUMI-G-Alpine-Brightening-Serum-i.37421755.2751064563</v>
      </c>
      <c r="C637" s="8" t="s">
        <v>753</v>
      </c>
      <c r="D637" s="8" t="s">
        <v>754</v>
      </c>
      <c r="E637" s="8" t="s">
        <v>12</v>
      </c>
      <c r="F637" s="8" t="s">
        <v>13</v>
      </c>
      <c r="G637" s="8" t="s">
        <v>469</v>
      </c>
      <c r="H637" s="16">
        <v>71.0</v>
      </c>
      <c r="I637" s="15" t="str">
        <f>SUBSTITUTE(Sheet1!K637, "Rp", "")</f>
        <v>19761890</v>
      </c>
    </row>
    <row r="638">
      <c r="A638" s="8" t="s">
        <v>1111</v>
      </c>
      <c r="B638" s="13" t="str">
        <f>HYPERLINK("https://shopee.co.id/ElsheSkin-Vitamin-C-Serum-i.9035345.8963022044", "https://shopee.co.id/ElsheSkin-Vitamin-C-Serum-i.9035345.8963022044")</f>
        <v>https://shopee.co.id/ElsheSkin-Vitamin-C-Serum-i.9035345.8963022044</v>
      </c>
      <c r="C638" s="8" t="s">
        <v>135</v>
      </c>
      <c r="D638" s="8" t="s">
        <v>136</v>
      </c>
      <c r="E638" s="8" t="s">
        <v>12</v>
      </c>
      <c r="F638" s="8" t="s">
        <v>13</v>
      </c>
      <c r="G638" s="8" t="s">
        <v>80</v>
      </c>
      <c r="H638" s="16">
        <v>71.0</v>
      </c>
      <c r="I638" s="15" t="str">
        <f>SUBSTITUTE(Sheet1!K638, "Rp", "")</f>
        <v>14907200</v>
      </c>
    </row>
    <row r="639">
      <c r="A639" s="8" t="s">
        <v>1602</v>
      </c>
      <c r="B639" s="13" t="str">
        <f>HYPERLINK("https://shopee.co.id/ERTOS-Anti-Aging-Gold-Serum-Original-BPOM-100-ERTO-S-i.23831802.1593249056", "https://shopee.co.id/ERTOS-Anti-Aging-Gold-Serum-Original-BPOM-100-ERTO-S-i.23831802.1593249056")</f>
        <v>https://shopee.co.id/ERTOS-Anti-Aging-Gold-Serum-Original-BPOM-100-ERTO-S-i.23831802.1593249056</v>
      </c>
      <c r="C639" s="8" t="s">
        <v>467</v>
      </c>
      <c r="D639" s="8" t="s">
        <v>1084</v>
      </c>
      <c r="E639" s="8" t="s">
        <v>12</v>
      </c>
      <c r="F639" s="8" t="s">
        <v>13</v>
      </c>
      <c r="G639" s="8" t="s">
        <v>1085</v>
      </c>
      <c r="H639" s="16">
        <v>71.0</v>
      </c>
      <c r="I639" s="15" t="str">
        <f>SUBSTITUTE(Sheet1!K639, "Rp", "")</f>
        <v>6339600</v>
      </c>
    </row>
    <row r="640">
      <c r="A640" s="8" t="s">
        <v>1183</v>
      </c>
      <c r="B640" s="13" t="str">
        <f>HYPERLINK("https://shopee.co.id/Lacoco-Dark-Spot-Essence-12ml-i.825870.3729944231", "https://shopee.co.id/Lacoco-Dark-Spot-Essence-12ml-i.825870.3729944231")</f>
        <v>https://shopee.co.id/Lacoco-Dark-Spot-Essence-12ml-i.825870.3729944231</v>
      </c>
      <c r="C640" s="8" t="s">
        <v>501</v>
      </c>
      <c r="D640" s="8" t="s">
        <v>1184</v>
      </c>
      <c r="E640" s="8" t="s">
        <v>12</v>
      </c>
      <c r="F640" s="8" t="s">
        <v>13</v>
      </c>
      <c r="G640" s="8" t="s">
        <v>21</v>
      </c>
      <c r="H640" s="16">
        <v>70.0</v>
      </c>
      <c r="I640" s="15" t="str">
        <f>SUBSTITUTE(Sheet1!K640, "Rp", "")</f>
        <v>13300000</v>
      </c>
    </row>
    <row r="641">
      <c r="A641" s="8" t="s">
        <v>1574</v>
      </c>
      <c r="B641" s="13" t="str">
        <f>HYPERLINK("https://shopee.co.id/Safi-Age-Defy-Gold-Water-Essence-30-ml-Twinpack-Special-i.63823668.9438793578", "https://shopee.co.id/Safi-Age-Defy-Gold-Water-Essence-30-ml-Twinpack-Special-i.63823668.9438793578")</f>
        <v>https://shopee.co.id/Safi-Age-Defy-Gold-Water-Essence-30-ml-Twinpack-Special-i.63823668.9438793578</v>
      </c>
      <c r="C641" s="8" t="s">
        <v>278</v>
      </c>
      <c r="D641" s="8" t="s">
        <v>279</v>
      </c>
      <c r="E641" s="8" t="s">
        <v>12</v>
      </c>
      <c r="F641" s="8" t="s">
        <v>13</v>
      </c>
      <c r="G641" s="8" t="s">
        <v>61</v>
      </c>
      <c r="H641" s="16">
        <v>70.0</v>
      </c>
      <c r="I641" s="15" t="str">
        <f>SUBSTITUTE(Sheet1!K641, "Rp", "")</f>
        <v>6736800</v>
      </c>
    </row>
    <row r="642">
      <c r="A642" s="8" t="s">
        <v>1810</v>
      </c>
      <c r="B642" s="13" t="str">
        <f>HYPERLINK("https://shopee.co.id/SERUM-MOISTURIZER-BTX-ELLA-SKIN-CARE-i.95154428.10931563122", "https://shopee.co.id/SERUM-MOISTURIZER-BTX-ELLA-SKIN-CARE-i.95154428.10931563122")</f>
        <v>https://shopee.co.id/SERUM-MOISTURIZER-BTX-ELLA-SKIN-CARE-i.95154428.10931563122</v>
      </c>
      <c r="C642" s="8" t="s">
        <v>700</v>
      </c>
      <c r="D642" s="8" t="s">
        <v>598</v>
      </c>
      <c r="E642" s="8" t="s">
        <v>12</v>
      </c>
      <c r="F642" s="8" t="s">
        <v>13</v>
      </c>
      <c r="G642" s="8" t="s">
        <v>409</v>
      </c>
      <c r="H642" s="16">
        <v>70.0</v>
      </c>
      <c r="I642" s="15" t="str">
        <f>SUBSTITUTE(Sheet1!K642, "Rp", "")</f>
        <v>4629700</v>
      </c>
    </row>
    <row r="643">
      <c r="A643" s="8" t="s">
        <v>1042</v>
      </c>
      <c r="B643" s="13" t="str">
        <f>HYPERLINK("https://shopee.co.id/The-Body-Shop-Drops-of-Youth-Essence-Lotion-160ml-i.28053737.383034687", "https://shopee.co.id/The-Body-Shop-Drops-of-Youth-Essence-Lotion-160ml-i.28053737.383034687")</f>
        <v>https://shopee.co.id/The-Body-Shop-Drops-of-Youth-Essence-Lotion-160ml-i.28053737.383034687</v>
      </c>
      <c r="C643" s="8" t="s">
        <v>221</v>
      </c>
      <c r="D643" s="8" t="s">
        <v>222</v>
      </c>
      <c r="E643" s="8" t="s">
        <v>12</v>
      </c>
      <c r="F643" s="8" t="s">
        <v>13</v>
      </c>
      <c r="G643" s="8" t="s">
        <v>80</v>
      </c>
      <c r="H643" s="16">
        <v>70.0</v>
      </c>
      <c r="I643" s="15" t="str">
        <f>SUBSTITUTE(Sheet1!K643, "Rp", "")</f>
        <v>17356500</v>
      </c>
    </row>
    <row r="644">
      <c r="A644" s="8" t="s">
        <v>966</v>
      </c>
      <c r="B644" s="13" t="str">
        <f>HYPERLINK("https://shopee.co.id/Dear-Me-Beauty-5-Inoceramide-Ceramide-Pomegranate-Extract-Face-Serum-32ml-i.45495764.9148396869", "https://shopee.co.id/Dear-Me-Beauty-5-Inoceramide-Ceramide-Pomegranate-Extract-Face-Serum-32ml-i.45495764.9148396869")</f>
        <v>https://shopee.co.id/Dear-Me-Beauty-5-Inoceramide-Ceramide-Pomegranate-Extract-Face-Serum-32ml-i.45495764.9148396869</v>
      </c>
      <c r="C644" s="8" t="s">
        <v>83</v>
      </c>
      <c r="D644" s="8" t="s">
        <v>71</v>
      </c>
      <c r="E644" s="8" t="s">
        <v>12</v>
      </c>
      <c r="F644" s="8" t="s">
        <v>13</v>
      </c>
      <c r="G644" s="8" t="s">
        <v>61</v>
      </c>
      <c r="H644" s="16">
        <v>69.0</v>
      </c>
      <c r="I644" s="15" t="str">
        <f>SUBSTITUTE(Sheet1!K644, "Rp", "")</f>
        <v>10146900</v>
      </c>
    </row>
    <row r="645">
      <c r="A645" s="8" t="s">
        <v>897</v>
      </c>
      <c r="B645" s="13" t="str">
        <f>HYPERLINK("https://shopee.co.id/MISSHA-VITA-HEALTHY-SPECIAL-SET-VITA-C-PLUS-SPOT-CORRECTING-FIRMING-AMPOULE-30ml-Free-5-masker-i.37557990.8582645288", "https://shopee.co.id/MISSHA-VITA-HEALTHY-SPECIAL-SET-VITA-C-PLUS-SPOT-CORRECTING-FIRMING-AMPOULE-30ml-Free-5-masker-i.37557990.8582645288")</f>
        <v>https://shopee.co.id/MISSHA-VITA-HEALTHY-SPECIAL-SET-VITA-C-PLUS-SPOT-CORRECTING-FIRMING-AMPOULE-30ml-Free-5-masker-i.37557990.8582645288</v>
      </c>
      <c r="C645" s="8" t="s">
        <v>695</v>
      </c>
      <c r="D645" s="8" t="s">
        <v>696</v>
      </c>
      <c r="E645" s="8" t="s">
        <v>12</v>
      </c>
      <c r="F645" s="8" t="s">
        <v>13</v>
      </c>
      <c r="G645" s="8" t="s">
        <v>80</v>
      </c>
      <c r="H645" s="16">
        <v>69.0</v>
      </c>
      <c r="I645" s="15" t="str">
        <f>SUBSTITUTE(Sheet1!K645, "Rp", "")</f>
        <v>24081000</v>
      </c>
    </row>
    <row r="646">
      <c r="A646" s="8" t="s">
        <v>1470</v>
      </c>
      <c r="B646" s="13" t="str">
        <f>HYPERLINK("https://shopee.co.id/MSBB-Somethinc-10-Niacinamide-Moisture-Sabi-Beet-Max-Brightening-Serum-20ml-i.288588702.6378174465", "https://shopee.co.id/MSBB-Somethinc-10-Niacinamide-Moisture-Sabi-Beet-Max-Brightening-Serum-20ml-i.288588702.6378174465")</f>
        <v>https://shopee.co.id/MSBB-Somethinc-10-Niacinamide-Moisture-Sabi-Beet-Max-Brightening-Serum-20ml-i.288588702.6378174465</v>
      </c>
      <c r="C646" s="8" t="s">
        <v>45</v>
      </c>
      <c r="D646" s="8" t="s">
        <v>79</v>
      </c>
      <c r="E646" s="8" t="s">
        <v>12</v>
      </c>
      <c r="F646" s="8" t="s">
        <v>13</v>
      </c>
      <c r="G646" s="8" t="s">
        <v>80</v>
      </c>
      <c r="H646" s="16">
        <v>69.0</v>
      </c>
      <c r="I646" s="15" t="str">
        <f>SUBSTITUTE(Sheet1!K646, "Rp", "")</f>
        <v>7969500</v>
      </c>
    </row>
    <row r="647">
      <c r="A647" s="8" t="s">
        <v>833</v>
      </c>
      <c r="B647" s="13" t="str">
        <f>HYPERLINK("https://shopee.co.id/-Buy-1-Get-1-Bio-Essence-Bio-Gold-Golden-Ratio-Double-Serum-i.63822287.4066626866", "https://shopee.co.id/-Buy-1-Get-1-Bio-Essence-Bio-Gold-Golden-Ratio-Double-Serum-i.63822287.4066626866")</f>
        <v>https://shopee.co.id/-Buy-1-Get-1-Bio-Essence-Bio-Gold-Golden-Ratio-Double-Serum-i.63822287.4066626866</v>
      </c>
      <c r="C647" s="8" t="s">
        <v>834</v>
      </c>
      <c r="D647" s="8" t="s">
        <v>835</v>
      </c>
      <c r="E647" s="8" t="s">
        <v>12</v>
      </c>
      <c r="F647" s="8" t="s">
        <v>13</v>
      </c>
      <c r="G647" s="8" t="s">
        <v>61</v>
      </c>
      <c r="H647" s="16">
        <v>68.0</v>
      </c>
      <c r="I647" s="15" t="str">
        <f>SUBSTITUTE(Sheet1!K647, "Rp", "")</f>
        <v>28222600</v>
      </c>
    </row>
    <row r="648">
      <c r="A648" s="8" t="s">
        <v>1360</v>
      </c>
      <c r="B648" s="13" t="str">
        <f>HYPERLINK("https://shopee.co.id/ERHAIR-Restore-Shield-Serum-100ml-i.129153987.6178797993", "https://shopee.co.id/ERHAIR-Restore-Shield-Serum-100ml-i.129153987.6178797993")</f>
        <v>https://shopee.co.id/ERHAIR-Restore-Shield-Serum-100ml-i.129153987.6178797993</v>
      </c>
      <c r="C648" s="8" t="s">
        <v>1361</v>
      </c>
      <c r="D648" s="8" t="s">
        <v>182</v>
      </c>
      <c r="E648" s="8" t="s">
        <v>12</v>
      </c>
      <c r="F648" s="8" t="s">
        <v>13</v>
      </c>
      <c r="G648" s="8" t="s">
        <v>61</v>
      </c>
      <c r="H648" s="16">
        <v>68.0</v>
      </c>
      <c r="I648" s="15" t="str">
        <f>SUBSTITUTE(Sheet1!K648, "Rp", "")</f>
        <v>9720718</v>
      </c>
    </row>
    <row r="649">
      <c r="A649" s="8" t="s">
        <v>733</v>
      </c>
      <c r="B649" s="13" t="str">
        <f>HYPERLINK("https://shopee.co.id/-innisfree-Black-Tea-Youth-Enhancing-Ampoule-Bundle-i.61504589.7183408262", "https://shopee.co.id/-innisfree-Black-Tea-Youth-Enhancing-Ampoule-Bundle-i.61504589.7183408262")</f>
        <v>https://shopee.co.id/-innisfree-Black-Tea-Youth-Enhancing-Ampoule-Bundle-i.61504589.7183408262</v>
      </c>
      <c r="C649" s="8" t="s">
        <v>294</v>
      </c>
      <c r="D649" s="8" t="s">
        <v>295</v>
      </c>
      <c r="E649" s="8" t="s">
        <v>12</v>
      </c>
      <c r="F649" s="8" t="s">
        <v>13</v>
      </c>
      <c r="G649" s="8" t="s">
        <v>296</v>
      </c>
      <c r="H649" s="16">
        <v>67.0</v>
      </c>
      <c r="I649" s="15" t="str">
        <f>SUBSTITUTE(Sheet1!K649, "Rp", "")</f>
        <v>35780000</v>
      </c>
    </row>
    <row r="650">
      <c r="A650" s="8" t="s">
        <v>1423</v>
      </c>
      <c r="B650" s="13" t="str">
        <f>HYPERLINK("https://shopee.co.id/Aesthetic-Bluepin-Excellen-C-Face-Serum-i.54874680.7615083448", "https://shopee.co.id/Aesthetic-Bluepin-Excellen-C-Face-Serum-i.54874680.7615083448")</f>
        <v>https://shopee.co.id/Aesthetic-Bluepin-Excellen-C-Face-Serum-i.54874680.7615083448</v>
      </c>
      <c r="C650" s="8" t="s">
        <v>1424</v>
      </c>
      <c r="D650" s="8" t="s">
        <v>1425</v>
      </c>
      <c r="E650" s="8" t="s">
        <v>12</v>
      </c>
      <c r="F650" s="8" t="s">
        <v>13</v>
      </c>
      <c r="G650" s="8" t="s">
        <v>80</v>
      </c>
      <c r="H650" s="16">
        <v>67.0</v>
      </c>
      <c r="I650" s="15" t="str">
        <f>SUBSTITUTE(Sheet1!K650, "Rp", "")</f>
        <v>8551900</v>
      </c>
    </row>
    <row r="651">
      <c r="A651" s="8" t="s">
        <v>1414</v>
      </c>
      <c r="B651" s="13" t="str">
        <f>HYPERLINK("https://shopee.co.id/HAPLE-Sunshine-Glow-Booster-i.26944218.12004476064", "https://shopee.co.id/HAPLE-Sunshine-Glow-Booster-i.26944218.12004476064")</f>
        <v>https://shopee.co.id/HAPLE-Sunshine-Glow-Booster-i.26944218.12004476064</v>
      </c>
      <c r="C651" s="8" t="s">
        <v>1415</v>
      </c>
      <c r="D651" s="8" t="s">
        <v>1416</v>
      </c>
      <c r="E651" s="8" t="s">
        <v>12</v>
      </c>
      <c r="F651" s="8" t="s">
        <v>13</v>
      </c>
      <c r="G651" s="8" t="s">
        <v>21</v>
      </c>
      <c r="H651" s="16">
        <v>67.0</v>
      </c>
      <c r="I651" s="15" t="str">
        <f>SUBSTITUTE(Sheet1!K651, "Rp", "")</f>
        <v>8643000</v>
      </c>
    </row>
    <row r="652">
      <c r="A652" s="8" t="s">
        <v>1417</v>
      </c>
      <c r="B652" s="13" t="str">
        <f>HYPERLINK("https://shopee.co.id/MSBB-Avoskin-Your-Skin-Bae-Lactic-Acid-10-Kiwi-Fruit-5-Niacinamide-2-5-High-Dose-Serum-i.288588702.8928920334", "https://shopee.co.id/MSBB-Avoskin-Your-Skin-Bae-Lactic-Acid-10-Kiwi-Fruit-5-Niacinamide-2-5-High-Dose-Serum-i.288588702.8928920334")</f>
        <v>https://shopee.co.id/MSBB-Avoskin-Your-Skin-Bae-Lactic-Acid-10-Kiwi-Fruit-5-Niacinamide-2-5-High-Dose-Serum-i.288588702.8928920334</v>
      </c>
      <c r="C652" s="8" t="s">
        <v>83</v>
      </c>
      <c r="D652" s="8" t="s">
        <v>79</v>
      </c>
      <c r="E652" s="8" t="s">
        <v>12</v>
      </c>
      <c r="F652" s="8" t="s">
        <v>13</v>
      </c>
      <c r="G652" s="8" t="s">
        <v>80</v>
      </c>
      <c r="H652" s="16">
        <v>67.0</v>
      </c>
      <c r="I652" s="15" t="str">
        <f>SUBSTITUTE(Sheet1!K652, "Rp", "")</f>
        <v>8643000</v>
      </c>
    </row>
    <row r="653">
      <c r="A653" s="8" t="s">
        <v>1955</v>
      </c>
      <c r="B653" s="13" t="str">
        <f>HYPERLINK("https://shopee.co.id/Sercret-Wish-by-Angel-Lelga-Glow-Infusion-Serum-Serum-Glowing-Serum-20ml-i.240781486.5451895682", "https://shopee.co.id/Sercret-Wish-by-Angel-Lelga-Glow-Infusion-Serum-Serum-Glowing-Serum-20ml-i.240781486.5451895682")</f>
        <v>https://shopee.co.id/Sercret-Wish-by-Angel-Lelga-Glow-Infusion-Serum-Serum-Glowing-Serum-20ml-i.240781486.5451895682</v>
      </c>
      <c r="C653" s="8" t="s">
        <v>1956</v>
      </c>
      <c r="D653" s="8" t="s">
        <v>1957</v>
      </c>
      <c r="E653" s="8" t="s">
        <v>12</v>
      </c>
      <c r="F653" s="8" t="s">
        <v>13</v>
      </c>
      <c r="G653" s="8" t="s">
        <v>61</v>
      </c>
      <c r="H653" s="16">
        <v>67.0</v>
      </c>
      <c r="I653" s="15" t="str">
        <f>SUBSTITUTE(Sheet1!K653, "Rp", "")</f>
        <v>3706640</v>
      </c>
    </row>
    <row r="654">
      <c r="A654" s="8" t="s">
        <v>1410</v>
      </c>
      <c r="B654" s="13" t="str">
        <f>HYPERLINK("https://shopee.co.id/AVOSKIN-Your-Skin-Bae-Ultimate-Hyaluron-Hyacross-3-Greentea-SERUM-30ml-i.270965687.6478588059", "https://shopee.co.id/AVOSKIN-Your-Skin-Bae-Ultimate-Hyaluron-Hyacross-3-Greentea-SERUM-30ml-i.270965687.6478588059")</f>
        <v>https://shopee.co.id/AVOSKIN-Your-Skin-Bae-Ultimate-Hyaluron-Hyacross-3-Greentea-SERUM-30ml-i.270965687.6478588059</v>
      </c>
      <c r="C654" s="8" t="s">
        <v>83</v>
      </c>
      <c r="D654" s="8" t="s">
        <v>379</v>
      </c>
      <c r="E654" s="8" t="s">
        <v>12</v>
      </c>
      <c r="F654" s="8" t="s">
        <v>13</v>
      </c>
      <c r="G654" s="8" t="s">
        <v>380</v>
      </c>
      <c r="H654" s="16">
        <v>66.0</v>
      </c>
      <c r="I654" s="15" t="str">
        <f>SUBSTITUTE(Sheet1!K654, "Rp", "")</f>
        <v>8712000</v>
      </c>
    </row>
    <row r="655">
      <c r="A655" s="8" t="s">
        <v>1676</v>
      </c>
      <c r="B655" s="13" t="str">
        <f>HYPERLINK("https://shopee.co.id/ERTOS-Niacinamide-Plus-With-Aloevera-BPOM-ORIGINAL-i.23831802.9113905442", "https://shopee.co.id/ERTOS-Niacinamide-Plus-With-Aloevera-BPOM-ORIGINAL-i.23831802.9113905442")</f>
        <v>https://shopee.co.id/ERTOS-Niacinamide-Plus-With-Aloevera-BPOM-ORIGINAL-i.23831802.9113905442</v>
      </c>
      <c r="C655" s="8" t="s">
        <v>467</v>
      </c>
      <c r="D655" s="8" t="s">
        <v>1084</v>
      </c>
      <c r="E655" s="8" t="s">
        <v>12</v>
      </c>
      <c r="F655" s="8" t="s">
        <v>13</v>
      </c>
      <c r="G655" s="8" t="s">
        <v>1085</v>
      </c>
      <c r="H655" s="16">
        <v>66.0</v>
      </c>
      <c r="I655" s="15" t="str">
        <f>SUBSTITUTE(Sheet1!K655, "Rp", "")</f>
        <v>5718400</v>
      </c>
    </row>
    <row r="656">
      <c r="A656" s="8" t="s">
        <v>2749</v>
      </c>
      <c r="B656" s="13" t="str">
        <f>HYPERLINK("https://shopee.co.id/Hanasui-Serum-Acne-20ml-i.277377659.4239680020", "https://shopee.co.id/Hanasui-Serum-Acne-20ml-i.277377659.4239680020")</f>
        <v>https://shopee.co.id/Hanasui-Serum-Acne-20ml-i.277377659.4239680020</v>
      </c>
      <c r="C656" s="8" t="s">
        <v>784</v>
      </c>
      <c r="D656" s="8" t="s">
        <v>2549</v>
      </c>
      <c r="E656" s="8" t="s">
        <v>12</v>
      </c>
      <c r="F656" s="8" t="s">
        <v>13</v>
      </c>
      <c r="G656" s="8" t="s">
        <v>532</v>
      </c>
      <c r="H656" s="16">
        <v>66.0</v>
      </c>
      <c r="I656" s="15" t="str">
        <f>SUBSTITUTE(Sheet1!K656, "Rp", "")</f>
        <v>1140000</v>
      </c>
    </row>
    <row r="657">
      <c r="A657" s="8" t="s">
        <v>1352</v>
      </c>
      <c r="B657" s="13" t="str">
        <f>HYPERLINK("https://shopee.co.id/MD-Glowing-Glass-Skin-Treatment-Serum-Glowing-Arbutin-Whitening-Vit-C-Pemutih--i.98061713.7708466271", "https://shopee.co.id/MD-Glowing-Glass-Skin-Treatment-Serum-Glowing-Arbutin-Whitening-Vit-C-Pemutih--i.98061713.7708466271")</f>
        <v>https://shopee.co.id/MD-Glowing-Glass-Skin-Treatment-Serum-Glowing-Arbutin-Whitening-Vit-C-Pemutih--i.98061713.7708466271</v>
      </c>
      <c r="C657" s="8" t="s">
        <v>1353</v>
      </c>
      <c r="D657" s="8" t="s">
        <v>1354</v>
      </c>
      <c r="E657" s="8" t="s">
        <v>12</v>
      </c>
      <c r="F657" s="8" t="s">
        <v>13</v>
      </c>
      <c r="G657" s="8" t="s">
        <v>370</v>
      </c>
      <c r="H657" s="16">
        <v>66.0</v>
      </c>
      <c r="I657" s="15" t="str">
        <f>SUBSTITUTE(Sheet1!K657, "Rp", "")</f>
        <v>9900000</v>
      </c>
    </row>
    <row r="658">
      <c r="A658" s="8" t="s">
        <v>1244</v>
      </c>
      <c r="B658" s="13" t="str">
        <f>HYPERLINK("https://shopee.co.id/The-Ordinary-Hyaluronic-Acid-2-B5-60ml-i.825870.3403050979", "https://shopee.co.id/The-Ordinary-Hyaluronic-Acid-2-B5-60ml-i.825870.3403050979")</f>
        <v>https://shopee.co.id/The-Ordinary-Hyaluronic-Acid-2-B5-60ml-i.825870.3403050979</v>
      </c>
      <c r="C658" s="8" t="s">
        <v>1245</v>
      </c>
      <c r="D658" s="8" t="s">
        <v>1184</v>
      </c>
      <c r="E658" s="8" t="s">
        <v>12</v>
      </c>
      <c r="F658" s="8" t="s">
        <v>13</v>
      </c>
      <c r="G658" s="8" t="s">
        <v>21</v>
      </c>
      <c r="H658" s="16">
        <v>66.0</v>
      </c>
      <c r="I658" s="15" t="str">
        <f>SUBSTITUTE(Sheet1!K658, "Rp", "")</f>
        <v>11880000</v>
      </c>
    </row>
    <row r="659">
      <c r="A659" s="8" t="s">
        <v>1770</v>
      </c>
      <c r="B659" s="13" t="str">
        <f>HYPERLINK("https://shopee.co.id/Ertos-Astaxanthine-Whitening-Essence-Cream-by-Erto-s-Skincare-i.23831802.1593243113", "https://shopee.co.id/Ertos-Astaxanthine-Whitening-Essence-Cream-by-Erto-s-Skincare-i.23831802.1593243113")</f>
        <v>https://shopee.co.id/Ertos-Astaxanthine-Whitening-Essence-Cream-by-Erto-s-Skincare-i.23831802.1593243113</v>
      </c>
      <c r="C659" s="8" t="s">
        <v>467</v>
      </c>
      <c r="D659" s="8" t="s">
        <v>1084</v>
      </c>
      <c r="E659" s="8" t="s">
        <v>12</v>
      </c>
      <c r="F659" s="8" t="s">
        <v>13</v>
      </c>
      <c r="G659" s="8" t="s">
        <v>1085</v>
      </c>
      <c r="H659" s="16">
        <v>65.0</v>
      </c>
      <c r="I659" s="15" t="str">
        <f>SUBSTITUTE(Sheet1!K659, "Rp", "")</f>
        <v>4860000</v>
      </c>
    </row>
    <row r="660">
      <c r="A660" s="8" t="s">
        <v>927</v>
      </c>
      <c r="B660" s="13" t="str">
        <f>HYPERLINK("https://shopee.co.id/MISSHA-TIME-REVOLUTION-NIGHT-REPAIR-AMPOULE-5X-50ML-Free-2-Mascure-Madecasoid-Guaiazulene--i.37557990.5408439484", "https://shopee.co.id/MISSHA-TIME-REVOLUTION-NIGHT-REPAIR-AMPOULE-5X-50ML-Free-2-Mascure-Madecasoid-Guaiazulene--i.37557990.5408439484")</f>
        <v>https://shopee.co.id/MISSHA-TIME-REVOLUTION-NIGHT-REPAIR-AMPOULE-5X-50ML-Free-2-Mascure-Madecasoid-Guaiazulene--i.37557990.5408439484</v>
      </c>
      <c r="C660" s="8" t="s">
        <v>695</v>
      </c>
      <c r="D660" s="8" t="s">
        <v>696</v>
      </c>
      <c r="E660" s="8" t="s">
        <v>12</v>
      </c>
      <c r="F660" s="8" t="s">
        <v>13</v>
      </c>
      <c r="G660" s="8" t="s">
        <v>80</v>
      </c>
      <c r="H660" s="16">
        <v>65.0</v>
      </c>
      <c r="I660" s="15" t="str">
        <f>SUBSTITUTE(Sheet1!K660, "Rp", "")</f>
        <v>22710500</v>
      </c>
    </row>
    <row r="661">
      <c r="A661" s="8" t="s">
        <v>1766</v>
      </c>
      <c r="B661" s="13" t="str">
        <f>HYPERLINK("https://shopee.co.id/WHITELAB-Brightening-Face-Serum-20ml-i.270965687.7981760254", "https://shopee.co.id/WHITELAB-Brightening-Face-Serum-20ml-i.270965687.7981760254")</f>
        <v>https://shopee.co.id/WHITELAB-Brightening-Face-Serum-20ml-i.270965687.7981760254</v>
      </c>
      <c r="C661" s="8" t="s">
        <v>59</v>
      </c>
      <c r="D661" s="8" t="s">
        <v>379</v>
      </c>
      <c r="E661" s="8" t="s">
        <v>12</v>
      </c>
      <c r="F661" s="8" t="s">
        <v>13</v>
      </c>
      <c r="G661" s="8" t="s">
        <v>380</v>
      </c>
      <c r="H661" s="16">
        <v>65.0</v>
      </c>
      <c r="I661" s="15" t="str">
        <f>SUBSTITUTE(Sheet1!K661, "Rp", "")</f>
        <v>4875000</v>
      </c>
    </row>
    <row r="662">
      <c r="A662" s="8" t="s">
        <v>1901</v>
      </c>
      <c r="B662" s="13" t="str">
        <f>HYPERLINK("https://shopee.co.id/Scarlett-Whitening-Acne-Serum-15ml-i.50948181.6543464649", "https://shopee.co.id/Scarlett-Whitening-Acne-Serum-15ml-i.50948181.6543464649")</f>
        <v>https://shopee.co.id/Scarlett-Whitening-Acne-Serum-15ml-i.50948181.6543464649</v>
      </c>
      <c r="C662" s="8" t="s">
        <v>19</v>
      </c>
      <c r="D662" s="8" t="s">
        <v>1129</v>
      </c>
      <c r="E662" s="8" t="s">
        <v>12</v>
      </c>
      <c r="F662" s="8" t="s">
        <v>13</v>
      </c>
      <c r="G662" s="8" t="s">
        <v>1130</v>
      </c>
      <c r="H662" s="16">
        <v>64.0</v>
      </c>
      <c r="I662" s="15" t="str">
        <f>SUBSTITUTE(Sheet1!K662, "Rp", "")</f>
        <v>4003879</v>
      </c>
    </row>
    <row r="663">
      <c r="A663" s="8" t="s">
        <v>2447</v>
      </c>
      <c r="B663" s="13" t="str">
        <f>HYPERLINK("https://shopee.co.id/AZARINE-Anti-Acne-Brightening-Serum-20-ml-i.68111.3969995179", "https://shopee.co.id/AZARINE-Anti-Acne-Brightening-Serum-20-ml-i.68111.3969995179")</f>
        <v>https://shopee.co.id/AZARINE-Anti-Acne-Brightening-Serum-20-ml-i.68111.3969995179</v>
      </c>
      <c r="C663" s="8" t="s">
        <v>233</v>
      </c>
      <c r="D663" s="8" t="s">
        <v>441</v>
      </c>
      <c r="E663" s="8" t="s">
        <v>12</v>
      </c>
      <c r="F663" s="8" t="s">
        <v>13</v>
      </c>
      <c r="G663" s="8" t="s">
        <v>130</v>
      </c>
      <c r="H663" s="16">
        <v>64.0</v>
      </c>
      <c r="I663" s="15" t="str">
        <f>SUBSTITUTE(Sheet1!K663, "Rp", "")</f>
        <v>1824000</v>
      </c>
    </row>
    <row r="664">
      <c r="A664" s="8" t="s">
        <v>1323</v>
      </c>
      <c r="B664" s="13" t="str">
        <f>HYPERLINK("https://shopee.co.id/Jarkeen-Double-Glow-Serum-i.147936010.2361019862", "https://shopee.co.id/Jarkeen-Double-Glow-Serum-i.147936010.2361019862")</f>
        <v>https://shopee.co.id/Jarkeen-Double-Glow-Serum-i.147936010.2361019862</v>
      </c>
      <c r="C664" s="8" t="s">
        <v>738</v>
      </c>
      <c r="D664" s="8" t="s">
        <v>739</v>
      </c>
      <c r="E664" s="8" t="s">
        <v>12</v>
      </c>
      <c r="F664" s="8" t="s">
        <v>13</v>
      </c>
      <c r="G664" s="8" t="s">
        <v>241</v>
      </c>
      <c r="H664" s="16">
        <v>64.0</v>
      </c>
      <c r="I664" s="15" t="str">
        <f>SUBSTITUTE(Sheet1!K664, "Rp", "")</f>
        <v>10337250</v>
      </c>
    </row>
    <row r="665">
      <c r="A665" s="8" t="s">
        <v>859</v>
      </c>
      <c r="B665" s="13" t="str">
        <f>HYPERLINK("https://shopee.co.id/Safi-Expert-Solutions-Intensive-Ampoule-Anti-Aging-Serum-3x14gr-i.63823668.8901447914", "https://shopee.co.id/Safi-Expert-Solutions-Intensive-Ampoule-Anti-Aging-Serum-3x14gr-i.63823668.8901447914")</f>
        <v>https://shopee.co.id/Safi-Expert-Solutions-Intensive-Ampoule-Anti-Aging-Serum-3x14gr-i.63823668.8901447914</v>
      </c>
      <c r="C665" s="8" t="s">
        <v>278</v>
      </c>
      <c r="D665" s="8" t="s">
        <v>279</v>
      </c>
      <c r="E665" s="8" t="s">
        <v>12</v>
      </c>
      <c r="F665" s="8" t="s">
        <v>13</v>
      </c>
      <c r="G665" s="8" t="s">
        <v>61</v>
      </c>
      <c r="H665" s="16">
        <v>64.0</v>
      </c>
      <c r="I665" s="15" t="str">
        <f>SUBSTITUTE(Sheet1!K665, "Rp", "")</f>
        <v>26742700</v>
      </c>
    </row>
    <row r="666">
      <c r="A666" s="8" t="s">
        <v>1453</v>
      </c>
      <c r="B666" s="13" t="str">
        <f>HYPERLINK("https://shopee.co.id/SOMETHINC-10-Niacinamide-Moisture-Sabi-Beet-Max-Brightening-Serum-20ml-i.30736001.4484171596", "https://shopee.co.id/SOMETHINC-10-Niacinamide-Moisture-Sabi-Beet-Max-Brightening-Serum-20ml-i.30736001.4484171596")</f>
        <v>https://shopee.co.id/SOMETHINC-10-Niacinamide-Moisture-Sabi-Beet-Max-Brightening-Serum-20ml-i.30736001.4484171596</v>
      </c>
      <c r="C666" s="8" t="s">
        <v>45</v>
      </c>
      <c r="D666" s="8" t="s">
        <v>335</v>
      </c>
      <c r="E666" s="8" t="s">
        <v>12</v>
      </c>
      <c r="F666" s="8" t="s">
        <v>13</v>
      </c>
      <c r="G666" s="8" t="s">
        <v>36</v>
      </c>
      <c r="H666" s="16">
        <v>64.0</v>
      </c>
      <c r="I666" s="15" t="str">
        <f>SUBSTITUTE(Sheet1!K666, "Rp", "")</f>
        <v>8160000</v>
      </c>
    </row>
    <row r="667">
      <c r="A667" s="8" t="s">
        <v>1284</v>
      </c>
      <c r="B667" s="13" t="str">
        <f>HYPERLINK("https://shopee.co.id/Lacoco-Dark-Spot-Essence-12ml-i.50948181.9532933396", "https://shopee.co.id/Lacoco-Dark-Spot-Essence-12ml-i.50948181.9532933396")</f>
        <v>https://shopee.co.id/Lacoco-Dark-Spot-Essence-12ml-i.50948181.9532933396</v>
      </c>
      <c r="C667" s="8" t="s">
        <v>501</v>
      </c>
      <c r="D667" s="8" t="s">
        <v>1129</v>
      </c>
      <c r="E667" s="8" t="s">
        <v>12</v>
      </c>
      <c r="F667" s="8" t="s">
        <v>13</v>
      </c>
      <c r="G667" s="8" t="s">
        <v>1130</v>
      </c>
      <c r="H667" s="16">
        <v>63.0</v>
      </c>
      <c r="I667" s="15" t="str">
        <f>SUBSTITUTE(Sheet1!K667, "Rp", "")</f>
        <v>11025700</v>
      </c>
    </row>
    <row r="668">
      <c r="A668" s="8" t="s">
        <v>1318</v>
      </c>
      <c r="B668" s="13" t="str">
        <f>HYPERLINK("https://shopee.co.id/Airnderm-Aesthetic-Advance-Brightener-Serum-by-AIRIN-BEAUTY--i.112372548.1766337752", "https://shopee.co.id/Airnderm-Aesthetic-Advance-Brightener-Serum-by-AIRIN-BEAUTY--i.112372548.1766337752")</f>
        <v>https://shopee.co.id/Airnderm-Aesthetic-Advance-Brightener-Serum-by-AIRIN-BEAUTY--i.112372548.1766337752</v>
      </c>
      <c r="C668" s="8" t="s">
        <v>239</v>
      </c>
      <c r="D668" s="8" t="s">
        <v>240</v>
      </c>
      <c r="E668" s="8" t="s">
        <v>12</v>
      </c>
      <c r="F668" s="8" t="s">
        <v>13</v>
      </c>
      <c r="G668" s="8" t="s">
        <v>241</v>
      </c>
      <c r="H668" s="16">
        <v>63.0</v>
      </c>
      <c r="I668" s="15" t="str">
        <f>SUBSTITUTE(Sheet1!K668, "Rp", "")</f>
        <v>10378500</v>
      </c>
    </row>
    <row r="669">
      <c r="A669" s="8" t="s">
        <v>1123</v>
      </c>
      <c r="B669" s="13" t="str">
        <f>HYPERLINK("https://shopee.co.id/All-Perfect-Acne-Beauty-Set-Essence-Toner-100ml-Fresh-Calming-Serum-30ml--i.167618454.6414674636", "https://shopee.co.id/All-Perfect-Acne-Beauty-Set-Essence-Toner-100ml-Fresh-Calming-Serum-30ml--i.167618454.6414674636")</f>
        <v>https://shopee.co.id/All-Perfect-Acne-Beauty-Set-Essence-Toner-100ml-Fresh-Calming-Serum-30ml--i.167618454.6414674636</v>
      </c>
      <c r="C669" s="8" t="s">
        <v>718</v>
      </c>
      <c r="D669" s="8" t="s">
        <v>678</v>
      </c>
      <c r="E669" s="8" t="s">
        <v>12</v>
      </c>
      <c r="F669" s="8" t="s">
        <v>13</v>
      </c>
      <c r="G669" s="8" t="s">
        <v>296</v>
      </c>
      <c r="H669" s="16">
        <v>63.0</v>
      </c>
      <c r="I669" s="15" t="str">
        <f>SUBSTITUTE(Sheet1!K669, "Rp", "")</f>
        <v>14587000</v>
      </c>
    </row>
    <row r="670">
      <c r="A670" s="8" t="s">
        <v>1577</v>
      </c>
      <c r="B670" s="13" t="str">
        <f>HYPERLINK("https://shopee.co.id/Hyaluronic-Acid-Serum-Nadfaskin--i.3087844.3516077911", "https://shopee.co.id/Hyaluronic-Acid-Serum-Nadfaskin--i.3087844.3516077911")</f>
        <v>https://shopee.co.id/Hyaluronic-Acid-Serum-Nadfaskin--i.3087844.3516077911</v>
      </c>
      <c r="C670" s="8" t="s">
        <v>1157</v>
      </c>
      <c r="D670" s="8" t="s">
        <v>1158</v>
      </c>
      <c r="E670" s="8" t="s">
        <v>12</v>
      </c>
      <c r="F670" s="8" t="s">
        <v>13</v>
      </c>
      <c r="G670" s="8" t="s">
        <v>241</v>
      </c>
      <c r="H670" s="16">
        <v>63.0</v>
      </c>
      <c r="I670" s="15" t="str">
        <f>SUBSTITUTE(Sheet1!K670, "Rp", "")</f>
        <v>6696800</v>
      </c>
    </row>
    <row r="671">
      <c r="A671" s="8" t="s">
        <v>1506</v>
      </c>
      <c r="B671" s="13" t="str">
        <f>HYPERLINK("https://shopee.co.id/MEDGLOW-CLINIC-Alpha-Arbutin-Serum-Aesthetic-Skincare-Whitening-Lightening-Brightening-Pemutih-BPOM-i.285885972.7347592028", "https://shopee.co.id/MEDGLOW-CLINIC-Alpha-Arbutin-Serum-Aesthetic-Skincare-Whitening-Lightening-Brightening-Pemutih-BPOM-i.285885972.7347592028")</f>
        <v>https://shopee.co.id/MEDGLOW-CLINIC-Alpha-Arbutin-Serum-Aesthetic-Skincare-Whitening-Lightening-Brightening-Pemutih-BPOM-i.285885972.7347592028</v>
      </c>
      <c r="C671" s="8" t="s">
        <v>949</v>
      </c>
      <c r="D671" s="8" t="s">
        <v>950</v>
      </c>
      <c r="E671" s="8" t="s">
        <v>12</v>
      </c>
      <c r="F671" s="8" t="s">
        <v>13</v>
      </c>
      <c r="G671" s="8" t="s">
        <v>380</v>
      </c>
      <c r="H671" s="16">
        <v>63.0</v>
      </c>
      <c r="I671" s="15" t="str">
        <f>SUBSTITUTE(Sheet1!K671, "Rp", "")</f>
        <v>7500000</v>
      </c>
    </row>
    <row r="672">
      <c r="A672" s="8" t="s">
        <v>1119</v>
      </c>
      <c r="B672" s="13" t="str">
        <f>HYPERLINK("https://shopee.co.id/PAKET-KOMEDO-COMEDONAL-ACNE-ELLA-SKINCARE-i.95154428.11744060878", "https://shopee.co.id/PAKET-KOMEDO-COMEDONAL-ACNE-ELLA-SKINCARE-i.95154428.11744060878")</f>
        <v>https://shopee.co.id/PAKET-KOMEDO-COMEDONAL-ACNE-ELLA-SKINCARE-i.95154428.11744060878</v>
      </c>
      <c r="C672" s="8" t="s">
        <v>954</v>
      </c>
      <c r="D672" s="8" t="s">
        <v>598</v>
      </c>
      <c r="E672" s="8" t="s">
        <v>12</v>
      </c>
      <c r="F672" s="8" t="s">
        <v>13</v>
      </c>
      <c r="G672" s="8" t="s">
        <v>409</v>
      </c>
      <c r="H672" s="16">
        <v>63.0</v>
      </c>
      <c r="I672" s="15" t="str">
        <f>SUBSTITUTE(Sheet1!K672, "Rp", "")</f>
        <v>14831875</v>
      </c>
    </row>
    <row r="673">
      <c r="A673" s="8" t="s">
        <v>2126</v>
      </c>
      <c r="B673" s="13" t="str">
        <f>HYPERLINK("https://shopee.co.id/Saffbeautys-Serum-Brightening-Saffron-Niacinamide-Serum-Wajah-Serum-Muka-Glowing-Bpom-i.61316931.6328465064", "https://shopee.co.id/Saffbeautys-Serum-Brightening-Saffron-Niacinamide-Serum-Wajah-Serum-Muka-Glowing-Bpom-i.61316931.6328465064")</f>
        <v>https://shopee.co.id/Saffbeautys-Serum-Brightening-Saffron-Niacinamide-Serum-Wajah-Serum-Muka-Glowing-Bpom-i.61316931.6328465064</v>
      </c>
      <c r="C673" s="8" t="s">
        <v>2127</v>
      </c>
      <c r="D673" s="8" t="s">
        <v>2128</v>
      </c>
      <c r="E673" s="8" t="s">
        <v>12</v>
      </c>
      <c r="F673" s="8" t="s">
        <v>13</v>
      </c>
      <c r="G673" s="8" t="s">
        <v>409</v>
      </c>
      <c r="H673" s="16">
        <v>63.0</v>
      </c>
      <c r="I673" s="15" t="str">
        <f>SUBSTITUTE(Sheet1!K673, "Rp", "")</f>
        <v>2835000</v>
      </c>
    </row>
    <row r="674">
      <c r="A674" s="8" t="s">
        <v>419</v>
      </c>
      <c r="B674" s="13" t="str">
        <f>HYPERLINK("https://shopee.co.id/Sulwhasoo-First-Care-Activating-Serum-60ml-Limited-Set--i.274949344.4678795250", "https://shopee.co.id/Sulwhasoo-First-Care-Activating-Serum-60ml-Limited-Set--i.274949344.4678795250")</f>
        <v>https://shopee.co.id/Sulwhasoo-First-Care-Activating-Serum-60ml-Limited-Set--i.274949344.4678795250</v>
      </c>
      <c r="C674" s="8" t="s">
        <v>282</v>
      </c>
      <c r="D674" s="8" t="s">
        <v>283</v>
      </c>
      <c r="E674" s="8" t="s">
        <v>12</v>
      </c>
      <c r="F674" s="8" t="s">
        <v>13</v>
      </c>
      <c r="G674" s="8" t="s">
        <v>61</v>
      </c>
      <c r="H674" s="16">
        <v>63.0</v>
      </c>
      <c r="I674" s="15" t="str">
        <f>SUBSTITUTE(Sheet1!K674, "Rp", "")</f>
        <v>77143100</v>
      </c>
    </row>
    <row r="675">
      <c r="A675" s="8" t="s">
        <v>3104</v>
      </c>
      <c r="B675" s="13" t="str">
        <f>HYPERLINK("https://shopee.co.id/The-Lab-by-Blanc-Doux-Oligo-Hyaluronic-Acid-7-Multi-Formula-Pad-5ml-1pcs--i.385039113.8381756654", "https://shopee.co.id/The-Lab-by-Blanc-Doux-Oligo-Hyaluronic-Acid-7-Multi-Formula-Pad-5ml-1pcs--i.385039113.8381756654")</f>
        <v>https://shopee.co.id/The-Lab-by-Blanc-Doux-Oligo-Hyaluronic-Acid-7-Multi-Formula-Pad-5ml-1pcs--i.385039113.8381756654</v>
      </c>
      <c r="C675" s="8" t="s">
        <v>2835</v>
      </c>
      <c r="D675" s="8" t="s">
        <v>2836</v>
      </c>
      <c r="E675" s="8" t="s">
        <v>12</v>
      </c>
      <c r="F675" s="8" t="s">
        <v>13</v>
      </c>
      <c r="G675" s="8" t="s">
        <v>98</v>
      </c>
      <c r="H675" s="16">
        <v>63.0</v>
      </c>
      <c r="I675" s="15" t="str">
        <f>SUBSTITUTE(Sheet1!K675, "Rp", "")</f>
        <v>621700</v>
      </c>
    </row>
    <row r="676">
      <c r="A676" s="8" t="s">
        <v>1178</v>
      </c>
      <c r="B676" s="13" t="str">
        <f>HYPERLINK("https://shopee.co.id/Viva-Queen-Whitening-Advanced-Face-Serum-i.233715346.7038101091", "https://shopee.co.id/Viva-Queen-Whitening-Advanced-Face-Serum-i.233715346.7038101091")</f>
        <v>https://shopee.co.id/Viva-Queen-Whitening-Advanced-Face-Serum-i.233715346.7038101091</v>
      </c>
      <c r="C676" s="8" t="s">
        <v>647</v>
      </c>
      <c r="D676" s="8" t="s">
        <v>1958</v>
      </c>
      <c r="E676" s="8" t="s">
        <v>12</v>
      </c>
      <c r="F676" s="8" t="s">
        <v>13</v>
      </c>
      <c r="G676" s="8" t="s">
        <v>241</v>
      </c>
      <c r="H676" s="16">
        <v>63.0</v>
      </c>
      <c r="I676" s="15" t="str">
        <f>SUBSTITUTE(Sheet1!K676, "Rp", "")</f>
        <v>3704400</v>
      </c>
    </row>
    <row r="677">
      <c r="A677" s="8" t="s">
        <v>1866</v>
      </c>
      <c r="B677" s="13" t="str">
        <f>HYPERLINK("https://shopee.co.id/Precious-Skin-Hya-Whitening-Booster-Face-Serum-Anti-Aging-Face-Serum-Serum-Wajah-Muka-10ml-i.156582062.7806438117", "https://shopee.co.id/Precious-Skin-Hya-Whitening-Booster-Face-Serum-Anti-Aging-Face-Serum-Serum-Wajah-Muka-10ml-i.156582062.7806438117")</f>
        <v>https://shopee.co.id/Precious-Skin-Hya-Whitening-Booster-Face-Serum-Anti-Aging-Face-Serum-Serum-Wajah-Muka-10ml-i.156582062.7806438117</v>
      </c>
      <c r="C677" s="8" t="s">
        <v>1095</v>
      </c>
      <c r="D677" s="8" t="s">
        <v>1096</v>
      </c>
      <c r="E677" s="8" t="s">
        <v>12</v>
      </c>
      <c r="F677" s="8" t="s">
        <v>13</v>
      </c>
      <c r="G677" s="8" t="s">
        <v>61</v>
      </c>
      <c r="H677" s="16">
        <v>62.0</v>
      </c>
      <c r="I677" s="15" t="str">
        <f>SUBSTITUTE(Sheet1!K677, "Rp", "")</f>
        <v>4271000</v>
      </c>
    </row>
    <row r="678">
      <c r="A678" s="8" t="s">
        <v>1545</v>
      </c>
      <c r="B678" s="13" t="str">
        <f>HYPERLINK("https://shopee.co.id/Somethinc-Hyaluronic9-Advanced-B5-Serum-20ml-40ml-i.136011044.3642517531", "https://shopee.co.id/Somethinc-Hyaluronic9-Advanced-B5-Serum-20ml-40ml-i.136011044.3642517531")</f>
        <v>https://shopee.co.id/Somethinc-Hyaluronic9-Advanced-B5-Serum-20ml-40ml-i.136011044.3642517531</v>
      </c>
      <c r="C678" s="8" t="s">
        <v>45</v>
      </c>
      <c r="D678" s="8" t="s">
        <v>632</v>
      </c>
      <c r="E678" s="8" t="s">
        <v>12</v>
      </c>
      <c r="F678" s="8" t="s">
        <v>13</v>
      </c>
      <c r="G678" s="8" t="s">
        <v>21</v>
      </c>
      <c r="H678" s="16">
        <v>62.0</v>
      </c>
      <c r="I678" s="15" t="str">
        <f>SUBSTITUTE(Sheet1!K678, "Rp", "")</f>
        <v>7149450</v>
      </c>
    </row>
    <row r="679">
      <c r="A679" s="8" t="s">
        <v>2498</v>
      </c>
      <c r="B679" s="13" t="str">
        <f>HYPERLINK("https://shopee.co.id/V-NATURAL-Whitening-Serum-Temulawak-20ml-i.335556884.2929003490", "https://shopee.co.id/V-NATURAL-Whitening-Serum-Temulawak-20ml-i.335556884.2929003490")</f>
        <v>https://shopee.co.id/V-NATURAL-Whitening-Serum-Temulawak-20ml-i.335556884.2929003490</v>
      </c>
      <c r="C679" s="8" t="s">
        <v>2499</v>
      </c>
      <c r="D679" s="8" t="s">
        <v>2500</v>
      </c>
      <c r="E679" s="8" t="s">
        <v>12</v>
      </c>
      <c r="F679" s="8" t="s">
        <v>13</v>
      </c>
      <c r="G679" s="8" t="s">
        <v>21</v>
      </c>
      <c r="H679" s="16">
        <v>62.0</v>
      </c>
      <c r="I679" s="15" t="str">
        <f>SUBSTITUTE(Sheet1!K679, "Rp", "")</f>
        <v>1706644</v>
      </c>
    </row>
    <row r="680">
      <c r="A680" s="8" t="s">
        <v>2822</v>
      </c>
      <c r="B680" s="13" t="str">
        <f>HYPERLINK("https://shopee.co.id/Xi-XiU-FACE-SERUM-ANTI-ACNE-i.222854973.3170703640", "https://shopee.co.id/Xi-XiU-FACE-SERUM-ANTI-ACNE-i.222854973.3170703640")</f>
        <v>https://shopee.co.id/Xi-XiU-FACE-SERUM-ANTI-ACNE-i.222854973.3170703640</v>
      </c>
      <c r="C680" s="8" t="s">
        <v>2231</v>
      </c>
      <c r="D680" s="8" t="s">
        <v>2232</v>
      </c>
      <c r="E680" s="8" t="s">
        <v>12</v>
      </c>
      <c r="F680" s="8" t="s">
        <v>13</v>
      </c>
      <c r="G680" s="8" t="s">
        <v>36</v>
      </c>
      <c r="H680" s="16">
        <v>62.0</v>
      </c>
      <c r="I680" s="15" t="str">
        <f>SUBSTITUTE(Sheet1!K680, "Rp", "")</f>
        <v>1023000</v>
      </c>
    </row>
    <row r="681">
      <c r="A681" s="8" t="s">
        <v>1558</v>
      </c>
      <c r="B681" s="13" t="str">
        <f>HYPERLINK("https://shopee.co.id/Ella-Skincare-Glow-Acne-Tea-Tree-Serum-i.95154428.6190452664", "https://shopee.co.id/Ella-Skincare-Glow-Acne-Tea-Tree-Serum-i.95154428.6190452664")</f>
        <v>https://shopee.co.id/Ella-Skincare-Glow-Acne-Tea-Tree-Serum-i.95154428.6190452664</v>
      </c>
      <c r="C681" s="8" t="s">
        <v>954</v>
      </c>
      <c r="D681" s="8" t="s">
        <v>598</v>
      </c>
      <c r="E681" s="8" t="s">
        <v>12</v>
      </c>
      <c r="F681" s="8" t="s">
        <v>13</v>
      </c>
      <c r="G681" s="8" t="s">
        <v>409</v>
      </c>
      <c r="H681" s="16">
        <v>61.0</v>
      </c>
      <c r="I681" s="15" t="str">
        <f>SUBSTITUTE(Sheet1!K681, "Rp", "")</f>
        <v>7025850</v>
      </c>
    </row>
    <row r="682">
      <c r="A682" s="8" t="s">
        <v>2847</v>
      </c>
      <c r="B682" s="13" t="str">
        <f>HYPERLINK("https://shopee.co.id/Hanasui-Serum-Whitening-Gold-20ml-i.277377659.7639677965", "https://shopee.co.id/Hanasui-Serum-Whitening-Gold-20ml-i.277377659.7639677965")</f>
        <v>https://shopee.co.id/Hanasui-Serum-Whitening-Gold-20ml-i.277377659.7639677965</v>
      </c>
      <c r="C682" s="8" t="s">
        <v>784</v>
      </c>
      <c r="D682" s="8" t="s">
        <v>2549</v>
      </c>
      <c r="E682" s="8" t="s">
        <v>12</v>
      </c>
      <c r="F682" s="8" t="s">
        <v>13</v>
      </c>
      <c r="G682" s="8" t="s">
        <v>532</v>
      </c>
      <c r="H682" s="16">
        <v>61.0</v>
      </c>
      <c r="I682" s="15" t="str">
        <f>SUBSTITUTE(Sheet1!K682, "Rp", "")</f>
        <v>968200</v>
      </c>
    </row>
    <row r="683">
      <c r="A683" s="8" t="s">
        <v>1207</v>
      </c>
      <c r="B683" s="13" t="str">
        <f>HYPERLINK("https://shopee.co.id/HAUM-C-Serum-Vitamin-C-15-28-ml-x-1-i.344731863.8616886326", "https://shopee.co.id/HAUM-C-Serum-Vitamin-C-15-28-ml-x-1-i.344731863.8616886326")</f>
        <v>https://shopee.co.id/HAUM-C-Serum-Vitamin-C-15-28-ml-x-1-i.344731863.8616886326</v>
      </c>
      <c r="C683" s="8" t="s">
        <v>1144</v>
      </c>
      <c r="D683" s="8" t="s">
        <v>1145</v>
      </c>
      <c r="E683" s="8" t="s">
        <v>12</v>
      </c>
      <c r="F683" s="8" t="s">
        <v>13</v>
      </c>
      <c r="G683" s="8" t="s">
        <v>98</v>
      </c>
      <c r="H683" s="16">
        <v>61.0</v>
      </c>
      <c r="I683" s="15" t="str">
        <f>SUBSTITUTE(Sheet1!K683, "Rp", "")</f>
        <v>12847800</v>
      </c>
    </row>
    <row r="684">
      <c r="A684" s="8" t="s">
        <v>1289</v>
      </c>
      <c r="B684" s="13" t="str">
        <f>HYPERLINK("https://shopee.co.id/KF-Skin-Serum-Dermaplus-Vit-C-i.298365554.3652175731", "https://shopee.co.id/KF-Skin-Serum-Dermaplus-Vit-C-i.298365554.3652175731")</f>
        <v>https://shopee.co.id/KF-Skin-Serum-Dermaplus-Vit-C-i.298365554.3652175731</v>
      </c>
      <c r="C684" s="8" t="s">
        <v>1290</v>
      </c>
      <c r="D684" s="8" t="s">
        <v>1291</v>
      </c>
      <c r="E684" s="8" t="s">
        <v>12</v>
      </c>
      <c r="F684" s="8" t="s">
        <v>13</v>
      </c>
      <c r="G684" s="8" t="s">
        <v>1292</v>
      </c>
      <c r="H684" s="16">
        <v>61.0</v>
      </c>
      <c r="I684" s="15" t="str">
        <f>SUBSTITUTE(Sheet1!K684, "Rp", "")</f>
        <v>10905750</v>
      </c>
    </row>
    <row r="685">
      <c r="A685" s="8" t="s">
        <v>1555</v>
      </c>
      <c r="B685" s="13" t="str">
        <f>HYPERLINK("https://shopee.co.id/MSBB-Somethinc-AHA-BHA-PHA-Peeling-Solution-20-ml-i.288588702.3762569871", "https://shopee.co.id/MSBB-Somethinc-AHA-BHA-PHA-Peeling-Solution-20-ml-i.288588702.3762569871")</f>
        <v>https://shopee.co.id/MSBB-Somethinc-AHA-BHA-PHA-Peeling-Solution-20-ml-i.288588702.3762569871</v>
      </c>
      <c r="C685" s="8" t="s">
        <v>45</v>
      </c>
      <c r="D685" s="8" t="s">
        <v>79</v>
      </c>
      <c r="E685" s="8" t="s">
        <v>12</v>
      </c>
      <c r="F685" s="8" t="s">
        <v>13</v>
      </c>
      <c r="G685" s="8" t="s">
        <v>80</v>
      </c>
      <c r="H685" s="16">
        <v>61.0</v>
      </c>
      <c r="I685" s="15" t="str">
        <f>SUBSTITUTE(Sheet1!K685, "Rp", "")</f>
        <v>7045500</v>
      </c>
    </row>
    <row r="686">
      <c r="A686" s="8" t="s">
        <v>894</v>
      </c>
      <c r="B686" s="13" t="str">
        <f>HYPERLINK("https://shopee.co.id/Treasure-Glow-Duo-Whitening-Anti-aging-Kit-Peeling-Serum-All-Type-Skin-i.73969875.3697126320", "https://shopee.co.id/Treasure-Glow-Duo-Whitening-Anti-aging-Kit-Peeling-Serum-All-Type-Skin-i.73969875.3697126320")</f>
        <v>https://shopee.co.id/Treasure-Glow-Duo-Whitening-Anti-aging-Kit-Peeling-Serum-All-Type-Skin-i.73969875.3697126320</v>
      </c>
      <c r="C686" s="8" t="s">
        <v>895</v>
      </c>
      <c r="D686" s="8" t="s">
        <v>896</v>
      </c>
      <c r="E686" s="8" t="s">
        <v>12</v>
      </c>
      <c r="F686" s="8" t="s">
        <v>13</v>
      </c>
      <c r="G686" s="8" t="s">
        <v>21</v>
      </c>
      <c r="H686" s="16">
        <v>61.0</v>
      </c>
      <c r="I686" s="15" t="str">
        <f>SUBSTITUTE(Sheet1!K686, "Rp", "")</f>
        <v>24274900</v>
      </c>
    </row>
    <row r="687">
      <c r="A687" s="8" t="s">
        <v>312</v>
      </c>
      <c r="B687" s="13" t="str">
        <f>HYPERLINK("https://shopee.co.id/Whitelab-Hydrating-Face-Essence-i.110573301.8015714560", "https://shopee.co.id/Whitelab-Hydrating-Face-Essence-i.110573301.8015714560")</f>
        <v>https://shopee.co.id/Whitelab-Hydrating-Face-Essence-i.110573301.8015714560</v>
      </c>
      <c r="C687" s="8" t="s">
        <v>59</v>
      </c>
      <c r="D687" s="8" t="s">
        <v>227</v>
      </c>
      <c r="E687" s="8" t="s">
        <v>12</v>
      </c>
      <c r="F687" s="8" t="s">
        <v>13</v>
      </c>
      <c r="G687" s="8" t="s">
        <v>61</v>
      </c>
      <c r="H687" s="16">
        <v>61.0</v>
      </c>
      <c r="I687" s="15" t="str">
        <f>SUBSTITUTE(Sheet1!K687, "Rp", "")</f>
        <v>4032400</v>
      </c>
    </row>
    <row r="688">
      <c r="A688" s="8" t="s">
        <v>1640</v>
      </c>
      <c r="B688" s="13" t="str">
        <f>HYPERLINK("https://shopee.co.id/Avoskin-Hydrating-Treatment-Essence-100ml-i.825870.1810330776", "https://shopee.co.id/Avoskin-Hydrating-Treatment-Essence-100ml-i.825870.1810330776")</f>
        <v>https://shopee.co.id/Avoskin-Hydrating-Treatment-Essence-100ml-i.825870.1810330776</v>
      </c>
      <c r="C688" s="8" t="s">
        <v>83</v>
      </c>
      <c r="D688" s="8" t="s">
        <v>1184</v>
      </c>
      <c r="E688" s="8" t="s">
        <v>12</v>
      </c>
      <c r="F688" s="8" t="s">
        <v>13</v>
      </c>
      <c r="G688" s="8" t="s">
        <v>21</v>
      </c>
      <c r="H688" s="16">
        <v>60.0</v>
      </c>
      <c r="I688" s="15" t="str">
        <f>SUBSTITUTE(Sheet1!K688, "Rp", "")</f>
        <v>5939410</v>
      </c>
    </row>
    <row r="689">
      <c r="A689" s="8" t="s">
        <v>1443</v>
      </c>
      <c r="B689" s="13" t="str">
        <f>HYPERLINK("https://shopee.co.id/Glowlabs-Gentle-Bright-Serum-Powerful-Brightening-Skincare--i.336869851.9070576463", "https://shopee.co.id/Glowlabs-Gentle-Bright-Serum-Powerful-Brightening-Skincare--i.336869851.9070576463")</f>
        <v>https://shopee.co.id/Glowlabs-Gentle-Bright-Serum-Powerful-Brightening-Skincare--i.336869851.9070576463</v>
      </c>
      <c r="C689" s="8" t="s">
        <v>407</v>
      </c>
      <c r="D689" s="8" t="s">
        <v>408</v>
      </c>
      <c r="E689" s="8" t="s">
        <v>12</v>
      </c>
      <c r="F689" s="8" t="s">
        <v>13</v>
      </c>
      <c r="G689" s="8" t="s">
        <v>409</v>
      </c>
      <c r="H689" s="16">
        <v>60.0</v>
      </c>
      <c r="I689" s="15" t="str">
        <f>SUBSTITUTE(Sheet1!K689, "Rp", "")</f>
        <v>8320000</v>
      </c>
    </row>
    <row r="690">
      <c r="A690" s="8" t="s">
        <v>1989</v>
      </c>
      <c r="B690" s="13" t="str">
        <f>HYPERLINK("https://shopee.co.id/Natasha-by-dr-Fredi-Setyawan-Moist-Tea-Tree-Serum-i.40121814.3758040158", "https://shopee.co.id/Natasha-by-dr-Fredi-Setyawan-Moist-Tea-Tree-Serum-i.40121814.3758040158")</f>
        <v>https://shopee.co.id/Natasha-by-dr-Fredi-Setyawan-Moist-Tea-Tree-Serum-i.40121814.3758040158</v>
      </c>
      <c r="C690" s="8" t="s">
        <v>793</v>
      </c>
      <c r="D690" s="8" t="s">
        <v>794</v>
      </c>
      <c r="E690" s="8" t="s">
        <v>12</v>
      </c>
      <c r="F690" s="8" t="s">
        <v>13</v>
      </c>
      <c r="G690" s="8" t="s">
        <v>380</v>
      </c>
      <c r="H690" s="16">
        <v>60.0</v>
      </c>
      <c r="I690" s="15" t="str">
        <f>SUBSTITUTE(Sheet1!K690, "Rp", "")</f>
        <v>3528720</v>
      </c>
    </row>
    <row r="691">
      <c r="A691" s="8" t="s">
        <v>1800</v>
      </c>
      <c r="B691" s="13" t="str">
        <f>HYPERLINK("https://shopee.co.id/Pixy-White-Aqua-Hydra-Moist-Essence-Netto-100-ML-i.168693892.2900798565", "https://shopee.co.id/Pixy-White-Aqua-Hydra-Moist-Essence-Netto-100-ML-i.168693892.2900798565")</f>
        <v>https://shopee.co.id/Pixy-White-Aqua-Hydra-Moist-Essence-Netto-100-ML-i.168693892.2900798565</v>
      </c>
      <c r="C691" s="8" t="s">
        <v>1398</v>
      </c>
      <c r="D691" s="8" t="s">
        <v>1399</v>
      </c>
      <c r="E691" s="8" t="s">
        <v>12</v>
      </c>
      <c r="F691" s="8" t="s">
        <v>13</v>
      </c>
      <c r="G691" s="8" t="s">
        <v>61</v>
      </c>
      <c r="H691" s="16">
        <v>60.0</v>
      </c>
      <c r="I691" s="15" t="str">
        <f>SUBSTITUTE(Sheet1!K691, "Rp", "")</f>
        <v>4685000</v>
      </c>
    </row>
    <row r="692">
      <c r="A692" s="8" t="s">
        <v>1521</v>
      </c>
      <c r="B692" s="13" t="str">
        <f>HYPERLINK("https://shopee.co.id/SECA-CERAMIDE-Solution-3-Serum-i.373749700.9972917936", "https://shopee.co.id/SECA-CERAMIDE-Solution-3-Serum-i.373749700.9972917936")</f>
        <v>https://shopee.co.id/SECA-CERAMIDE-Solution-3-Serum-i.373749700.9972917936</v>
      </c>
      <c r="C692" s="8" t="s">
        <v>985</v>
      </c>
      <c r="D692" s="8" t="s">
        <v>986</v>
      </c>
      <c r="E692" s="8" t="s">
        <v>12</v>
      </c>
      <c r="F692" s="8" t="s">
        <v>13</v>
      </c>
      <c r="G692" s="8" t="s">
        <v>36</v>
      </c>
      <c r="H692" s="16">
        <v>60.0</v>
      </c>
      <c r="I692" s="15" t="str">
        <f>SUBSTITUTE(Sheet1!K692, "Rp", "")</f>
        <v>7391700</v>
      </c>
    </row>
    <row r="693">
      <c r="A693" s="8" t="s">
        <v>1429</v>
      </c>
      <c r="B693" s="13" t="str">
        <f>HYPERLINK("https://shopee.co.id/SOME-BY-MI-Yuja-Niacin-Blemish-Care-Serum-i.125116082.8767178495", "https://shopee.co.id/SOME-BY-MI-Yuja-Niacin-Blemish-Care-Serum-i.125116082.8767178495")</f>
        <v>https://shopee.co.id/SOME-BY-MI-Yuja-Niacin-Blemish-Care-Serum-i.125116082.8767178495</v>
      </c>
      <c r="C693" s="8" t="s">
        <v>213</v>
      </c>
      <c r="D693" s="8" t="s">
        <v>713</v>
      </c>
      <c r="E693" s="8" t="s">
        <v>12</v>
      </c>
      <c r="F693" s="8" t="s">
        <v>13</v>
      </c>
      <c r="G693" s="8" t="s">
        <v>61</v>
      </c>
      <c r="H693" s="16">
        <v>60.0</v>
      </c>
      <c r="I693" s="15" t="str">
        <f>SUBSTITUTE(Sheet1!K693, "Rp", "")</f>
        <v>8531000</v>
      </c>
    </row>
    <row r="694">
      <c r="A694" s="8" t="s">
        <v>1742</v>
      </c>
      <c r="B694" s="13" t="str">
        <f>HYPERLINK("https://shopee.co.id/THE-AUBREE-Centella-Herb-Serum-UNSCENTED-30ml-i.270965687.7776018673", "https://shopee.co.id/THE-AUBREE-Centella-Herb-Serum-UNSCENTED-30ml-i.270965687.7776018673")</f>
        <v>https://shopee.co.id/THE-AUBREE-Centella-Herb-Serum-UNSCENTED-30ml-i.270965687.7776018673</v>
      </c>
      <c r="C694" s="8" t="s">
        <v>772</v>
      </c>
      <c r="D694" s="8" t="s">
        <v>379</v>
      </c>
      <c r="E694" s="8" t="s">
        <v>12</v>
      </c>
      <c r="F694" s="8" t="s">
        <v>13</v>
      </c>
      <c r="G694" s="8" t="s">
        <v>380</v>
      </c>
      <c r="H694" s="16">
        <v>60.0</v>
      </c>
      <c r="I694" s="15" t="str">
        <f>SUBSTITUTE(Sheet1!K694, "Rp", "")</f>
        <v>5049000</v>
      </c>
    </row>
    <row r="695">
      <c r="A695" s="8" t="s">
        <v>1723</v>
      </c>
      <c r="B695" s="13" t="str">
        <f>HYPERLINK("https://shopee.co.id/Somethinc-Bakuchiol-Skinpair-Oil-Serum-20ml-i.50948181.7376393959", "https://shopee.co.id/Somethinc-Bakuchiol-Skinpair-Oil-Serum-20ml-i.50948181.7376393959")</f>
        <v>https://shopee.co.id/Somethinc-Bakuchiol-Skinpair-Oil-Serum-20ml-i.50948181.7376393959</v>
      </c>
      <c r="C695" s="8" t="s">
        <v>45</v>
      </c>
      <c r="D695" s="8" t="s">
        <v>1129</v>
      </c>
      <c r="E695" s="8" t="s">
        <v>12</v>
      </c>
      <c r="F695" s="8" t="s">
        <v>13</v>
      </c>
      <c r="G695" s="8" t="s">
        <v>1130</v>
      </c>
      <c r="H695" s="16">
        <v>59.0</v>
      </c>
      <c r="I695" s="15" t="str">
        <f>SUBSTITUTE(Sheet1!K695, "Rp", "")</f>
        <v>5206500</v>
      </c>
    </row>
    <row r="696">
      <c r="A696" s="8" t="s">
        <v>1603</v>
      </c>
      <c r="B696" s="13" t="str">
        <f>HYPERLINK("https://shopee.co.id/Dear-Me-Beauty-10-Lactobionic-Acid-PHA-Lime-Extract-Face-Serum-12ml-i.45495764.8848396939", "https://shopee.co.id/Dear-Me-Beauty-10-Lactobionic-Acid-PHA-Lime-Extract-Face-Serum-12ml-i.45495764.8848396939")</f>
        <v>https://shopee.co.id/Dear-Me-Beauty-10-Lactobionic-Acid-PHA-Lime-Extract-Face-Serum-12ml-i.45495764.8848396939</v>
      </c>
      <c r="C696" s="8" t="s">
        <v>70</v>
      </c>
      <c r="D696" s="8" t="s">
        <v>71</v>
      </c>
      <c r="E696" s="8" t="s">
        <v>12</v>
      </c>
      <c r="F696" s="8" t="s">
        <v>13</v>
      </c>
      <c r="G696" s="8" t="s">
        <v>61</v>
      </c>
      <c r="H696" s="16">
        <v>59.0</v>
      </c>
      <c r="I696" s="15" t="str">
        <f>SUBSTITUTE(Sheet1!K696, "Rp", "")</f>
        <v>6338350</v>
      </c>
    </row>
    <row r="697">
      <c r="A697" s="8" t="s">
        <v>1257</v>
      </c>
      <c r="B697" s="13" t="str">
        <f>HYPERLINK("https://shopee.co.id/Elvicto-Brightening-Serum-i.214358077.9401948848", "https://shopee.co.id/Elvicto-Brightening-Serum-i.214358077.9401948848")</f>
        <v>https://shopee.co.id/Elvicto-Brightening-Serum-i.214358077.9401948848</v>
      </c>
      <c r="C697" s="8" t="s">
        <v>1258</v>
      </c>
      <c r="D697" s="8" t="s">
        <v>1259</v>
      </c>
      <c r="E697" s="8" t="s">
        <v>12</v>
      </c>
      <c r="F697" s="8" t="s">
        <v>13</v>
      </c>
      <c r="G697" s="8" t="s">
        <v>469</v>
      </c>
      <c r="H697" s="16">
        <v>59.0</v>
      </c>
      <c r="I697" s="15" t="str">
        <f>SUBSTITUTE(Sheet1!K697, "Rp", "")</f>
        <v>11682000</v>
      </c>
    </row>
    <row r="698">
      <c r="A698" s="8" t="s">
        <v>1627</v>
      </c>
      <c r="B698" s="13" t="str">
        <f>HYPERLINK("https://shopee.co.id/Garnier-Sakura-Glow-Hyaluron-Water-Glow-Essence-Skin-Care-x-3-pcs-Untuk-Kulit-Glowing-Dari-Dalam--i.62583853.8567876287", "https://shopee.co.id/Garnier-Sakura-Glow-Hyaluron-Water-Glow-Essence-Skin-Care-x-3-pcs-Untuk-Kulit-Glowing-Dari-Dalam--i.62583853.8567876287")</f>
        <v>https://shopee.co.id/Garnier-Sakura-Glow-Hyaluron-Water-Glow-Essence-Skin-Care-x-3-pcs-Untuk-Kulit-Glowing-Dari-Dalam--i.62583853.8567876287</v>
      </c>
      <c r="C698" s="8" t="s">
        <v>74</v>
      </c>
      <c r="D698" s="8" t="s">
        <v>75</v>
      </c>
      <c r="E698" s="8" t="s">
        <v>12</v>
      </c>
      <c r="F698" s="8" t="s">
        <v>13</v>
      </c>
      <c r="G698" s="8" t="s">
        <v>61</v>
      </c>
      <c r="H698" s="16">
        <v>59.0</v>
      </c>
      <c r="I698" s="15" t="str">
        <f>SUBSTITUTE(Sheet1!K698, "Rp", "")</f>
        <v>6165900</v>
      </c>
    </row>
    <row r="699">
      <c r="A699" s="8" t="s">
        <v>1148</v>
      </c>
      <c r="B699" s="13" t="str">
        <f>HYPERLINK("https://shopee.co.id/MSBB-Lacoco-5-Bakuchiol-Essence-i.288588702.8987976739", "https://shopee.co.id/MSBB-Lacoco-5-Bakuchiol-Essence-i.288588702.8987976739")</f>
        <v>https://shopee.co.id/MSBB-Lacoco-5-Bakuchiol-Essence-i.288588702.8987976739</v>
      </c>
      <c r="C699" s="8" t="s">
        <v>78</v>
      </c>
      <c r="D699" s="8" t="s">
        <v>79</v>
      </c>
      <c r="E699" s="8" t="s">
        <v>12</v>
      </c>
      <c r="F699" s="8" t="s">
        <v>13</v>
      </c>
      <c r="G699" s="8" t="s">
        <v>80</v>
      </c>
      <c r="H699" s="16">
        <v>59.0</v>
      </c>
      <c r="I699" s="15" t="str">
        <f>SUBSTITUTE(Sheet1!K699, "Rp", "")</f>
        <v>14080000</v>
      </c>
    </row>
    <row r="700">
      <c r="A700" s="8" t="s">
        <v>1719</v>
      </c>
      <c r="B700" s="13" t="str">
        <f>HYPERLINK("https://shopee.co.id/Tuesbelle-SOMETHINC-Niacinamide-Moisture-Sabi-Beet-Max-5-10-Brightening-Niacinamide-Barrier-Serum-i.36872574.2685883471", "https://shopee.co.id/Tuesbelle-SOMETHINC-Niacinamide-Moisture-Sabi-Beet-Max-5-10-Brightening-Niacinamide-Barrier-Serum-i.36872574.2685883471")</f>
        <v>https://shopee.co.id/Tuesbelle-SOMETHINC-Niacinamide-Moisture-Sabi-Beet-Max-5-10-Brightening-Niacinamide-Barrier-Serum-i.36872574.2685883471</v>
      </c>
      <c r="C700" s="8" t="s">
        <v>45</v>
      </c>
      <c r="D700" s="8" t="s">
        <v>969</v>
      </c>
      <c r="E700" s="8" t="s">
        <v>12</v>
      </c>
      <c r="F700" s="8" t="s">
        <v>13</v>
      </c>
      <c r="G700" s="8" t="s">
        <v>115</v>
      </c>
      <c r="H700" s="16">
        <v>59.0</v>
      </c>
      <c r="I700" s="15" t="str">
        <f>SUBSTITUTE(Sheet1!K700, "Rp", "")</f>
        <v>5251000</v>
      </c>
    </row>
    <row r="701">
      <c r="A701" s="8" t="s">
        <v>1805</v>
      </c>
      <c r="B701" s="13" t="str">
        <f>HYPERLINK("https://shopee.co.id/Wardah-C-Defense-Serum-17Ml-i.30736001.962659726", "https://shopee.co.id/Wardah-C-Defense-Serum-17Ml-i.30736001.962659726")</f>
        <v>https://shopee.co.id/Wardah-C-Defense-Serum-17Ml-i.30736001.962659726</v>
      </c>
      <c r="C701" s="8" t="s">
        <v>169</v>
      </c>
      <c r="D701" s="8" t="s">
        <v>335</v>
      </c>
      <c r="E701" s="8" t="s">
        <v>12</v>
      </c>
      <c r="F701" s="8" t="s">
        <v>13</v>
      </c>
      <c r="G701" s="8" t="s">
        <v>36</v>
      </c>
      <c r="H701" s="16">
        <v>59.0</v>
      </c>
      <c r="I701" s="15" t="str">
        <f>SUBSTITUTE(Sheet1!K701, "Rp", "")</f>
        <v>4642100</v>
      </c>
    </row>
    <row r="702">
      <c r="A702" s="8" t="s">
        <v>2477</v>
      </c>
      <c r="B702" s="13" t="str">
        <f>HYPERLINK("https://shopee.co.id/-BPOM-LANBENA-Hyaluronic-Acid-Serum-Melembabkan-15-ml--i.397732085.3281227760", "https://shopee.co.id/-BPOM-LANBENA-Hyaluronic-Acid-Serum-Melembabkan-15-ml--i.397732085.3281227760")</f>
        <v>https://shopee.co.id/-BPOM-LANBENA-Hyaluronic-Acid-Serum-Melembabkan-15-ml--i.397732085.3281227760</v>
      </c>
      <c r="C702" s="8" t="s">
        <v>1427</v>
      </c>
      <c r="D702" s="8" t="s">
        <v>1428</v>
      </c>
      <c r="E702" s="8" t="s">
        <v>12</v>
      </c>
      <c r="F702" s="8" t="s">
        <v>13</v>
      </c>
      <c r="G702" s="8" t="s">
        <v>532</v>
      </c>
      <c r="H702" s="16">
        <v>58.0</v>
      </c>
      <c r="I702" s="15" t="str">
        <f>SUBSTITUTE(Sheet1!K702, "Rp", "")</f>
        <v>1762400</v>
      </c>
    </row>
    <row r="703">
      <c r="A703" s="8" t="s">
        <v>100</v>
      </c>
      <c r="B703" s="13" t="str">
        <f>HYPERLINK("https://shopee.co.id/Avoskin-Perfect-Hydrating-Treatment-Essence-100ml-i.30736001.11201973171", "https://shopee.co.id/Avoskin-Perfect-Hydrating-Treatment-Essence-100ml-i.30736001.11201973171")</f>
        <v>https://shopee.co.id/Avoskin-Perfect-Hydrating-Treatment-Essence-100ml-i.30736001.11201973171</v>
      </c>
      <c r="C703" s="8" t="s">
        <v>83</v>
      </c>
      <c r="D703" s="8" t="s">
        <v>335</v>
      </c>
      <c r="E703" s="8" t="s">
        <v>12</v>
      </c>
      <c r="F703" s="8" t="s">
        <v>13</v>
      </c>
      <c r="G703" s="8" t="s">
        <v>36</v>
      </c>
      <c r="H703" s="16">
        <v>58.0</v>
      </c>
      <c r="I703" s="15" t="str">
        <f>SUBSTITUTE(Sheet1!K703, "Rp", "")</f>
        <v>15637700</v>
      </c>
    </row>
    <row r="704">
      <c r="A704" s="8" t="s">
        <v>2678</v>
      </c>
      <c r="B704" s="13" t="str">
        <f>HYPERLINK("https://shopee.co.id/AZARINE-ANTI-ACNE-BRIGHTENING-SERUM-20-ML-i.50972887.4888243527", "https://shopee.co.id/AZARINE-ANTI-ACNE-BRIGHTENING-SERUM-20-ML-i.50972887.4888243527")</f>
        <v>https://shopee.co.id/AZARINE-ANTI-ACNE-BRIGHTENING-SERUM-20-ML-i.50972887.4888243527</v>
      </c>
      <c r="C704" s="8" t="s">
        <v>233</v>
      </c>
      <c r="D704" s="8" t="s">
        <v>552</v>
      </c>
      <c r="E704" s="8" t="s">
        <v>12</v>
      </c>
      <c r="F704" s="8" t="s">
        <v>13</v>
      </c>
      <c r="G704" s="8" t="s">
        <v>61</v>
      </c>
      <c r="H704" s="16">
        <v>58.0</v>
      </c>
      <c r="I704" s="15" t="str">
        <f>SUBSTITUTE(Sheet1!K704, "Rp", "")</f>
        <v>1273600</v>
      </c>
    </row>
    <row r="705">
      <c r="A705" s="8" t="s">
        <v>1939</v>
      </c>
      <c r="B705" s="13" t="str">
        <f>HYPERLINK("https://shopee.co.id/BREYLEE-SETS-of-SERUM-B-Mencerahkan-Menyegarkan-Wajah-2pcs--i.324706771.6768805836", "https://shopee.co.id/BREYLEE-SETS-of-SERUM-B-Mencerahkan-Menyegarkan-Wajah-2pcs--i.324706771.6768805836")</f>
        <v>https://shopee.co.id/BREYLEE-SETS-of-SERUM-B-Mencerahkan-Menyegarkan-Wajah-2pcs--i.324706771.6768805836</v>
      </c>
      <c r="C705" s="8" t="s">
        <v>852</v>
      </c>
      <c r="D705" s="8" t="s">
        <v>853</v>
      </c>
      <c r="E705" s="8" t="s">
        <v>12</v>
      </c>
      <c r="F705" s="8" t="s">
        <v>13</v>
      </c>
      <c r="G705" s="8" t="s">
        <v>532</v>
      </c>
      <c r="H705" s="16">
        <v>58.0</v>
      </c>
      <c r="I705" s="15" t="str">
        <f>SUBSTITUTE(Sheet1!K705, "Rp", "")</f>
        <v>3774000</v>
      </c>
    </row>
    <row r="706">
      <c r="A706" s="8" t="s">
        <v>1588</v>
      </c>
      <c r="B706" s="13" t="str">
        <f>HYPERLINK("https://shopee.co.id/Glowlabs-Gentle-Glow-Essence-AHA-BHA-PHA-Centella-Asiatica-Gentle-Exfoliator--i.336869851.6374240556", "https://shopee.co.id/Glowlabs-Gentle-Glow-Essence-AHA-BHA-PHA-Centella-Asiatica-Gentle-Exfoliator--i.336869851.6374240556")</f>
        <v>https://shopee.co.id/Glowlabs-Gentle-Glow-Essence-AHA-BHA-PHA-Centella-Asiatica-Gentle-Exfoliator--i.336869851.6374240556</v>
      </c>
      <c r="C706" s="8" t="s">
        <v>407</v>
      </c>
      <c r="D706" s="8" t="s">
        <v>408</v>
      </c>
      <c r="E706" s="8" t="s">
        <v>12</v>
      </c>
      <c r="F706" s="8" t="s">
        <v>13</v>
      </c>
      <c r="G706" s="8" t="s">
        <v>409</v>
      </c>
      <c r="H706" s="16">
        <v>58.0</v>
      </c>
      <c r="I706" s="15" t="str">
        <f>SUBSTITUTE(Sheet1!K706, "Rp", "")</f>
        <v>6581250</v>
      </c>
    </row>
    <row r="707">
      <c r="A707" s="8" t="s">
        <v>1201</v>
      </c>
      <c r="B707" s="13" t="str">
        <f>HYPERLINK("https://shopee.co.id/KEEP-COOL-Soothe-Bamboo-Serum-50ml-i.446775850.8656939793", "https://shopee.co.id/KEEP-COOL-Soothe-Bamboo-Serum-50ml-i.446775850.8656939793")</f>
        <v>https://shopee.co.id/KEEP-COOL-Soothe-Bamboo-Serum-50ml-i.446775850.8656939793</v>
      </c>
      <c r="C707" s="8" t="s">
        <v>1202</v>
      </c>
      <c r="D707" s="8" t="s">
        <v>1203</v>
      </c>
      <c r="E707" s="8" t="s">
        <v>12</v>
      </c>
      <c r="F707" s="8" t="s">
        <v>13</v>
      </c>
      <c r="G707" s="8" t="s">
        <v>80</v>
      </c>
      <c r="H707" s="16">
        <v>58.0</v>
      </c>
      <c r="I707" s="15" t="str">
        <f>SUBSTITUTE(Sheet1!K707, "Rp", "")</f>
        <v>12904722</v>
      </c>
    </row>
    <row r="708">
      <c r="A708" s="8" t="s">
        <v>1523</v>
      </c>
      <c r="B708" s="13" t="str">
        <f>HYPERLINK("https://shopee.co.id/KKV-GET-VOUCHER-Avoskin-Perfect-Hydrating-Treatment-Essence-untuk-mencerahkan-dan-melembapkan-Brightening-i.313431312.9686450420", "https://shopee.co.id/KKV-GET-VOUCHER-Avoskin-Perfect-Hydrating-Treatment-Essence-untuk-mencerahkan-dan-melembapkan-Brightening-i.313431312.9686450420")</f>
        <v>https://shopee.co.id/KKV-GET-VOUCHER-Avoskin-Perfect-Hydrating-Treatment-Essence-untuk-mencerahkan-dan-melembapkan-Brightening-i.313431312.9686450420</v>
      </c>
      <c r="C708" s="8" t="s">
        <v>83</v>
      </c>
      <c r="D708" s="8" t="s">
        <v>1524</v>
      </c>
      <c r="E708" s="8" t="s">
        <v>12</v>
      </c>
      <c r="F708" s="8" t="s">
        <v>13</v>
      </c>
      <c r="G708" s="8" t="s">
        <v>61</v>
      </c>
      <c r="H708" s="16">
        <v>58.0</v>
      </c>
      <c r="I708" s="15" t="str">
        <f>SUBSTITUTE(Sheet1!K708, "Rp", "")</f>
        <v>7358000</v>
      </c>
    </row>
    <row r="709">
      <c r="A709" s="8" t="s">
        <v>1765</v>
      </c>
      <c r="B709" s="13" t="str">
        <f>HYPERLINK("https://shopee.co.id/THE-AUBREE-Centella-Herb-Serum-Centella-Asiatica-Niacinamide-Salicylic-Acid-30ml-i.270965687.8514125098", "https://shopee.co.id/THE-AUBREE-Centella-Herb-Serum-Centella-Asiatica-Niacinamide-Salicylic-Acid-30ml-i.270965687.8514125098")</f>
        <v>https://shopee.co.id/THE-AUBREE-Centella-Herb-Serum-Centella-Asiatica-Niacinamide-Salicylic-Acid-30ml-i.270965687.8514125098</v>
      </c>
      <c r="C709" s="8" t="s">
        <v>772</v>
      </c>
      <c r="D709" s="8" t="s">
        <v>379</v>
      </c>
      <c r="E709" s="8" t="s">
        <v>12</v>
      </c>
      <c r="F709" s="8" t="s">
        <v>13</v>
      </c>
      <c r="G709" s="8" t="s">
        <v>380</v>
      </c>
      <c r="H709" s="16">
        <v>58.0</v>
      </c>
      <c r="I709" s="15" t="str">
        <f>SUBSTITUTE(Sheet1!K709, "Rp", "")</f>
        <v>4880700</v>
      </c>
    </row>
    <row r="710">
      <c r="A710" s="8" t="s">
        <v>1756</v>
      </c>
      <c r="B710" s="13" t="str">
        <f>HYPERLINK("https://shopee.co.id/ERTOS-DARK-SPOT-15ML-SERUM-PENCERAH-WAJAH-PENGHILANG-FLEK-ERTO-S-i.23831802.2039801949", "https://shopee.co.id/ERTOS-DARK-SPOT-15ML-SERUM-PENCERAH-WAJAH-PENGHILANG-FLEK-ERTO-S-i.23831802.2039801949")</f>
        <v>https://shopee.co.id/ERTOS-DARK-SPOT-15ML-SERUM-PENCERAH-WAJAH-PENGHILANG-FLEK-ERTO-S-i.23831802.2039801949</v>
      </c>
      <c r="C710" s="8" t="s">
        <v>467</v>
      </c>
      <c r="D710" s="8" t="s">
        <v>1084</v>
      </c>
      <c r="E710" s="8" t="s">
        <v>12</v>
      </c>
      <c r="F710" s="8" t="s">
        <v>13</v>
      </c>
      <c r="G710" s="8" t="s">
        <v>1085</v>
      </c>
      <c r="H710" s="16">
        <v>57.0</v>
      </c>
      <c r="I710" s="15" t="str">
        <f>SUBSTITUTE(Sheet1!K710, "Rp", "")</f>
        <v>4936500</v>
      </c>
    </row>
    <row r="711">
      <c r="A711" s="8" t="s">
        <v>1622</v>
      </c>
      <c r="B711" s="13" t="str">
        <f>HYPERLINK("https://shopee.co.id/SOME-BY-MI-AHABHAPHA-30-Days-Miracle-Travel-Kit-i.125116082.10111565555", "https://shopee.co.id/SOME-BY-MI-AHABHAPHA-30-Days-Miracle-Travel-Kit-i.125116082.10111565555")</f>
        <v>https://shopee.co.id/SOME-BY-MI-AHABHAPHA-30-Days-Miracle-Travel-Kit-i.125116082.10111565555</v>
      </c>
      <c r="C711" s="8" t="s">
        <v>213</v>
      </c>
      <c r="D711" s="8" t="s">
        <v>713</v>
      </c>
      <c r="E711" s="8" t="s">
        <v>12</v>
      </c>
      <c r="F711" s="8" t="s">
        <v>13</v>
      </c>
      <c r="G711" s="8" t="s">
        <v>61</v>
      </c>
      <c r="H711" s="16">
        <v>57.0</v>
      </c>
      <c r="I711" s="15" t="str">
        <f>SUBSTITUTE(Sheet1!K711, "Rp", "")</f>
        <v>6202000</v>
      </c>
    </row>
    <row r="712">
      <c r="A712" s="8" t="s">
        <v>925</v>
      </c>
      <c r="B712" s="13" t="str">
        <f>HYPERLINK("https://shopee.co.id/-Buy-1-Get-1-Bio-Essence-Bio-Gold-Night-Cream-40Gr-i.63822287.6066630736", "https://shopee.co.id/-Buy-1-Get-1-Bio-Essence-Bio-Gold-Night-Cream-40Gr-i.63822287.6066630736")</f>
        <v>https://shopee.co.id/-Buy-1-Get-1-Bio-Essence-Bio-Gold-Night-Cream-40Gr-i.63822287.6066630736</v>
      </c>
      <c r="C712" s="8" t="s">
        <v>834</v>
      </c>
      <c r="D712" s="8" t="s">
        <v>835</v>
      </c>
      <c r="E712" s="8" t="s">
        <v>12</v>
      </c>
      <c r="F712" s="8" t="s">
        <v>13</v>
      </c>
      <c r="G712" s="8" t="s">
        <v>61</v>
      </c>
      <c r="H712" s="16">
        <v>56.0</v>
      </c>
      <c r="I712" s="15" t="str">
        <f>SUBSTITUTE(Sheet1!K712, "Rp", "")</f>
        <v>22719100</v>
      </c>
    </row>
    <row r="713">
      <c r="A713" s="8" t="s">
        <v>1935</v>
      </c>
      <c r="B713" s="13" t="str">
        <f>HYPERLINK("https://shopee.co.id/Humphrey-Vitamin-C-Whitening-Plus-Serum-20ml-Kulit-Berminyak--i.83349.273108", "https://shopee.co.id/Humphrey-Vitamin-C-Whitening-Plus-Serum-20ml-Kulit-Berminyak--i.83349.273108")</f>
        <v>https://shopee.co.id/Humphrey-Vitamin-C-Whitening-Plus-Serum-20ml-Kulit-Berminyak--i.83349.273108</v>
      </c>
      <c r="C713" s="8" t="s">
        <v>1832</v>
      </c>
      <c r="D713" s="8" t="s">
        <v>1833</v>
      </c>
      <c r="E713" s="8" t="s">
        <v>12</v>
      </c>
      <c r="F713" s="8" t="s">
        <v>13</v>
      </c>
      <c r="G713" s="8" t="s">
        <v>21</v>
      </c>
      <c r="H713" s="16">
        <v>56.0</v>
      </c>
      <c r="I713" s="15" t="str">
        <f>SUBSTITUTE(Sheet1!K713, "Rp", "")</f>
        <v>3804920</v>
      </c>
    </row>
    <row r="714">
      <c r="A714" s="8" t="s">
        <v>1940</v>
      </c>
      <c r="B714" s="13" t="str">
        <f>HYPERLINK("https://shopee.co.id/M-LAB-SERUM-i.228410824.7182492336", "https://shopee.co.id/M-LAB-SERUM-i.228410824.7182492336")</f>
        <v>https://shopee.co.id/M-LAB-SERUM-i.228410824.7182492336</v>
      </c>
      <c r="C714" s="8" t="s">
        <v>1941</v>
      </c>
      <c r="D714" s="8" t="s">
        <v>1942</v>
      </c>
      <c r="E714" s="8" t="s">
        <v>12</v>
      </c>
      <c r="F714" s="8" t="s">
        <v>13</v>
      </c>
      <c r="G714" s="8" t="s">
        <v>61</v>
      </c>
      <c r="H714" s="16">
        <v>56.0</v>
      </c>
      <c r="I714" s="15" t="str">
        <f>SUBSTITUTE(Sheet1!K714, "Rp", "")</f>
        <v>3769600</v>
      </c>
    </row>
    <row r="715">
      <c r="A715" s="8" t="s">
        <v>1708</v>
      </c>
      <c r="B715" s="13" t="str">
        <f>HYPERLINK("https://shopee.co.id/Somethinc-5-Niacinamide-Moisture-Sabi-Beet-Serum-20ml-40ml-i.50948181.9914375313", "https://shopee.co.id/Somethinc-5-Niacinamide-Moisture-Sabi-Beet-Serum-20ml-40ml-i.50948181.9914375313")</f>
        <v>https://shopee.co.id/Somethinc-5-Niacinamide-Moisture-Sabi-Beet-Serum-20ml-40ml-i.50948181.9914375313</v>
      </c>
      <c r="C715" s="8" t="s">
        <v>45</v>
      </c>
      <c r="D715" s="8" t="s">
        <v>1129</v>
      </c>
      <c r="E715" s="8" t="s">
        <v>12</v>
      </c>
      <c r="F715" s="8" t="s">
        <v>13</v>
      </c>
      <c r="G715" s="8" t="s">
        <v>1130</v>
      </c>
      <c r="H715" s="16">
        <v>55.0</v>
      </c>
      <c r="I715" s="15" t="str">
        <f>SUBSTITUTE(Sheet1!K715, "Rp", "")</f>
        <v>5348300</v>
      </c>
    </row>
    <row r="716">
      <c r="A716" s="8" t="s">
        <v>934</v>
      </c>
      <c r="B716" s="13" t="str">
        <f>HYPERLINK("https://shopee.co.id/ElsheSkin-Active-Rejuvenating-Night-Serum-X-ElsheSkin-Radiant-Supple-Serum-i.9035345.8031590802", "https://shopee.co.id/ElsheSkin-Active-Rejuvenating-Night-Serum-X-ElsheSkin-Radiant-Supple-Serum-i.9035345.8031590802")</f>
        <v>https://shopee.co.id/ElsheSkin-Active-Rejuvenating-Night-Serum-X-ElsheSkin-Radiant-Supple-Serum-i.9035345.8031590802</v>
      </c>
      <c r="C716" s="8" t="s">
        <v>135</v>
      </c>
      <c r="D716" s="8" t="s">
        <v>136</v>
      </c>
      <c r="E716" s="8" t="s">
        <v>12</v>
      </c>
      <c r="F716" s="8" t="s">
        <v>13</v>
      </c>
      <c r="G716" s="8" t="s">
        <v>80</v>
      </c>
      <c r="H716" s="16">
        <v>55.0</v>
      </c>
      <c r="I716" s="15" t="str">
        <f>SUBSTITUTE(Sheet1!K716, "Rp", "")</f>
        <v>21867300</v>
      </c>
    </row>
    <row r="717">
      <c r="A717" s="8" t="s">
        <v>1452</v>
      </c>
      <c r="B717" s="13" t="str">
        <f>HYPERLINK("https://shopee.co.id/La-Luna-Anti-Aging-Serum-30ml-i.26944218.7356183714", "https://shopee.co.id/La-Luna-Anti-Aging-Serum-30ml-i.26944218.7356183714")</f>
        <v>https://shopee.co.id/La-Luna-Anti-Aging-Serum-30ml-i.26944218.7356183714</v>
      </c>
      <c r="C717" s="8" t="s">
        <v>1415</v>
      </c>
      <c r="D717" s="8" t="s">
        <v>1416</v>
      </c>
      <c r="E717" s="8" t="s">
        <v>12</v>
      </c>
      <c r="F717" s="8" t="s">
        <v>13</v>
      </c>
      <c r="G717" s="8" t="s">
        <v>21</v>
      </c>
      <c r="H717" s="16">
        <v>55.0</v>
      </c>
      <c r="I717" s="15" t="str">
        <f>SUBSTITUTE(Sheet1!K717, "Rp", "")</f>
        <v>8195000</v>
      </c>
    </row>
    <row r="718">
      <c r="A718" s="8" t="s">
        <v>1000</v>
      </c>
      <c r="B718" s="13" t="str">
        <f>HYPERLINK("https://shopee.co.id/Nacific-Fresh-Herb-Origin-2-SET-Serum-Toner--i.238379974.11044407993", "https://shopee.co.id/Nacific-Fresh-Herb-Origin-2-SET-Serum-Toner--i.238379974.11044407993")</f>
        <v>https://shopee.co.id/Nacific-Fresh-Herb-Origin-2-SET-Serum-Toner--i.238379974.11044407993</v>
      </c>
      <c r="C718" s="8" t="s">
        <v>344</v>
      </c>
      <c r="D718" s="8" t="s">
        <v>345</v>
      </c>
      <c r="E718" s="8" t="s">
        <v>12</v>
      </c>
      <c r="F718" s="8" t="s">
        <v>13</v>
      </c>
      <c r="G718" s="8" t="s">
        <v>130</v>
      </c>
      <c r="H718" s="16">
        <v>55.0</v>
      </c>
      <c r="I718" s="15" t="str">
        <f>SUBSTITUTE(Sheet1!K718, "Rp", "")</f>
        <v>19250000</v>
      </c>
    </row>
    <row r="719">
      <c r="A719" s="8" t="s">
        <v>1395</v>
      </c>
      <c r="B719" s="13" t="str">
        <f>HYPERLINK("https://shopee.co.id/Promo-2pcs-Cleora-Beauty-Jelly-Booster-Free-Pouch-i.215119251.2938193313", "https://shopee.co.id/Promo-2pcs-Cleora-Beauty-Jelly-Booster-Free-Pouch-i.215119251.2938193313")</f>
        <v>https://shopee.co.id/Promo-2pcs-Cleora-Beauty-Jelly-Booster-Free-Pouch-i.215119251.2938193313</v>
      </c>
      <c r="C719" s="8" t="s">
        <v>573</v>
      </c>
      <c r="D719" s="8" t="s">
        <v>574</v>
      </c>
      <c r="E719" s="8" t="s">
        <v>12</v>
      </c>
      <c r="F719" s="8" t="s">
        <v>13</v>
      </c>
      <c r="G719" s="8" t="s">
        <v>370</v>
      </c>
      <c r="H719" s="16">
        <v>55.0</v>
      </c>
      <c r="I719" s="15" t="str">
        <f>SUBSTITUTE(Sheet1!K719, "Rp", "")</f>
        <v>9075000</v>
      </c>
    </row>
    <row r="720">
      <c r="A720" s="8" t="s">
        <v>1764</v>
      </c>
      <c r="B720" s="13" t="str">
        <f>HYPERLINK("https://shopee.co.id/SOMETHINC-Bakuchiol-Skinrepair-Oil-Serum-i.270965687.3177265098", "https://shopee.co.id/SOMETHINC-Bakuchiol-Skinrepair-Oil-Serum-i.270965687.3177265098")</f>
        <v>https://shopee.co.id/SOMETHINC-Bakuchiol-Skinrepair-Oil-Serum-i.270965687.3177265098</v>
      </c>
      <c r="C720" s="8" t="s">
        <v>45</v>
      </c>
      <c r="D720" s="8" t="s">
        <v>379</v>
      </c>
      <c r="E720" s="8" t="s">
        <v>12</v>
      </c>
      <c r="F720" s="8" t="s">
        <v>13</v>
      </c>
      <c r="G720" s="8" t="s">
        <v>380</v>
      </c>
      <c r="H720" s="16">
        <v>55.0</v>
      </c>
      <c r="I720" s="15" t="str">
        <f>SUBSTITUTE(Sheet1!K720, "Rp", "")</f>
        <v>4895000</v>
      </c>
    </row>
    <row r="721">
      <c r="A721" s="8" t="s">
        <v>3104</v>
      </c>
      <c r="B721" s="13" t="str">
        <f>HYPERLINK("https://shopee.co.id/The-Lab-by-Blanc-Doux-Oligo-Hyaluronic-Acid-7-Multi-Formula-Pad-5ml-1pcs--i.240712269.8781753809", "https://shopee.co.id/The-Lab-by-Blanc-Doux-Oligo-Hyaluronic-Acid-7-Multi-Formula-Pad-5ml-1pcs--i.240712269.8781753809")</f>
        <v>https://shopee.co.id/The-Lab-by-Blanc-Doux-Oligo-Hyaluronic-Acid-7-Multi-Formula-Pad-5ml-1pcs--i.240712269.8781753809</v>
      </c>
      <c r="C721" s="8" t="s">
        <v>2835</v>
      </c>
      <c r="D721" s="8" t="s">
        <v>762</v>
      </c>
      <c r="E721" s="8" t="s">
        <v>12</v>
      </c>
      <c r="F721" s="8" t="s">
        <v>13</v>
      </c>
      <c r="G721" s="8" t="s">
        <v>98</v>
      </c>
      <c r="H721" s="16">
        <v>55.0</v>
      </c>
      <c r="I721" s="15" t="str">
        <f>SUBSTITUTE(Sheet1!K721, "Rp", "")</f>
        <v>484000</v>
      </c>
    </row>
    <row r="722">
      <c r="A722" s="8" t="s">
        <v>1505</v>
      </c>
      <c r="B722" s="13" t="str">
        <f>HYPERLINK("https://shopee.co.id/Aizen-Niacinamide-Ascorbate-15-Ultra-Ampoule-Serum-Pencerah-Perbaikan-Kulit-Wajah-i.89939211.4175376764", "https://shopee.co.id/Aizen-Niacinamide-Ascorbate-15-Ultra-Ampoule-Serum-Pencerah-Perbaikan-Kulit-Wajah-i.89939211.4175376764")</f>
        <v>https://shopee.co.id/Aizen-Niacinamide-Ascorbate-15-Ultra-Ampoule-Serum-Pencerah-Perbaikan-Kulit-Wajah-i.89939211.4175376764</v>
      </c>
      <c r="C722" s="8" t="s">
        <v>1325</v>
      </c>
      <c r="D722" s="8" t="s">
        <v>1326</v>
      </c>
      <c r="E722" s="8" t="s">
        <v>12</v>
      </c>
      <c r="F722" s="8" t="s">
        <v>13</v>
      </c>
      <c r="G722" s="8" t="s">
        <v>14</v>
      </c>
      <c r="H722" s="16">
        <v>54.0</v>
      </c>
      <c r="I722" s="15" t="str">
        <f>SUBSTITUTE(Sheet1!K722, "Rp", "")</f>
        <v>7506000</v>
      </c>
    </row>
    <row r="723">
      <c r="A723" s="8" t="s">
        <v>1550</v>
      </c>
      <c r="B723" s="13" t="str">
        <f>HYPERLINK("https://shopee.co.id/Glowlabs-Probiome-Acne-Serum-i.336869851.9425948280", "https://shopee.co.id/Glowlabs-Probiome-Acne-Serum-i.336869851.9425948280")</f>
        <v>https://shopee.co.id/Glowlabs-Probiome-Acne-Serum-i.336869851.9425948280</v>
      </c>
      <c r="C723" s="8" t="s">
        <v>407</v>
      </c>
      <c r="D723" s="8" t="s">
        <v>408</v>
      </c>
      <c r="E723" s="8" t="s">
        <v>12</v>
      </c>
      <c r="F723" s="8" t="s">
        <v>13</v>
      </c>
      <c r="G723" s="8" t="s">
        <v>409</v>
      </c>
      <c r="H723" s="16">
        <v>54.0</v>
      </c>
      <c r="I723" s="15" t="str">
        <f>SUBSTITUTE(Sheet1!K723, "Rp", "")</f>
        <v>7078500</v>
      </c>
    </row>
    <row r="724">
      <c r="A724" s="8" t="s">
        <v>1780</v>
      </c>
      <c r="B724" s="13" t="str">
        <f>HYPERLINK("https://shopee.co.id/Nature-Reaction-Serum-Wajah-Glowing-Putih-Bersih-Bebas-Jerawat-Kusam-Bintik-Hitam-Terdaftar-BPOM-i.375565670.10807783029", "https://shopee.co.id/Nature-Reaction-Serum-Wajah-Glowing-Putih-Bersih-Bebas-Jerawat-Kusam-Bintik-Hitam-Terdaftar-BPOM-i.375565670.10807783029")</f>
        <v>https://shopee.co.id/Nature-Reaction-Serum-Wajah-Glowing-Putih-Bersih-Bebas-Jerawat-Kusam-Bintik-Hitam-Terdaftar-BPOM-i.375565670.10807783029</v>
      </c>
      <c r="C724" s="8" t="s">
        <v>530</v>
      </c>
      <c r="D724" s="8" t="s">
        <v>531</v>
      </c>
      <c r="E724" s="8" t="s">
        <v>12</v>
      </c>
      <c r="F724" s="8" t="s">
        <v>13</v>
      </c>
      <c r="G724" s="8" t="s">
        <v>532</v>
      </c>
      <c r="H724" s="16">
        <v>54.0</v>
      </c>
      <c r="I724" s="15" t="str">
        <f>SUBSTITUTE(Sheet1!K724, "Rp", "")</f>
        <v>4820000</v>
      </c>
    </row>
    <row r="725">
      <c r="A725" s="8" t="s">
        <v>3084</v>
      </c>
      <c r="B725" s="13" t="str">
        <f>HYPERLINK("https://shopee.co.id/Smooto-Premium-Sunscreen-Extra-Whitening-Essence-i.65619901.1086920300", "https://shopee.co.id/Smooto-Premium-Sunscreen-Extra-Whitening-Essence-i.65619901.1086920300")</f>
        <v>https://shopee.co.id/Smooto-Premium-Sunscreen-Extra-Whitening-Essence-i.65619901.1086920300</v>
      </c>
      <c r="C725" s="8" t="s">
        <v>2779</v>
      </c>
      <c r="D725" s="8" t="s">
        <v>2780</v>
      </c>
      <c r="E725" s="8" t="s">
        <v>12</v>
      </c>
      <c r="F725" s="8" t="s">
        <v>13</v>
      </c>
      <c r="G725" s="8" t="s">
        <v>85</v>
      </c>
      <c r="H725" s="16">
        <v>54.0</v>
      </c>
      <c r="I725" s="15" t="str">
        <f>SUBSTITUTE(Sheet1!K725, "Rp", "")</f>
        <v>642600</v>
      </c>
    </row>
    <row r="726">
      <c r="A726" s="8" t="s">
        <v>1784</v>
      </c>
      <c r="B726" s="13" t="str">
        <f>HYPERLINK("https://shopee.co.id/Somethinc-Bakuchiol-Skinpair-Oil-Serum-20ml-i.136011044.9510593172", "https://shopee.co.id/Somethinc-Bakuchiol-Skinpair-Oil-Serum-20ml-i.136011044.9510593172")</f>
        <v>https://shopee.co.id/Somethinc-Bakuchiol-Skinpair-Oil-Serum-20ml-i.136011044.9510593172</v>
      </c>
      <c r="C726" s="8" t="s">
        <v>45</v>
      </c>
      <c r="D726" s="8" t="s">
        <v>632</v>
      </c>
      <c r="E726" s="8" t="s">
        <v>12</v>
      </c>
      <c r="F726" s="8" t="s">
        <v>13</v>
      </c>
      <c r="G726" s="8" t="s">
        <v>21</v>
      </c>
      <c r="H726" s="16">
        <v>54.0</v>
      </c>
      <c r="I726" s="15" t="str">
        <f>SUBSTITUTE(Sheet1!K726, "Rp", "")</f>
        <v>4806000</v>
      </c>
    </row>
    <row r="727">
      <c r="A727" s="8" t="s">
        <v>2067</v>
      </c>
      <c r="B727" s="13" t="str">
        <f>HYPERLINK("https://shopee.co.id/Trisia-Soybean-Whitening-Serum-i.250766364.3333372780", "https://shopee.co.id/Trisia-Soybean-Whitening-Serum-i.250766364.3333372780")</f>
        <v>https://shopee.co.id/Trisia-Soybean-Whitening-Serum-i.250766364.3333372780</v>
      </c>
      <c r="C727" s="8" t="s">
        <v>2068</v>
      </c>
      <c r="D727" s="8" t="s">
        <v>2069</v>
      </c>
      <c r="E727" s="8" t="s">
        <v>12</v>
      </c>
      <c r="F727" s="8" t="s">
        <v>13</v>
      </c>
      <c r="G727" s="8" t="s">
        <v>61</v>
      </c>
      <c r="H727" s="16">
        <v>54.0</v>
      </c>
      <c r="I727" s="15" t="str">
        <f>SUBSTITUTE(Sheet1!K727, "Rp", "")</f>
        <v>3166250</v>
      </c>
    </row>
    <row r="728">
      <c r="A728" s="8" t="s">
        <v>1238</v>
      </c>
      <c r="B728" s="13" t="str">
        <f>HYPERLINK("https://shopee.co.id/Avoskin-Miraculous-Retinol-Ampoule-30-Ml-Penunda-Munculnya-Tanda-Penuaan-Dini-Regenerasi-Kulit-i.50972887.5357761396", "https://shopee.co.id/Avoskin-Miraculous-Retinol-Ampoule-30-Ml-Penunda-Munculnya-Tanda-Penuaan-Dini-Regenerasi-Kulit-i.50972887.5357761396")</f>
        <v>https://shopee.co.id/Avoskin-Miraculous-Retinol-Ampoule-30-Ml-Penunda-Munculnya-Tanda-Penuaan-Dini-Regenerasi-Kulit-i.50972887.5357761396</v>
      </c>
      <c r="C728" s="8" t="s">
        <v>83</v>
      </c>
      <c r="D728" s="8" t="s">
        <v>552</v>
      </c>
      <c r="E728" s="8" t="s">
        <v>12</v>
      </c>
      <c r="F728" s="8" t="s">
        <v>13</v>
      </c>
      <c r="G728" s="8" t="s">
        <v>61</v>
      </c>
      <c r="H728" s="16">
        <v>53.0</v>
      </c>
      <c r="I728" s="15" t="str">
        <f>SUBSTITUTE(Sheet1!K728, "Rp", "")</f>
        <v>12012448</v>
      </c>
    </row>
    <row r="729">
      <c r="A729" s="8" t="s">
        <v>1687</v>
      </c>
      <c r="B729" s="13" t="str">
        <f>HYPERLINK("https://shopee.co.id/Bio-Essence-Rose-Gold-Water-Essence-30-ml-Perawatan-Wajah-Anti-Aging-i.63822287.2777201264", "https://shopee.co.id/Bio-Essence-Rose-Gold-Water-Essence-30-ml-Perawatan-Wajah-Anti-Aging-i.63822287.2777201264")</f>
        <v>https://shopee.co.id/Bio-Essence-Rose-Gold-Water-Essence-30-ml-Perawatan-Wajah-Anti-Aging-i.63822287.2777201264</v>
      </c>
      <c r="C729" s="8" t="s">
        <v>1688</v>
      </c>
      <c r="D729" s="8" t="s">
        <v>835</v>
      </c>
      <c r="E729" s="8" t="s">
        <v>12</v>
      </c>
      <c r="F729" s="8" t="s">
        <v>13</v>
      </c>
      <c r="G729" s="8" t="s">
        <v>61</v>
      </c>
      <c r="H729" s="16">
        <v>53.0</v>
      </c>
      <c r="I729" s="15" t="str">
        <f>SUBSTITUTE(Sheet1!K729, "Rp", "")</f>
        <v>5531760</v>
      </c>
    </row>
    <row r="730">
      <c r="A730" s="8" t="s">
        <v>1551</v>
      </c>
      <c r="B730" s="13" t="str">
        <f>HYPERLINK("https://shopee.co.id/HAUM-ALPHA-MF-2-Alpha-Arbutin-30-ml-x-1-i.344731863.8136210682", "https://shopee.co.id/HAUM-ALPHA-MF-2-Alpha-Arbutin-30-ml-x-1-i.344731863.8136210682")</f>
        <v>https://shopee.co.id/HAUM-ALPHA-MF-2-Alpha-Arbutin-30-ml-x-1-i.344731863.8136210682</v>
      </c>
      <c r="C730" s="8" t="s">
        <v>1144</v>
      </c>
      <c r="D730" s="8" t="s">
        <v>1145</v>
      </c>
      <c r="E730" s="8" t="s">
        <v>12</v>
      </c>
      <c r="F730" s="8" t="s">
        <v>13</v>
      </c>
      <c r="G730" s="8" t="s">
        <v>98</v>
      </c>
      <c r="H730" s="16">
        <v>53.0</v>
      </c>
      <c r="I730" s="15" t="str">
        <f>SUBSTITUTE(Sheet1!K730, "Rp", "")</f>
        <v>7074400</v>
      </c>
    </row>
    <row r="731">
      <c r="A731" s="8" t="s">
        <v>1760</v>
      </c>
      <c r="B731" s="13" t="str">
        <f>HYPERLINK("https://shopee.co.id/La-Tulipe-Essential-Whitening-Serum-i.131133483.2090030038", "https://shopee.co.id/La-Tulipe-Essential-Whitening-Serum-i.131133483.2090030038")</f>
        <v>https://shopee.co.id/La-Tulipe-Essential-Whitening-Serum-i.131133483.2090030038</v>
      </c>
      <c r="C731" s="8" t="s">
        <v>1761</v>
      </c>
      <c r="D731" s="8" t="s">
        <v>1762</v>
      </c>
      <c r="E731" s="8" t="s">
        <v>12</v>
      </c>
      <c r="F731" s="8" t="s">
        <v>13</v>
      </c>
      <c r="G731" s="8" t="s">
        <v>61</v>
      </c>
      <c r="H731" s="16">
        <v>53.0</v>
      </c>
      <c r="I731" s="15" t="str">
        <f>SUBSTITUTE(Sheet1!K731, "Rp", "")</f>
        <v>4898200</v>
      </c>
    </row>
    <row r="732">
      <c r="A732" s="8" t="s">
        <v>1920</v>
      </c>
      <c r="B732" s="13" t="str">
        <f>HYPERLINK("https://shopee.co.id/La-Tulipe-La-Tulipe-C-Serum-i.131133483.2090030116", "https://shopee.co.id/La-Tulipe-La-Tulipe-C-Serum-i.131133483.2090030116")</f>
        <v>https://shopee.co.id/La-Tulipe-La-Tulipe-C-Serum-i.131133483.2090030116</v>
      </c>
      <c r="C732" s="8" t="s">
        <v>1761</v>
      </c>
      <c r="D732" s="8" t="s">
        <v>1762</v>
      </c>
      <c r="E732" s="8" t="s">
        <v>12</v>
      </c>
      <c r="F732" s="8" t="s">
        <v>13</v>
      </c>
      <c r="G732" s="8" t="s">
        <v>61</v>
      </c>
      <c r="H732" s="16">
        <v>53.0</v>
      </c>
      <c r="I732" s="15" t="str">
        <f>SUBSTITUTE(Sheet1!K732, "Rp", "")</f>
        <v>3931900</v>
      </c>
    </row>
    <row r="733">
      <c r="A733" s="8" t="s">
        <v>2096</v>
      </c>
      <c r="B733" s="13" t="str">
        <f>HYPERLINK("https://shopee.co.id/Lysca-White-Serum-20ml-Whitening-Booster-i.267190835.8051641027", "https://shopee.co.id/Lysca-White-Serum-20ml-Whitening-Booster-i.267190835.8051641027")</f>
        <v>https://shopee.co.id/Lysca-White-Serum-20ml-Whitening-Booster-i.267190835.8051641027</v>
      </c>
      <c r="C733" s="8" t="s">
        <v>2097</v>
      </c>
      <c r="D733" s="8" t="s">
        <v>2098</v>
      </c>
      <c r="E733" s="8" t="s">
        <v>12</v>
      </c>
      <c r="F733" s="8" t="s">
        <v>13</v>
      </c>
      <c r="G733" s="8" t="s">
        <v>115</v>
      </c>
      <c r="H733" s="16">
        <v>53.0</v>
      </c>
      <c r="I733" s="15" t="str">
        <f>SUBSTITUTE(Sheet1!K733, "Rp", "")</f>
        <v>2981250</v>
      </c>
    </row>
    <row r="734">
      <c r="A734" s="8" t="s">
        <v>963</v>
      </c>
      <c r="B734" s="13" t="str">
        <f>HYPERLINK("https://shopee.co.id/Mamonde-Red-Energy-Recovery-Serum-30ml-i.160417197.6436311404", "https://shopee.co.id/Mamonde-Red-Energy-Recovery-Serum-30ml-i.160417197.6436311404")</f>
        <v>https://shopee.co.id/Mamonde-Red-Energy-Recovery-Serum-30ml-i.160417197.6436311404</v>
      </c>
      <c r="C734" s="8" t="s">
        <v>447</v>
      </c>
      <c r="D734" s="8" t="s">
        <v>448</v>
      </c>
      <c r="E734" s="8" t="s">
        <v>12</v>
      </c>
      <c r="F734" s="8" t="s">
        <v>13</v>
      </c>
      <c r="G734" s="8" t="s">
        <v>61</v>
      </c>
      <c r="H734" s="16">
        <v>53.0</v>
      </c>
      <c r="I734" s="15" t="str">
        <f>SUBSTITUTE(Sheet1!K734, "Rp", "")</f>
        <v>20559300</v>
      </c>
    </row>
    <row r="735">
      <c r="A735" s="8" t="s">
        <v>1605</v>
      </c>
      <c r="B735" s="13" t="str">
        <f>HYPERLINK("https://shopee.co.id/Melanox-Premium-Whitening-Serum-15ml-i.46593637.812684330", "https://shopee.co.id/Melanox-Premium-Whitening-Serum-15ml-i.46593637.812684330")</f>
        <v>https://shopee.co.id/Melanox-Premium-Whitening-Serum-15ml-i.46593637.812684330</v>
      </c>
      <c r="C735" s="8" t="s">
        <v>1606</v>
      </c>
      <c r="D735" s="8" t="s">
        <v>1607</v>
      </c>
      <c r="E735" s="8" t="s">
        <v>12</v>
      </c>
      <c r="F735" s="8" t="s">
        <v>13</v>
      </c>
      <c r="G735" s="8" t="s">
        <v>350</v>
      </c>
      <c r="H735" s="16">
        <v>53.0</v>
      </c>
      <c r="I735" s="15" t="str">
        <f>SUBSTITUTE(Sheet1!K735, "Rp", "")</f>
        <v>6288250</v>
      </c>
    </row>
    <row r="736">
      <c r="A736" s="8" t="s">
        <v>1252</v>
      </c>
      <c r="B736" s="13" t="str">
        <f>HYPERLINK("https://shopee.co.id/Safi-Expert-Solutions-Milk-Drop-Serum-Cream-Anti-Aging-40gr-Wajah-i.63823668.6266937991", "https://shopee.co.id/Safi-Expert-Solutions-Milk-Drop-Serum-Cream-Anti-Aging-40gr-Wajah-i.63823668.6266937991")</f>
        <v>https://shopee.co.id/Safi-Expert-Solutions-Milk-Drop-Serum-Cream-Anti-Aging-40gr-Wajah-i.63823668.6266937991</v>
      </c>
      <c r="C736" s="8" t="s">
        <v>278</v>
      </c>
      <c r="D736" s="8" t="s">
        <v>279</v>
      </c>
      <c r="E736" s="8" t="s">
        <v>12</v>
      </c>
      <c r="F736" s="8" t="s">
        <v>13</v>
      </c>
      <c r="G736" s="8" t="s">
        <v>61</v>
      </c>
      <c r="H736" s="16">
        <v>53.0</v>
      </c>
      <c r="I736" s="15" t="str">
        <f>SUBSTITUTE(Sheet1!K736, "Rp", "")</f>
        <v>11798100</v>
      </c>
    </row>
    <row r="737">
      <c r="A737" s="8" t="s">
        <v>1985</v>
      </c>
      <c r="B737" s="13" t="str">
        <f>HYPERLINK("https://shopee.co.id/SCARLETT-WHITENING-BRIGHTLY-Serum-15ml-i.270965687.7258329020", "https://shopee.co.id/SCARLETT-WHITENING-BRIGHTLY-Serum-15ml-i.270965687.7258329020")</f>
        <v>https://shopee.co.id/SCARLETT-WHITENING-BRIGHTLY-Serum-15ml-i.270965687.7258329020</v>
      </c>
      <c r="C737" s="8" t="s">
        <v>19</v>
      </c>
      <c r="D737" s="8" t="s">
        <v>379</v>
      </c>
      <c r="E737" s="8" t="s">
        <v>12</v>
      </c>
      <c r="F737" s="8" t="s">
        <v>13</v>
      </c>
      <c r="G737" s="8" t="s">
        <v>380</v>
      </c>
      <c r="H737" s="16">
        <v>53.0</v>
      </c>
      <c r="I737" s="15" t="str">
        <f>SUBSTITUTE(Sheet1!K737, "Rp", "")</f>
        <v>3551000</v>
      </c>
    </row>
    <row r="738">
      <c r="A738" s="8" t="s">
        <v>1225</v>
      </c>
      <c r="B738" s="13" t="str">
        <f>HYPERLINK("https://shopee.co.id/Avoskin-Miraculous-Refining-Serum-30ml-i.30736001.4987529013", "https://shopee.co.id/Avoskin-Miraculous-Refining-Serum-30ml-i.30736001.4987529013")</f>
        <v>https://shopee.co.id/Avoskin-Miraculous-Refining-Serum-30ml-i.30736001.4987529013</v>
      </c>
      <c r="C738" s="8" t="s">
        <v>83</v>
      </c>
      <c r="D738" s="8" t="s">
        <v>335</v>
      </c>
      <c r="E738" s="8" t="s">
        <v>12</v>
      </c>
      <c r="F738" s="8" t="s">
        <v>13</v>
      </c>
      <c r="G738" s="8" t="s">
        <v>36</v>
      </c>
      <c r="H738" s="16">
        <v>52.0</v>
      </c>
      <c r="I738" s="15" t="str">
        <f>SUBSTITUTE(Sheet1!K738, "Rp", "")</f>
        <v>12428000</v>
      </c>
    </row>
    <row r="739">
      <c r="A739" s="8" t="s">
        <v>1963</v>
      </c>
      <c r="B739" s="13" t="str">
        <f>HYPERLINK("https://shopee.co.id/BREYLEE-SETS-of-SERUM-E-Mencerahkan-Melembabkan-Wajah-2pcs--i.324706771.3570987643", "https://shopee.co.id/BREYLEE-SETS-of-SERUM-E-Mencerahkan-Melembabkan-Wajah-2pcs--i.324706771.3570987643")</f>
        <v>https://shopee.co.id/BREYLEE-SETS-of-SERUM-E-Mencerahkan-Melembabkan-Wajah-2pcs--i.324706771.3570987643</v>
      </c>
      <c r="C739" s="8" t="s">
        <v>852</v>
      </c>
      <c r="D739" s="8" t="s">
        <v>853</v>
      </c>
      <c r="E739" s="8" t="s">
        <v>12</v>
      </c>
      <c r="F739" s="8" t="s">
        <v>13</v>
      </c>
      <c r="G739" s="8" t="s">
        <v>532</v>
      </c>
      <c r="H739" s="16">
        <v>52.0</v>
      </c>
      <c r="I739" s="15" t="str">
        <f>SUBSTITUTE(Sheet1!K739, "Rp", "")</f>
        <v>3653000</v>
      </c>
    </row>
    <row r="740">
      <c r="A740" s="8" t="s">
        <v>1087</v>
      </c>
      <c r="B740" s="13" t="str">
        <f>HYPERLINK("https://shopee.co.id/COSRX-AC-Collection-Blemish-Spot-Serum-40ML-Serum-untuk-Noda-Hitam--i.404429429.8478838442", "https://shopee.co.id/COSRX-AC-Collection-Blemish-Spot-Serum-40ML-Serum-untuk-Noda-Hitam--i.404429429.8478838442")</f>
        <v>https://shopee.co.id/COSRX-AC-Collection-Blemish-Spot-Serum-40ML-Serum-untuk-Noda-Hitam--i.404429429.8478838442</v>
      </c>
      <c r="C740" s="8" t="s">
        <v>305</v>
      </c>
      <c r="D740" s="8" t="s">
        <v>306</v>
      </c>
      <c r="E740" s="8" t="s">
        <v>12</v>
      </c>
      <c r="F740" s="8" t="s">
        <v>13</v>
      </c>
      <c r="G740" s="8" t="s">
        <v>21</v>
      </c>
      <c r="H740" s="16">
        <v>52.0</v>
      </c>
      <c r="I740" s="15" t="str">
        <f>SUBSTITUTE(Sheet1!K740, "Rp", "")</f>
        <v>15721000</v>
      </c>
    </row>
    <row r="741">
      <c r="A741" s="8" t="s">
        <v>1812</v>
      </c>
      <c r="B741" s="13" t="str">
        <f>HYPERLINK("https://shopee.co.id/MSBB-Somethinc-Bakuchiol-Skinpair-Oil-Serum-20ml-i.288588702.3183137237", "https://shopee.co.id/MSBB-Somethinc-Bakuchiol-Skinpair-Oil-Serum-20ml-i.288588702.3183137237")</f>
        <v>https://shopee.co.id/MSBB-Somethinc-Bakuchiol-Skinpair-Oil-Serum-20ml-i.288588702.3183137237</v>
      </c>
      <c r="C741" s="8" t="s">
        <v>45</v>
      </c>
      <c r="D741" s="8" t="s">
        <v>79</v>
      </c>
      <c r="E741" s="8" t="s">
        <v>12</v>
      </c>
      <c r="F741" s="8" t="s">
        <v>13</v>
      </c>
      <c r="G741" s="8" t="s">
        <v>80</v>
      </c>
      <c r="H741" s="16">
        <v>52.0</v>
      </c>
      <c r="I741" s="15" t="str">
        <f>SUBSTITUTE(Sheet1!K741, "Rp", "")</f>
        <v>4628000</v>
      </c>
    </row>
    <row r="742">
      <c r="A742" s="8" t="s">
        <v>1889</v>
      </c>
      <c r="B742" s="13" t="str">
        <f>HYPERLINK("https://shopee.co.id/Crushlicious-Overnight-Glow-Serum-i.4184162.2068935115", "https://shopee.co.id/Crushlicious-Overnight-Glow-Serum-i.4184162.2068935115")</f>
        <v>https://shopee.co.id/Crushlicious-Overnight-Glow-Serum-i.4184162.2068935115</v>
      </c>
      <c r="C742" s="8" t="s">
        <v>1619</v>
      </c>
      <c r="D742" s="8" t="s">
        <v>1620</v>
      </c>
      <c r="E742" s="8" t="s">
        <v>12</v>
      </c>
      <c r="F742" s="8" t="s">
        <v>13</v>
      </c>
      <c r="G742" s="8" t="s">
        <v>1621</v>
      </c>
      <c r="H742" s="16">
        <v>51.0</v>
      </c>
      <c r="I742" s="15" t="str">
        <f>SUBSTITUTE(Sheet1!K742, "Rp", "")</f>
        <v>4085100</v>
      </c>
    </row>
    <row r="743">
      <c r="A743" s="8" t="s">
        <v>1897</v>
      </c>
      <c r="B743" s="13" t="str">
        <f>HYPERLINK("https://shopee.co.id/GLOWINC-POTION-ACNECORE-Clear-AC-Serum-i.487788169.11332251890", "https://shopee.co.id/GLOWINC-POTION-ACNECORE-Clear-AC-Serum-i.487788169.11332251890")</f>
        <v>https://shopee.co.id/GLOWINC-POTION-ACNECORE-Clear-AC-Serum-i.487788169.11332251890</v>
      </c>
      <c r="C743" s="8" t="s">
        <v>1898</v>
      </c>
      <c r="D743" s="8" t="s">
        <v>1899</v>
      </c>
      <c r="E743" s="8" t="s">
        <v>12</v>
      </c>
      <c r="F743" s="8" t="s">
        <v>13</v>
      </c>
      <c r="G743" s="8" t="s">
        <v>21</v>
      </c>
      <c r="H743" s="16">
        <v>51.0</v>
      </c>
      <c r="I743" s="15" t="str">
        <f>SUBSTITUTE(Sheet1!K743, "Rp", "")</f>
        <v>4029000</v>
      </c>
    </row>
    <row r="744">
      <c r="A744" s="8" t="s">
        <v>1589</v>
      </c>
      <c r="B744" s="13" t="str">
        <f>HYPERLINK("https://shopee.co.id/Haum-Aloecid-Niacinamide-10-50-Gr-X-1-i.344731863.4065375450", "https://shopee.co.id/Haum-Aloecid-Niacinamide-10-50-Gr-X-1-i.344731863.4065375450")</f>
        <v>https://shopee.co.id/Haum-Aloecid-Niacinamide-10-50-Gr-X-1-i.344731863.4065375450</v>
      </c>
      <c r="C744" s="8" t="s">
        <v>1144</v>
      </c>
      <c r="D744" s="8" t="s">
        <v>1145</v>
      </c>
      <c r="E744" s="8" t="s">
        <v>12</v>
      </c>
      <c r="F744" s="8" t="s">
        <v>13</v>
      </c>
      <c r="G744" s="8" t="s">
        <v>98</v>
      </c>
      <c r="H744" s="16">
        <v>51.0</v>
      </c>
      <c r="I744" s="15" t="str">
        <f>SUBSTITUTE(Sheet1!K744, "Rp", "")</f>
        <v>6528000</v>
      </c>
    </row>
    <row r="745">
      <c r="A745" s="8" t="s">
        <v>578</v>
      </c>
      <c r="B745" s="13" t="str">
        <f>HYPERLINK("https://shopee.co.id/L-Occitane-Immortelle-Overnight-Reset-Serum-30-ML--i.88079439.1735163299", "https://shopee.co.id/L-Occitane-Immortelle-Overnight-Reset-Serum-30-ML--i.88079439.1735163299")</f>
        <v>https://shopee.co.id/L-Occitane-Immortelle-Overnight-Reset-Serum-30-ML--i.88079439.1735163299</v>
      </c>
      <c r="C745" s="8" t="s">
        <v>579</v>
      </c>
      <c r="D745" s="8" t="s">
        <v>580</v>
      </c>
      <c r="E745" s="8" t="s">
        <v>12</v>
      </c>
      <c r="F745" s="8" t="s">
        <v>13</v>
      </c>
      <c r="G745" s="8" t="s">
        <v>532</v>
      </c>
      <c r="H745" s="16">
        <v>51.0</v>
      </c>
      <c r="I745" s="15" t="str">
        <f>SUBSTITUTE(Sheet1!K745, "Rp", "")</f>
        <v>50490000</v>
      </c>
    </row>
    <row r="746">
      <c r="A746" s="8" t="s">
        <v>1449</v>
      </c>
      <c r="B746" s="13" t="str">
        <f>HYPERLINK("https://shopee.co.id/Nacific-Fresh-Herb-Origin-Serum-50ml-i.270965687.3237880289", "https://shopee.co.id/Nacific-Fresh-Herb-Origin-Serum-50ml-i.270965687.3237880289")</f>
        <v>https://shopee.co.id/Nacific-Fresh-Herb-Origin-Serum-50ml-i.270965687.3237880289</v>
      </c>
      <c r="C746" s="8" t="s">
        <v>344</v>
      </c>
      <c r="D746" s="8" t="s">
        <v>379</v>
      </c>
      <c r="E746" s="8" t="s">
        <v>12</v>
      </c>
      <c r="F746" s="8" t="s">
        <v>13</v>
      </c>
      <c r="G746" s="8" t="s">
        <v>380</v>
      </c>
      <c r="H746" s="16">
        <v>51.0</v>
      </c>
      <c r="I746" s="15" t="str">
        <f>SUBSTITUTE(Sheet1!K746, "Rp", "")</f>
        <v>8233000</v>
      </c>
    </row>
    <row r="747">
      <c r="A747" s="8" t="s">
        <v>1305</v>
      </c>
      <c r="B747" s="13" t="str">
        <f>HYPERLINK("https://shopee.co.id/Olay-White-Radiance-Niacinamide-Hyaluronic-Super-Serum-Brightening-Skincare-30ML-i.11487927.6779004486", "https://shopee.co.id/Olay-White-Radiance-Niacinamide-Hyaluronic-Super-Serum-Brightening-Skincare-30ML-i.11487927.6779004486")</f>
        <v>https://shopee.co.id/Olay-White-Radiance-Niacinamide-Hyaluronic-Super-Serum-Brightening-Skincare-30ML-i.11487927.6779004486</v>
      </c>
      <c r="C747" s="8" t="s">
        <v>317</v>
      </c>
      <c r="D747" s="8" t="s">
        <v>318</v>
      </c>
      <c r="E747" s="8" t="s">
        <v>12</v>
      </c>
      <c r="F747" s="8" t="s">
        <v>13</v>
      </c>
      <c r="G747" s="8" t="s">
        <v>296</v>
      </c>
      <c r="H747" s="16">
        <v>51.0</v>
      </c>
      <c r="I747" s="15" t="str">
        <f>SUBSTITUTE(Sheet1!K747, "Rp", "")</f>
        <v>10559600</v>
      </c>
    </row>
    <row r="748">
      <c r="A748" s="8" t="s">
        <v>2206</v>
      </c>
      <c r="B748" s="13" t="str">
        <f>HYPERLINK("https://shopee.co.id/Probeauty-Serum-Acne-Serum-Totol-Jerawat-Ampuh-1-Malam-Kempes-Galactosyl-Salicylate-Serum-i.9171679.1660003129", "https://shopee.co.id/Probeauty-Serum-Acne-Serum-Totol-Jerawat-Ampuh-1-Malam-Kempes-Galactosyl-Salicylate-Serum-i.9171679.1660003129")</f>
        <v>https://shopee.co.id/Probeauty-Serum-Acne-Serum-Totol-Jerawat-Ampuh-1-Malam-Kempes-Galactosyl-Salicylate-Serum-i.9171679.1660003129</v>
      </c>
      <c r="C748" s="8" t="s">
        <v>2207</v>
      </c>
      <c r="D748" s="8" t="s">
        <v>2208</v>
      </c>
      <c r="E748" s="8" t="s">
        <v>12</v>
      </c>
      <c r="F748" s="8" t="s">
        <v>13</v>
      </c>
      <c r="G748" s="8" t="s">
        <v>2209</v>
      </c>
      <c r="H748" s="16">
        <v>51.0</v>
      </c>
      <c r="I748" s="15" t="str">
        <f>SUBSTITUTE(Sheet1!K748, "Rp", "")</f>
        <v>2541494</v>
      </c>
    </row>
    <row r="749">
      <c r="A749" s="8" t="s">
        <v>1612</v>
      </c>
      <c r="B749" s="13" t="str">
        <f>HYPERLINK("https://shopee.co.id/Somethinc-AHA-7-BHA-1-PHA-3-Weekly-Peeling-Control--i.110573301.3395798597", "https://shopee.co.id/Somethinc-AHA-7-BHA-1-PHA-3-Weekly-Peeling-Control--i.110573301.3395798597")</f>
        <v>https://shopee.co.id/Somethinc-AHA-7-BHA-1-PHA-3-Weekly-Peeling-Control--i.110573301.3395798597</v>
      </c>
      <c r="C749" s="8" t="s">
        <v>45</v>
      </c>
      <c r="D749" s="8" t="s">
        <v>227</v>
      </c>
      <c r="E749" s="8" t="s">
        <v>12</v>
      </c>
      <c r="F749" s="8" t="s">
        <v>13</v>
      </c>
      <c r="G749" s="8" t="s">
        <v>61</v>
      </c>
      <c r="H749" s="16">
        <v>51.0</v>
      </c>
      <c r="I749" s="15" t="str">
        <f>SUBSTITUTE(Sheet1!K749, "Rp", "")</f>
        <v>6254500</v>
      </c>
    </row>
    <row r="750">
      <c r="A750" s="8" t="s">
        <v>1933</v>
      </c>
      <c r="B750" s="13" t="str">
        <f>HYPERLINK("https://shopee.co.id/WHITELAB-Acne-Calming-Serum-20ml-i.270965687.8244384096", "https://shopee.co.id/WHITELAB-Acne-Calming-Serum-20ml-i.270965687.8244384096")</f>
        <v>https://shopee.co.id/WHITELAB-Acne-Calming-Serum-20ml-i.270965687.8244384096</v>
      </c>
      <c r="C750" s="8" t="s">
        <v>59</v>
      </c>
      <c r="D750" s="8" t="s">
        <v>379</v>
      </c>
      <c r="E750" s="8" t="s">
        <v>12</v>
      </c>
      <c r="F750" s="8" t="s">
        <v>13</v>
      </c>
      <c r="G750" s="8" t="s">
        <v>380</v>
      </c>
      <c r="H750" s="16">
        <v>51.0</v>
      </c>
      <c r="I750" s="15" t="str">
        <f>SUBSTITUTE(Sheet1!K750, "Rp", "")</f>
        <v>3825000</v>
      </c>
    </row>
    <row r="751">
      <c r="A751" s="8" t="s">
        <v>1887</v>
      </c>
      <c r="B751" s="13" t="str">
        <f>HYPERLINK("https://shopee.co.id/Mineral-Botanica-Ceramide-Serum-i.124549994.9842517564", "https://shopee.co.id/Mineral-Botanica-Ceramide-Serum-i.124549994.9842517564")</f>
        <v>https://shopee.co.id/Mineral-Botanica-Ceramide-Serum-i.124549994.9842517564</v>
      </c>
      <c r="C751" s="8" t="s">
        <v>807</v>
      </c>
      <c r="D751" s="8" t="s">
        <v>808</v>
      </c>
      <c r="E751" s="8" t="s">
        <v>12</v>
      </c>
      <c r="F751" s="8" t="s">
        <v>13</v>
      </c>
      <c r="G751" s="8" t="s">
        <v>61</v>
      </c>
      <c r="H751" s="16">
        <v>50.0</v>
      </c>
      <c r="I751" s="15" t="str">
        <f>SUBSTITUTE(Sheet1!K751, "Rp", "")</f>
        <v>4142570</v>
      </c>
    </row>
    <row r="752">
      <c r="A752" s="8" t="s">
        <v>2247</v>
      </c>
      <c r="B752" s="13" t="str">
        <f>HYPERLINK("https://shopee.co.id/Moriganic-Avocado-Oil-Serum-30ml-BPOM-i.160415531.2622250898", "https://shopee.co.id/Moriganic-Avocado-Oil-Serum-30ml-BPOM-i.160415531.2622250898")</f>
        <v>https://shopee.co.id/Moriganic-Avocado-Oil-Serum-30ml-BPOM-i.160415531.2622250898</v>
      </c>
      <c r="C752" s="8" t="s">
        <v>1421</v>
      </c>
      <c r="D752" s="8" t="s">
        <v>1422</v>
      </c>
      <c r="E752" s="8" t="s">
        <v>12</v>
      </c>
      <c r="F752" s="8" t="s">
        <v>13</v>
      </c>
      <c r="G752" s="8" t="s">
        <v>21</v>
      </c>
      <c r="H752" s="16">
        <v>50.0</v>
      </c>
      <c r="I752" s="15" t="str">
        <f>SUBSTITUTE(Sheet1!K752, "Rp", "")</f>
        <v>2400000</v>
      </c>
    </row>
    <row r="753">
      <c r="A753" s="8" t="s">
        <v>2027</v>
      </c>
      <c r="B753" s="13" t="str">
        <f>HYPERLINK("https://shopee.co.id/Scarlett-Acne-Serum-15-mL-i.65323877.9579237408", "https://shopee.co.id/Scarlett-Acne-Serum-15-mL-i.65323877.9579237408")</f>
        <v>https://shopee.co.id/Scarlett-Acne-Serum-15-mL-i.65323877.9579237408</v>
      </c>
      <c r="C753" s="8" t="s">
        <v>19</v>
      </c>
      <c r="D753" s="8" t="s">
        <v>1600</v>
      </c>
      <c r="E753" s="8" t="s">
        <v>12</v>
      </c>
      <c r="F753" s="8" t="s">
        <v>13</v>
      </c>
      <c r="G753" s="8" t="s">
        <v>296</v>
      </c>
      <c r="H753" s="16">
        <v>50.0</v>
      </c>
      <c r="I753" s="15" t="str">
        <f>SUBSTITUTE(Sheet1!K753, "Rp", "")</f>
        <v>3371300</v>
      </c>
    </row>
    <row r="754">
      <c r="A754" s="8" t="s">
        <v>1707</v>
      </c>
      <c r="B754" s="13" t="str">
        <f>HYPERLINK("https://shopee.co.id/WARDAH-Hydra-Rose-Micro-Gel-Serum-i.30736001.9648849285", "https://shopee.co.id/WARDAH-Hydra-Rose-Micro-Gel-Serum-i.30736001.9648849285")</f>
        <v>https://shopee.co.id/WARDAH-Hydra-Rose-Micro-Gel-Serum-i.30736001.9648849285</v>
      </c>
      <c r="C754" s="8" t="s">
        <v>169</v>
      </c>
      <c r="D754" s="8" t="s">
        <v>335</v>
      </c>
      <c r="E754" s="8" t="s">
        <v>12</v>
      </c>
      <c r="F754" s="8" t="s">
        <v>13</v>
      </c>
      <c r="G754" s="8" t="s">
        <v>36</v>
      </c>
      <c r="H754" s="16">
        <v>50.0</v>
      </c>
      <c r="I754" s="15" t="str">
        <f>SUBSTITUTE(Sheet1!K754, "Rp", "")</f>
        <v>5372000</v>
      </c>
    </row>
    <row r="755">
      <c r="A755" s="8" t="s">
        <v>1378</v>
      </c>
      <c r="B755" s="13" t="str">
        <f>HYPERLINK("https://shopee.co.id/-Limited-Edition-Olay-Serum-Wajah-White-Radiance-Light-Perfecting-Essence-Pencerah-Skincare-30ml-i.11487927.9646202813", "https://shopee.co.id/-Limited-Edition-Olay-Serum-Wajah-White-Radiance-Light-Perfecting-Essence-Pencerah-Skincare-30ml-i.11487927.9646202813")</f>
        <v>https://shopee.co.id/-Limited-Edition-Olay-Serum-Wajah-White-Radiance-Light-Perfecting-Essence-Pencerah-Skincare-30ml-i.11487927.9646202813</v>
      </c>
      <c r="C755" s="8" t="s">
        <v>317</v>
      </c>
      <c r="D755" s="8" t="s">
        <v>318</v>
      </c>
      <c r="E755" s="8" t="s">
        <v>12</v>
      </c>
      <c r="F755" s="8" t="s">
        <v>13</v>
      </c>
      <c r="G755" s="8" t="s">
        <v>296</v>
      </c>
      <c r="H755" s="16">
        <v>49.0</v>
      </c>
      <c r="I755" s="15" t="str">
        <f>SUBSTITUTE(Sheet1!K755, "Rp", "")</f>
        <v>9356300</v>
      </c>
    </row>
    <row r="756">
      <c r="A756" s="8" t="s">
        <v>154</v>
      </c>
      <c r="B756" s="13" t="str">
        <f>HYPERLINK("https://shopee.co.id/Avoskin-Miraculous-Refining-Serum-i.110573301.6068619687", "https://shopee.co.id/Avoskin-Miraculous-Refining-Serum-i.110573301.6068619687")</f>
        <v>https://shopee.co.id/Avoskin-Miraculous-Refining-Serum-i.110573301.6068619687</v>
      </c>
      <c r="C756" s="8" t="s">
        <v>83</v>
      </c>
      <c r="D756" s="8" t="s">
        <v>227</v>
      </c>
      <c r="E756" s="8" t="s">
        <v>12</v>
      </c>
      <c r="F756" s="8" t="s">
        <v>13</v>
      </c>
      <c r="G756" s="8" t="s">
        <v>61</v>
      </c>
      <c r="H756" s="16">
        <v>49.0</v>
      </c>
      <c r="I756" s="15" t="str">
        <f>SUBSTITUTE(Sheet1!K756, "Rp", "")</f>
        <v>11652200</v>
      </c>
    </row>
    <row r="757">
      <c r="A757" s="8" t="s">
        <v>1624</v>
      </c>
      <c r="B757" s="13" t="str">
        <f>HYPERLINK("https://shopee.co.id/Avoskin-Perfect-Hydrating-Treatment-Essence-30ml-i.30736001.11601973124", "https://shopee.co.id/Avoskin-Perfect-Hydrating-Treatment-Essence-30ml-i.30736001.11601973124")</f>
        <v>https://shopee.co.id/Avoskin-Perfect-Hydrating-Treatment-Essence-30ml-i.30736001.11601973124</v>
      </c>
      <c r="C757" s="8" t="s">
        <v>83</v>
      </c>
      <c r="D757" s="8" t="s">
        <v>335</v>
      </c>
      <c r="E757" s="8" t="s">
        <v>12</v>
      </c>
      <c r="F757" s="8" t="s">
        <v>13</v>
      </c>
      <c r="G757" s="8" t="s">
        <v>36</v>
      </c>
      <c r="H757" s="16">
        <v>49.0</v>
      </c>
      <c r="I757" s="15" t="str">
        <f>SUBSTITUTE(Sheet1!K757, "Rp", "")</f>
        <v>6185500</v>
      </c>
    </row>
    <row r="758">
      <c r="A758" s="8" t="s">
        <v>1187</v>
      </c>
      <c r="B758" s="13" t="str">
        <f>HYPERLINK("https://shopee.co.id/Beautybarme-Skin1004-Madagascar-Centella-Asiatica-100-Ampoule-100-Ml-50-Ml-New-Cover-i.28781862.3118229043", "https://shopee.co.id/Beautybarme-Skin1004-Madagascar-Centella-Asiatica-100-Ampoule-100-Ml-50-Ml-New-Cover-i.28781862.3118229043")</f>
        <v>https://shopee.co.id/Beautybarme-Skin1004-Madagascar-Centella-Asiatica-100-Ampoule-100-Ml-50-Ml-New-Cover-i.28781862.3118229043</v>
      </c>
      <c r="C758" s="8" t="s">
        <v>1188</v>
      </c>
      <c r="D758" s="8" t="s">
        <v>1189</v>
      </c>
      <c r="E758" s="8" t="s">
        <v>12</v>
      </c>
      <c r="F758" s="8" t="s">
        <v>13</v>
      </c>
      <c r="G758" s="8" t="s">
        <v>1190</v>
      </c>
      <c r="H758" s="16">
        <v>49.0</v>
      </c>
      <c r="I758" s="15" t="str">
        <f>SUBSTITUTE(Sheet1!K758, "Rp", "")</f>
        <v>13181000</v>
      </c>
    </row>
    <row r="759">
      <c r="A759" s="8" t="s">
        <v>1445</v>
      </c>
      <c r="B759" s="13" t="str">
        <f>HYPERLINK("https://shopee.co.id/Bio-Essence-Bio-White-Whitening-Day-Cream-50gr-Perawatan-Wajah-i.63822287.1671471366", "https://shopee.co.id/Bio-Essence-Bio-White-Whitening-Day-Cream-50gr-Perawatan-Wajah-i.63822287.1671471366")</f>
        <v>https://shopee.co.id/Bio-Essence-Bio-White-Whitening-Day-Cream-50gr-Perawatan-Wajah-i.63822287.1671471366</v>
      </c>
      <c r="C759" s="8" t="s">
        <v>1254</v>
      </c>
      <c r="D759" s="8" t="s">
        <v>835</v>
      </c>
      <c r="E759" s="8" t="s">
        <v>12</v>
      </c>
      <c r="F759" s="8" t="s">
        <v>13</v>
      </c>
      <c r="G759" s="8" t="s">
        <v>61</v>
      </c>
      <c r="H759" s="16">
        <v>49.0</v>
      </c>
      <c r="I759" s="15" t="str">
        <f>SUBSTITUTE(Sheet1!K759, "Rp", "")</f>
        <v>8272000</v>
      </c>
    </row>
    <row r="760">
      <c r="A760" s="8" t="s">
        <v>1358</v>
      </c>
      <c r="B760" s="13" t="str">
        <f>HYPERLINK("https://shopee.co.id/C-Brightening-Booster-10-Vitamin-C-3-Alpha-Arbutin--i.37421755.13005739882", "https://shopee.co.id/C-Brightening-Booster-10-Vitamin-C-3-Alpha-Arbutin--i.37421755.13005739882")</f>
        <v>https://shopee.co.id/C-Brightening-Booster-10-Vitamin-C-3-Alpha-Arbutin--i.37421755.13005739882</v>
      </c>
      <c r="C760" s="8" t="s">
        <v>1359</v>
      </c>
      <c r="D760" s="8" t="s">
        <v>754</v>
      </c>
      <c r="E760" s="8" t="s">
        <v>12</v>
      </c>
      <c r="F760" s="8" t="s">
        <v>13</v>
      </c>
      <c r="G760" s="8" t="s">
        <v>469</v>
      </c>
      <c r="H760" s="16">
        <v>49.0</v>
      </c>
      <c r="I760" s="15" t="str">
        <f>SUBSTITUTE(Sheet1!K760, "Rp", "")</f>
        <v>9751000</v>
      </c>
    </row>
    <row r="761">
      <c r="A761" s="8" t="s">
        <v>1223</v>
      </c>
      <c r="B761" s="13" t="str">
        <f>HYPERLINK("https://shopee.co.id/L-Oreal-Paris-Revitalift-Crystal-Micro-Essence-Serum-Skin-Care-130-ml-Serum-Mask-i.62579622.3948833571", "https://shopee.co.id/L-Oreal-Paris-Revitalift-Crystal-Micro-Essence-Serum-Skin-Care-130-ml-Serum-Mask-i.62579622.3948833571")</f>
        <v>https://shopee.co.id/L-Oreal-Paris-Revitalift-Crystal-Micro-Essence-Serum-Skin-Care-130-ml-Serum-Mask-i.62579622.3948833571</v>
      </c>
      <c r="C761" s="8" t="s">
        <v>105</v>
      </c>
      <c r="D761" s="8" t="s">
        <v>106</v>
      </c>
      <c r="E761" s="8" t="s">
        <v>12</v>
      </c>
      <c r="F761" s="8" t="s">
        <v>13</v>
      </c>
      <c r="G761" s="8" t="s">
        <v>61</v>
      </c>
      <c r="H761" s="16">
        <v>49.0</v>
      </c>
      <c r="I761" s="15" t="str">
        <f>SUBSTITUTE(Sheet1!K761, "Rp", "")</f>
        <v>12446600</v>
      </c>
    </row>
    <row r="762">
      <c r="A762" s="8" t="s">
        <v>1960</v>
      </c>
      <c r="B762" s="13" t="str">
        <f>HYPERLINK("https://shopee.co.id/Precious-Skin-Alpha-Arbutin-3Plus-Glow-Shine-Collagen-Face-Serum-Serum-Pemutih-Wajah-50ml-i.156582062.10933432892", "https://shopee.co.id/Precious-Skin-Alpha-Arbutin-3Plus-Glow-Shine-Collagen-Face-Serum-Serum-Pemutih-Wajah-50ml-i.156582062.10933432892")</f>
        <v>https://shopee.co.id/Precious-Skin-Alpha-Arbutin-3Plus-Glow-Shine-Collagen-Face-Serum-Serum-Pemutih-Wajah-50ml-i.156582062.10933432892</v>
      </c>
      <c r="C762" s="8" t="s">
        <v>1095</v>
      </c>
      <c r="D762" s="8" t="s">
        <v>1096</v>
      </c>
      <c r="E762" s="8" t="s">
        <v>12</v>
      </c>
      <c r="F762" s="8" t="s">
        <v>13</v>
      </c>
      <c r="G762" s="8" t="s">
        <v>61</v>
      </c>
      <c r="H762" s="16">
        <v>49.0</v>
      </c>
      <c r="I762" s="15" t="str">
        <f>SUBSTITUTE(Sheet1!K762, "Rp", "")</f>
        <v>3675000</v>
      </c>
    </row>
    <row r="763">
      <c r="A763" s="8" t="s">
        <v>2041</v>
      </c>
      <c r="B763" s="13" t="str">
        <f>HYPERLINK("https://shopee.co.id/Sarae-Glowing-Serum-Niacinamide-with-CICA-20ml-Centella-Asiatica-i.20723335.2923018280", "https://shopee.co.id/Sarae-Glowing-Serum-Niacinamide-with-CICA-20ml-Centella-Asiatica-i.20723335.2923018280")</f>
        <v>https://shopee.co.id/Sarae-Glowing-Serum-Niacinamide-with-CICA-20ml-Centella-Asiatica-i.20723335.2923018280</v>
      </c>
      <c r="C763" s="8" t="s">
        <v>2042</v>
      </c>
      <c r="D763" s="8" t="s">
        <v>2043</v>
      </c>
      <c r="E763" s="8" t="s">
        <v>12</v>
      </c>
      <c r="F763" s="8" t="s">
        <v>13</v>
      </c>
      <c r="G763" s="8" t="s">
        <v>241</v>
      </c>
      <c r="H763" s="16">
        <v>49.0</v>
      </c>
      <c r="I763" s="15" t="str">
        <f>SUBSTITUTE(Sheet1!K763, "Rp", "")</f>
        <v>3324800</v>
      </c>
    </row>
    <row r="764">
      <c r="A764" s="8" t="s">
        <v>1856</v>
      </c>
      <c r="B764" s="13" t="str">
        <f>HYPERLINK("https://shopee.co.id/Somethinc-5-Niacinamide-Moisture-Sabi-Beet-Serum-20-mL-i.65323877.8879230898", "https://shopee.co.id/Somethinc-5-Niacinamide-Moisture-Sabi-Beet-Serum-20-mL-i.65323877.8879230898")</f>
        <v>https://shopee.co.id/Somethinc-5-Niacinamide-Moisture-Sabi-Beet-Serum-20-mL-i.65323877.8879230898</v>
      </c>
      <c r="C764" s="8" t="s">
        <v>45</v>
      </c>
      <c r="D764" s="8" t="s">
        <v>1600</v>
      </c>
      <c r="E764" s="8" t="s">
        <v>12</v>
      </c>
      <c r="F764" s="8" t="s">
        <v>13</v>
      </c>
      <c r="G764" s="8" t="s">
        <v>296</v>
      </c>
      <c r="H764" s="16">
        <v>49.0</v>
      </c>
      <c r="I764" s="15" t="str">
        <f>SUBSTITUTE(Sheet1!K764, "Rp", "")</f>
        <v>4338000</v>
      </c>
    </row>
    <row r="765">
      <c r="A765" s="8" t="s">
        <v>1962</v>
      </c>
      <c r="B765" s="13" t="str">
        <f>HYPERLINK("https://shopee.co.id/WHITELAB-BRIGHTENING-FACE-SERUM-20ML-i.50972887.5397933539", "https://shopee.co.id/WHITELAB-BRIGHTENING-FACE-SERUM-20ML-i.50972887.5397933539")</f>
        <v>https://shopee.co.id/WHITELAB-BRIGHTENING-FACE-SERUM-20ML-i.50972887.5397933539</v>
      </c>
      <c r="C765" s="8" t="s">
        <v>59</v>
      </c>
      <c r="D765" s="8" t="s">
        <v>552</v>
      </c>
      <c r="E765" s="8" t="s">
        <v>12</v>
      </c>
      <c r="F765" s="8" t="s">
        <v>13</v>
      </c>
      <c r="G765" s="8" t="s">
        <v>61</v>
      </c>
      <c r="H765" s="16">
        <v>49.0</v>
      </c>
      <c r="I765" s="15" t="str">
        <f>SUBSTITUTE(Sheet1!K765, "Rp", "")</f>
        <v>3665200</v>
      </c>
    </row>
    <row r="766">
      <c r="A766" s="8" t="s">
        <v>1522</v>
      </c>
      <c r="B766" s="13" t="str">
        <f>HYPERLINK("https://shopee.co.id/Benton-Snail-Bee-High-Content-Skin-i.125116082.2753937652", "https://shopee.co.id/Benton-Snail-Bee-High-Content-Skin-i.125116082.2753937652")</f>
        <v>https://shopee.co.id/Benton-Snail-Bee-High-Content-Skin-i.125116082.2753937652</v>
      </c>
      <c r="C766" s="8" t="s">
        <v>456</v>
      </c>
      <c r="D766" s="8" t="s">
        <v>713</v>
      </c>
      <c r="E766" s="8" t="s">
        <v>12</v>
      </c>
      <c r="F766" s="8" t="s">
        <v>13</v>
      </c>
      <c r="G766" s="8" t="s">
        <v>61</v>
      </c>
      <c r="H766" s="16">
        <v>48.0</v>
      </c>
      <c r="I766" s="15" t="str">
        <f>SUBSTITUTE(Sheet1!K766, "Rp", "")</f>
        <v>7383600</v>
      </c>
    </row>
    <row r="767">
      <c r="A767" s="8" t="s">
        <v>1871</v>
      </c>
      <c r="B767" s="13" t="str">
        <f>HYPERLINK("https://shopee.co.id/Bio-Essence-Bio-White-Advanced-Whitening-Cleanser-100-gr-Twinpack-Special-i.63822287.3385189159", "https://shopee.co.id/Bio-Essence-Bio-White-Advanced-Whitening-Cleanser-100-gr-Twinpack-Special-i.63822287.3385189159")</f>
        <v>https://shopee.co.id/Bio-Essence-Bio-White-Advanced-Whitening-Cleanser-100-gr-Twinpack-Special-i.63822287.3385189159</v>
      </c>
      <c r="C767" s="8" t="s">
        <v>1254</v>
      </c>
      <c r="D767" s="8" t="s">
        <v>835</v>
      </c>
      <c r="E767" s="8" t="s">
        <v>12</v>
      </c>
      <c r="F767" s="8" t="s">
        <v>13</v>
      </c>
      <c r="G767" s="8" t="s">
        <v>61</v>
      </c>
      <c r="H767" s="16">
        <v>48.0</v>
      </c>
      <c r="I767" s="15" t="str">
        <f>SUBSTITUTE(Sheet1!K767, "Rp", "")</f>
        <v>4204400</v>
      </c>
    </row>
    <row r="768">
      <c r="A768" s="8" t="s">
        <v>2078</v>
      </c>
      <c r="B768" s="13" t="str">
        <f>HYPERLINK("https://shopee.co.id/Humphrey-Vitamin-C-Collagen-Plus-Serum-20ml-Kulit-Kering--i.83349.273099", "https://shopee.co.id/Humphrey-Vitamin-C-Collagen-Plus-Serum-20ml-Kulit-Kering--i.83349.273099")</f>
        <v>https://shopee.co.id/Humphrey-Vitamin-C-Collagen-Plus-Serum-20ml-Kulit-Kering--i.83349.273099</v>
      </c>
      <c r="C768" s="8" t="s">
        <v>1832</v>
      </c>
      <c r="D768" s="8" t="s">
        <v>1833</v>
      </c>
      <c r="E768" s="8" t="s">
        <v>12</v>
      </c>
      <c r="F768" s="8" t="s">
        <v>13</v>
      </c>
      <c r="G768" s="8" t="s">
        <v>21</v>
      </c>
      <c r="H768" s="16">
        <v>48.0</v>
      </c>
      <c r="I768" s="15" t="str">
        <f>SUBSTITUTE(Sheet1!K768, "Rp", "")</f>
        <v>3119585</v>
      </c>
    </row>
    <row r="769">
      <c r="A769" s="8" t="s">
        <v>1534</v>
      </c>
      <c r="B769" s="13" t="str">
        <f>HYPERLINK("https://shopee.co.id/Natasha-by-dr-Fredi-Setyawan-Glowing-Essence-Serum-i.40121814.4257947002", "https://shopee.co.id/Natasha-by-dr-Fredi-Setyawan-Glowing-Essence-Serum-i.40121814.4257947002")</f>
        <v>https://shopee.co.id/Natasha-by-dr-Fredi-Setyawan-Glowing-Essence-Serum-i.40121814.4257947002</v>
      </c>
      <c r="C769" s="8" t="s">
        <v>793</v>
      </c>
      <c r="D769" s="8" t="s">
        <v>794</v>
      </c>
      <c r="E769" s="8" t="s">
        <v>12</v>
      </c>
      <c r="F769" s="8" t="s">
        <v>13</v>
      </c>
      <c r="G769" s="8" t="s">
        <v>380</v>
      </c>
      <c r="H769" s="16">
        <v>48.0</v>
      </c>
      <c r="I769" s="15" t="str">
        <f>SUBSTITUTE(Sheet1!K769, "Rp", "")</f>
        <v>7270862</v>
      </c>
    </row>
    <row r="770">
      <c r="A770" s="8" t="s">
        <v>2553</v>
      </c>
      <c r="B770" s="13" t="str">
        <f>HYPERLINK("https://shopee.co.id/QL-Cosmetic-Vitamin-C-Serum-i.42379979.699146759", "https://shopee.co.id/QL-Cosmetic-Vitamin-C-Serum-i.42379979.699146759")</f>
        <v>https://shopee.co.id/QL-Cosmetic-Vitamin-C-Serum-i.42379979.699146759</v>
      </c>
      <c r="C770" s="8" t="s">
        <v>2554</v>
      </c>
      <c r="D770" s="8" t="s">
        <v>2555</v>
      </c>
      <c r="E770" s="8" t="s">
        <v>12</v>
      </c>
      <c r="F770" s="8" t="s">
        <v>13</v>
      </c>
      <c r="G770" s="8" t="s">
        <v>61</v>
      </c>
      <c r="H770" s="16">
        <v>48.0</v>
      </c>
      <c r="I770" s="15" t="str">
        <f>SUBSTITUTE(Sheet1!K770, "Rp", "")</f>
        <v>1573208</v>
      </c>
    </row>
    <row r="771">
      <c r="A771" s="8" t="s">
        <v>3020</v>
      </c>
      <c r="B771" s="13" t="str">
        <f>HYPERLINK("https://shopee.co.id/SYB-Forte-Lightening-Gold-Serum-i.150222332.2277919882", "https://shopee.co.id/SYB-Forte-Lightening-Gold-Serum-i.150222332.2277919882")</f>
        <v>https://shopee.co.id/SYB-Forte-Lightening-Gold-Serum-i.150222332.2277919882</v>
      </c>
      <c r="C771" s="8" t="s">
        <v>1736</v>
      </c>
      <c r="D771" s="8" t="s">
        <v>1737</v>
      </c>
      <c r="E771" s="8" t="s">
        <v>12</v>
      </c>
      <c r="F771" s="8" t="s">
        <v>13</v>
      </c>
      <c r="G771" s="8" t="s">
        <v>350</v>
      </c>
      <c r="H771" s="16">
        <v>48.0</v>
      </c>
      <c r="I771" s="15" t="str">
        <f>SUBSTITUTE(Sheet1!K771, "Rp", "")</f>
        <v>714000</v>
      </c>
    </row>
    <row r="772">
      <c r="A772" s="8" t="s">
        <v>1430</v>
      </c>
      <c r="B772" s="13" t="str">
        <f>HYPERLINK("https://shopee.co.id/Tuesbelle-LACOCO-Dark-Spot-Essence-12ml-i.36872574.7265301318", "https://shopee.co.id/Tuesbelle-LACOCO-Dark-Spot-Essence-12ml-i.36872574.7265301318")</f>
        <v>https://shopee.co.id/Tuesbelle-LACOCO-Dark-Spot-Essence-12ml-i.36872574.7265301318</v>
      </c>
      <c r="C772" s="8" t="s">
        <v>501</v>
      </c>
      <c r="D772" s="8" t="s">
        <v>969</v>
      </c>
      <c r="E772" s="8" t="s">
        <v>12</v>
      </c>
      <c r="F772" s="8" t="s">
        <v>13</v>
      </c>
      <c r="G772" s="8" t="s">
        <v>115</v>
      </c>
      <c r="H772" s="16">
        <v>48.0</v>
      </c>
      <c r="I772" s="15" t="str">
        <f>SUBSTITUTE(Sheet1!K772, "Rp", "")</f>
        <v>8512000</v>
      </c>
    </row>
    <row r="773">
      <c r="A773" s="8" t="s">
        <v>2289</v>
      </c>
      <c r="B773" s="13" t="str">
        <f>HYPERLINK("https://shopee.co.id/Wardah-Lightening-Facial-Serum-5x5ml-i.30736001.4937211080", "https://shopee.co.id/Wardah-Lightening-Facial-Serum-5x5ml-i.30736001.4937211080")</f>
        <v>https://shopee.co.id/Wardah-Lightening-Facial-Serum-5x5ml-i.30736001.4937211080</v>
      </c>
      <c r="C773" s="8" t="s">
        <v>169</v>
      </c>
      <c r="D773" s="8" t="s">
        <v>335</v>
      </c>
      <c r="E773" s="8" t="s">
        <v>12</v>
      </c>
      <c r="F773" s="8" t="s">
        <v>13</v>
      </c>
      <c r="G773" s="8" t="s">
        <v>36</v>
      </c>
      <c r="H773" s="16">
        <v>48.0</v>
      </c>
      <c r="I773" s="15" t="str">
        <f>SUBSTITUTE(Sheet1!K773, "Rp", "")</f>
        <v>2323900</v>
      </c>
    </row>
    <row r="774">
      <c r="A774" s="8" t="s">
        <v>1971</v>
      </c>
      <c r="B774" s="13" t="str">
        <f>HYPERLINK("https://shopee.co.id/Whitelab-Brightening-Face-Serum-20ml-i.136011044.8410319678", "https://shopee.co.id/Whitelab-Brightening-Face-Serum-20ml-i.136011044.8410319678")</f>
        <v>https://shopee.co.id/Whitelab-Brightening-Face-Serum-20ml-i.136011044.8410319678</v>
      </c>
      <c r="C774" s="8" t="s">
        <v>59</v>
      </c>
      <c r="D774" s="8" t="s">
        <v>632</v>
      </c>
      <c r="E774" s="8" t="s">
        <v>12</v>
      </c>
      <c r="F774" s="8" t="s">
        <v>13</v>
      </c>
      <c r="G774" s="8" t="s">
        <v>21</v>
      </c>
      <c r="H774" s="16">
        <v>48.0</v>
      </c>
      <c r="I774" s="15" t="str">
        <f>SUBSTITUTE(Sheet1!K774, "Rp", "")</f>
        <v>3600000</v>
      </c>
    </row>
    <row r="775">
      <c r="A775" s="8" t="s">
        <v>1136</v>
      </c>
      <c r="B775" s="13" t="str">
        <f>HYPERLINK("https://shopee.co.id/-innisfree-Green-Tea-Seed-Essence-In-Lotion-100ML-Serum-Wajah-Perawatan-Wajah-i.61504589.2176154131", "https://shopee.co.id/-innisfree-Green-Tea-Seed-Essence-In-Lotion-100ML-Serum-Wajah-Perawatan-Wajah-i.61504589.2176154131")</f>
        <v>https://shopee.co.id/-innisfree-Green-Tea-Seed-Essence-In-Lotion-100ML-Serum-Wajah-Perawatan-Wajah-i.61504589.2176154131</v>
      </c>
      <c r="C775" s="8" t="s">
        <v>294</v>
      </c>
      <c r="D775" s="8" t="s">
        <v>295</v>
      </c>
      <c r="E775" s="8" t="s">
        <v>12</v>
      </c>
      <c r="F775" s="8" t="s">
        <v>13</v>
      </c>
      <c r="G775" s="8" t="s">
        <v>296</v>
      </c>
      <c r="H775" s="16">
        <v>47.0</v>
      </c>
      <c r="I775" s="15" t="str">
        <f>SUBSTITUTE(Sheet1!K775, "Rp", "")</f>
        <v>14355000</v>
      </c>
    </row>
    <row r="776">
      <c r="A776" s="8" t="s">
        <v>1216</v>
      </c>
      <c r="B776" s="13" t="str">
        <f>HYPERLINK("https://shopee.co.id/-The-Face-Shop-White-Seed-Brightening-Serum-50ml-Original-i.34671748.2620179924", "https://shopee.co.id/-The-Face-Shop-White-Seed-Brightening-Serum-50ml-Original-i.34671748.2620179924")</f>
        <v>https://shopee.co.id/-The-Face-Shop-White-Seed-Brightening-Serum-50ml-Original-i.34671748.2620179924</v>
      </c>
      <c r="C776" s="8" t="s">
        <v>1217</v>
      </c>
      <c r="D776" s="8" t="s">
        <v>1218</v>
      </c>
      <c r="E776" s="8" t="s">
        <v>12</v>
      </c>
      <c r="F776" s="8" t="s">
        <v>13</v>
      </c>
      <c r="G776" s="8" t="s">
        <v>61</v>
      </c>
      <c r="H776" s="16">
        <v>47.0</v>
      </c>
      <c r="I776" s="15" t="str">
        <f>SUBSTITUTE(Sheet1!K776, "Rp", "")</f>
        <v>12508650</v>
      </c>
    </row>
    <row r="777">
      <c r="A777" s="8" t="s">
        <v>2138</v>
      </c>
      <c r="B777" s="13" t="str">
        <f>HYPERLINK("https://shopee.co.id/Humphrey-Serum-Plus-Kemasan-Lama-20ml-i.83349.11146515710", "https://shopee.co.id/Humphrey-Serum-Plus-Kemasan-Lama-20ml-i.83349.11146515710")</f>
        <v>https://shopee.co.id/Humphrey-Serum-Plus-Kemasan-Lama-20ml-i.83349.11146515710</v>
      </c>
      <c r="C777" s="8" t="s">
        <v>1832</v>
      </c>
      <c r="D777" s="8" t="s">
        <v>1833</v>
      </c>
      <c r="E777" s="8" t="s">
        <v>12</v>
      </c>
      <c r="F777" s="8" t="s">
        <v>13</v>
      </c>
      <c r="G777" s="8" t="s">
        <v>21</v>
      </c>
      <c r="H777" s="16">
        <v>47.0</v>
      </c>
      <c r="I777" s="15" t="str">
        <f>SUBSTITUTE(Sheet1!K777, "Rp", "")</f>
        <v>2771800</v>
      </c>
    </row>
    <row r="778">
      <c r="A778" s="8" t="s">
        <v>1749</v>
      </c>
      <c r="B778" s="13" t="str">
        <f>HYPERLINK("https://shopee.co.id/Illuminare-Brightening-Serum-30gr-Serum-Pencerah-Serum-Whitening-Skin-Care-Flek-Hitam-i.121791179.1863497497", "https://shopee.co.id/Illuminare-Brightening-Serum-30gr-Serum-Pencerah-Serum-Whitening-Skin-Care-Flek-Hitam-i.121791179.1863497497")</f>
        <v>https://shopee.co.id/Illuminare-Brightening-Serum-30gr-Serum-Pencerah-Serum-Whitening-Skin-Care-Flek-Hitam-i.121791179.1863497497</v>
      </c>
      <c r="C778" s="8" t="s">
        <v>1750</v>
      </c>
      <c r="D778" s="8" t="s">
        <v>1733</v>
      </c>
      <c r="E778" s="8" t="s">
        <v>12</v>
      </c>
      <c r="F778" s="8" t="s">
        <v>13</v>
      </c>
      <c r="G778" s="8" t="s">
        <v>36</v>
      </c>
      <c r="H778" s="16">
        <v>47.0</v>
      </c>
      <c r="I778" s="15" t="str">
        <f>SUBSTITUTE(Sheet1!K778, "Rp", "")</f>
        <v>4989600</v>
      </c>
    </row>
    <row r="779">
      <c r="A779" s="8" t="s">
        <v>1320</v>
      </c>
      <c r="B779" s="13" t="str">
        <f>HYPERLINK("https://shopee.co.id/INNERTRUE-Essence-of-Life-Serum-15ml-i.161937534.2582503755", "https://shopee.co.id/INNERTRUE-Essence-of-Life-Serum-15ml-i.161937534.2582503755")</f>
        <v>https://shopee.co.id/INNERTRUE-Essence-of-Life-Serum-15ml-i.161937534.2582503755</v>
      </c>
      <c r="C779" s="8" t="s">
        <v>1321</v>
      </c>
      <c r="D779" s="8" t="s">
        <v>1322</v>
      </c>
      <c r="E779" s="8" t="s">
        <v>12</v>
      </c>
      <c r="F779" s="8" t="s">
        <v>13</v>
      </c>
      <c r="G779" s="8" t="s">
        <v>61</v>
      </c>
      <c r="H779" s="16">
        <v>47.0</v>
      </c>
      <c r="I779" s="15" t="str">
        <f>SUBSTITUTE(Sheet1!K779, "Rp", "")</f>
        <v>10340000</v>
      </c>
    </row>
    <row r="780">
      <c r="A780" s="8" t="s">
        <v>1552</v>
      </c>
      <c r="B780" s="13" t="str">
        <f>HYPERLINK("https://shopee.co.id/J-GLOW-Skin-Refining-Serum-Fungsi-Untuk-Kulit-Berminyak-Beruntus-Atau-Berjerawat-15ml-i.165212611.2523410062", "https://shopee.co.id/J-GLOW-Skin-Refining-Serum-Fungsi-Untuk-Kulit-Berminyak-Beruntus-Atau-Berjerawat-15ml-i.165212611.2523410062")</f>
        <v>https://shopee.co.id/J-GLOW-Skin-Refining-Serum-Fungsi-Untuk-Kulit-Berminyak-Beruntus-Atau-Berjerawat-15ml-i.165212611.2523410062</v>
      </c>
      <c r="C780" s="8" t="s">
        <v>1553</v>
      </c>
      <c r="D780" s="8" t="s">
        <v>1554</v>
      </c>
      <c r="E780" s="8" t="s">
        <v>12</v>
      </c>
      <c r="F780" s="8" t="s">
        <v>13</v>
      </c>
      <c r="G780" s="8" t="s">
        <v>241</v>
      </c>
      <c r="H780" s="16">
        <v>47.0</v>
      </c>
      <c r="I780" s="15" t="str">
        <f>SUBSTITUTE(Sheet1!K780, "Rp", "")</f>
        <v>7050000</v>
      </c>
    </row>
    <row r="781">
      <c r="A781" s="8" t="s">
        <v>1503</v>
      </c>
      <c r="B781" s="13" t="str">
        <f>HYPERLINK("https://shopee.co.id/Langsre-Brightspot-Serum-30ml-i.24099389.3818651452", "https://shopee.co.id/Langsre-Brightspot-Serum-30ml-i.24099389.3818651452")</f>
        <v>https://shopee.co.id/Langsre-Brightspot-Serum-30ml-i.24099389.3818651452</v>
      </c>
      <c r="C781" s="8" t="s">
        <v>1295</v>
      </c>
      <c r="D781" s="8" t="s">
        <v>1296</v>
      </c>
      <c r="E781" s="8" t="s">
        <v>12</v>
      </c>
      <c r="F781" s="8" t="s">
        <v>13</v>
      </c>
      <c r="G781" s="8" t="s">
        <v>532</v>
      </c>
      <c r="H781" s="16">
        <v>47.0</v>
      </c>
      <c r="I781" s="15" t="str">
        <f>SUBSTITUTE(Sheet1!K781, "Rp", "")</f>
        <v>7635000</v>
      </c>
    </row>
    <row r="782">
      <c r="A782" s="8" t="s">
        <v>1062</v>
      </c>
      <c r="B782" s="13" t="str">
        <f>HYPERLINK("https://shopee.co.id/MISSHA-TIME-REVOLUTION-NIGHT-REPAIR-AMPOULE-5X-50ML-Free-2-Sheet-Mask-Madecasoid-Guaiazulene--i.37557990.8890153773", "https://shopee.co.id/MISSHA-TIME-REVOLUTION-NIGHT-REPAIR-AMPOULE-5X-50ML-Free-2-Sheet-Mask-Madecasoid-Guaiazulene--i.37557990.8890153773")</f>
        <v>https://shopee.co.id/MISSHA-TIME-REVOLUTION-NIGHT-REPAIR-AMPOULE-5X-50ML-Free-2-Sheet-Mask-Madecasoid-Guaiazulene--i.37557990.8890153773</v>
      </c>
      <c r="C782" s="8" t="s">
        <v>695</v>
      </c>
      <c r="D782" s="8" t="s">
        <v>696</v>
      </c>
      <c r="E782" s="8" t="s">
        <v>12</v>
      </c>
      <c r="F782" s="8" t="s">
        <v>13</v>
      </c>
      <c r="G782" s="8" t="s">
        <v>80</v>
      </c>
      <c r="H782" s="16">
        <v>47.0</v>
      </c>
      <c r="I782" s="15" t="str">
        <f>SUBSTITUTE(Sheet1!K782, "Rp", "")</f>
        <v>16426500</v>
      </c>
    </row>
    <row r="783">
      <c r="A783" s="8" t="s">
        <v>1698</v>
      </c>
      <c r="B783" s="13" t="str">
        <f>HYPERLINK("https://shopee.co.id/MSBB-Somethinc-10-Niacinamide-Barrier-Serum-20Ml-i.288588702.8975260701", "https://shopee.co.id/MSBB-Somethinc-10-Niacinamide-Barrier-Serum-20Ml-i.288588702.8975260701")</f>
        <v>https://shopee.co.id/MSBB-Somethinc-10-Niacinamide-Barrier-Serum-20Ml-i.288588702.8975260701</v>
      </c>
      <c r="C783" s="8" t="s">
        <v>45</v>
      </c>
      <c r="D783" s="8" t="s">
        <v>79</v>
      </c>
      <c r="E783" s="8" t="s">
        <v>12</v>
      </c>
      <c r="F783" s="8" t="s">
        <v>13</v>
      </c>
      <c r="G783" s="8" t="s">
        <v>80</v>
      </c>
      <c r="H783" s="16">
        <v>47.0</v>
      </c>
      <c r="I783" s="15" t="str">
        <f>SUBSTITUTE(Sheet1!K783, "Rp", "")</f>
        <v>5428500</v>
      </c>
    </row>
    <row r="784">
      <c r="A784" s="8" t="s">
        <v>1882</v>
      </c>
      <c r="B784" s="13" t="str">
        <f>HYPERLINK("https://shopee.co.id/MSBB-Somethinc-5-Niacinamide-Barrier-Serum-20Ml-i.288588702.8174998129", "https://shopee.co.id/MSBB-Somethinc-5-Niacinamide-Barrier-Serum-20Ml-i.288588702.8174998129")</f>
        <v>https://shopee.co.id/MSBB-Somethinc-5-Niacinamide-Barrier-Serum-20Ml-i.288588702.8174998129</v>
      </c>
      <c r="C784" s="8" t="s">
        <v>45</v>
      </c>
      <c r="D784" s="8" t="s">
        <v>79</v>
      </c>
      <c r="E784" s="8" t="s">
        <v>12</v>
      </c>
      <c r="F784" s="8" t="s">
        <v>13</v>
      </c>
      <c r="G784" s="8" t="s">
        <v>80</v>
      </c>
      <c r="H784" s="16">
        <v>47.0</v>
      </c>
      <c r="I784" s="15" t="str">
        <f>SUBSTITUTE(Sheet1!K784, "Rp", "")</f>
        <v>4183000</v>
      </c>
    </row>
    <row r="785">
      <c r="A785" s="8" t="s">
        <v>1714</v>
      </c>
      <c r="B785" s="13" t="str">
        <f>HYPERLINK("https://shopee.co.id/NUTRISHE-Intensive-Bright-Glow-Serum-Travel-Size-20ml-i.270965687.9170075513", "https://shopee.co.id/NUTRISHE-Intensive-Bright-Glow-Serum-Travel-Size-20ml-i.270965687.9170075513")</f>
        <v>https://shopee.co.id/NUTRISHE-Intensive-Bright-Glow-Serum-Travel-Size-20ml-i.270965687.9170075513</v>
      </c>
      <c r="C785" s="8" t="s">
        <v>195</v>
      </c>
      <c r="D785" s="8" t="s">
        <v>379</v>
      </c>
      <c r="E785" s="8" t="s">
        <v>12</v>
      </c>
      <c r="F785" s="8" t="s">
        <v>13</v>
      </c>
      <c r="G785" s="8" t="s">
        <v>380</v>
      </c>
      <c r="H785" s="16">
        <v>47.0</v>
      </c>
      <c r="I785" s="15" t="str">
        <f>SUBSTITUTE(Sheet1!K785, "Rp", "")</f>
        <v>5264000</v>
      </c>
    </row>
    <row r="786">
      <c r="A786" s="8" t="s">
        <v>1380</v>
      </c>
      <c r="B786" s="13" t="str">
        <f>HYPERLINK("https://shopee.co.id/Somethinc-HYAluronic9-Advanced-B5-Serum-40-ml-i.110573301.5579522402", "https://shopee.co.id/Somethinc-HYAluronic9-Advanced-B5-Serum-40-ml-i.110573301.5579522402")</f>
        <v>https://shopee.co.id/Somethinc-HYAluronic9-Advanced-B5-Serum-40-ml-i.110573301.5579522402</v>
      </c>
      <c r="C786" s="8" t="s">
        <v>45</v>
      </c>
      <c r="D786" s="8" t="s">
        <v>227</v>
      </c>
      <c r="E786" s="8" t="s">
        <v>12</v>
      </c>
      <c r="F786" s="8" t="s">
        <v>13</v>
      </c>
      <c r="G786" s="8" t="s">
        <v>61</v>
      </c>
      <c r="H786" s="16">
        <v>47.0</v>
      </c>
      <c r="I786" s="15" t="str">
        <f>SUBSTITUTE(Sheet1!K786, "Rp", "")</f>
        <v>9353000</v>
      </c>
    </row>
    <row r="787">
      <c r="A787" s="8" t="s">
        <v>1010</v>
      </c>
      <c r="B787" s="13" t="str">
        <f>HYPERLINK("https://shopee.co.id/-Buy-1-Get-1-Bio-Essence-Bio-Gold-Gold-Water-150-Ml-i.63822287.4266630542", "https://shopee.co.id/-Buy-1-Get-1-Bio-Essence-Bio-Gold-Gold-Water-150-Ml-i.63822287.4266630542")</f>
        <v>https://shopee.co.id/-Buy-1-Get-1-Bio-Essence-Bio-Gold-Gold-Water-150-Ml-i.63822287.4266630542</v>
      </c>
      <c r="C787" s="8" t="s">
        <v>834</v>
      </c>
      <c r="D787" s="8" t="s">
        <v>835</v>
      </c>
      <c r="E787" s="8" t="s">
        <v>12</v>
      </c>
      <c r="F787" s="8" t="s">
        <v>13</v>
      </c>
      <c r="G787" s="8" t="s">
        <v>61</v>
      </c>
      <c r="H787" s="16">
        <v>46.0</v>
      </c>
      <c r="I787" s="15" t="str">
        <f>SUBSTITUTE(Sheet1!K787, "Rp", "")</f>
        <v>18709100</v>
      </c>
    </row>
    <row r="788">
      <c r="A788" s="8" t="s">
        <v>2530</v>
      </c>
      <c r="B788" s="13" t="str">
        <f>HYPERLINK("https://shopee.co.id/-Isi-2-Hanasui-Anti-Acne-Serum-20ml-PINK-Serum-Wajah-Obat-Jerawat-i.114789399.2657573822", "https://shopee.co.id/-Isi-2-Hanasui-Anti-Acne-Serum-20ml-PINK-Serum-Wajah-Obat-Jerawat-i.114789399.2657573822")</f>
        <v>https://shopee.co.id/-Isi-2-Hanasui-Anti-Acne-Serum-20ml-PINK-Serum-Wajah-Obat-Jerawat-i.114789399.2657573822</v>
      </c>
      <c r="C788" s="8" t="s">
        <v>784</v>
      </c>
      <c r="D788" s="8" t="s">
        <v>2531</v>
      </c>
      <c r="E788" s="8" t="s">
        <v>12</v>
      </c>
      <c r="F788" s="8" t="s">
        <v>13</v>
      </c>
      <c r="G788" s="8" t="s">
        <v>36</v>
      </c>
      <c r="H788" s="16">
        <v>46.0</v>
      </c>
      <c r="I788" s="15" t="str">
        <f>SUBSTITUTE(Sheet1!K788, "Rp", "")</f>
        <v>1631808</v>
      </c>
    </row>
    <row r="789">
      <c r="A789" s="8" t="s">
        <v>1591</v>
      </c>
      <c r="B789" s="13" t="str">
        <f>HYPERLINK("https://shopee.co.id/AVOSKIN-YOUR-SKIN-BAE-SERIES-MARINE-COLLAGEN-10-GINSENG-ROOT-SERUM-30ML-i.50972887.7572705245", "https://shopee.co.id/AVOSKIN-YOUR-SKIN-BAE-SERIES-MARINE-COLLAGEN-10-GINSENG-ROOT-SERUM-30ML-i.50972887.7572705245")</f>
        <v>https://shopee.co.id/AVOSKIN-YOUR-SKIN-BAE-SERIES-MARINE-COLLAGEN-10-GINSENG-ROOT-SERUM-30ML-i.50972887.7572705245</v>
      </c>
      <c r="C789" s="8" t="s">
        <v>83</v>
      </c>
      <c r="D789" s="8" t="s">
        <v>552</v>
      </c>
      <c r="E789" s="8" t="s">
        <v>12</v>
      </c>
      <c r="F789" s="8" t="s">
        <v>13</v>
      </c>
      <c r="G789" s="8" t="s">
        <v>61</v>
      </c>
      <c r="H789" s="16">
        <v>46.0</v>
      </c>
      <c r="I789" s="15" t="str">
        <f>SUBSTITUTE(Sheet1!K789, "Rp", "")</f>
        <v>6479550</v>
      </c>
    </row>
    <row r="790">
      <c r="A790" s="8" t="s">
        <v>1576</v>
      </c>
      <c r="B790" s="13" t="str">
        <f>HYPERLINK("https://shopee.co.id/Haum-Lcid-With-Salicylic-Acid-2-28Ml-i.214358077.8000683764", "https://shopee.co.id/Haum-Lcid-With-Salicylic-Acid-2-28Ml-i.214358077.8000683764")</f>
        <v>https://shopee.co.id/Haum-Lcid-With-Salicylic-Acid-2-28Ml-i.214358077.8000683764</v>
      </c>
      <c r="C790" s="8" t="s">
        <v>1144</v>
      </c>
      <c r="D790" s="8" t="s">
        <v>1259</v>
      </c>
      <c r="E790" s="8" t="s">
        <v>12</v>
      </c>
      <c r="F790" s="8" t="s">
        <v>13</v>
      </c>
      <c r="G790" s="8" t="s">
        <v>469</v>
      </c>
      <c r="H790" s="16">
        <v>46.0</v>
      </c>
      <c r="I790" s="15" t="str">
        <f>SUBSTITUTE(Sheet1!K790, "Rp", "")</f>
        <v>6698000</v>
      </c>
    </row>
    <row r="791">
      <c r="A791" s="8" t="s">
        <v>2084</v>
      </c>
      <c r="B791" s="13" t="str">
        <f>HYPERLINK("https://shopee.co.id/SCARLETT-WHITENING-GLOWTENING-Serum-15ml-i.270965687.4492485738", "https://shopee.co.id/SCARLETT-WHITENING-GLOWTENING-Serum-15ml-i.270965687.4492485738")</f>
        <v>https://shopee.co.id/SCARLETT-WHITENING-GLOWTENING-Serum-15ml-i.270965687.4492485738</v>
      </c>
      <c r="C791" s="8" t="s">
        <v>19</v>
      </c>
      <c r="D791" s="8" t="s">
        <v>379</v>
      </c>
      <c r="E791" s="8" t="s">
        <v>12</v>
      </c>
      <c r="F791" s="8" t="s">
        <v>13</v>
      </c>
      <c r="G791" s="8" t="s">
        <v>380</v>
      </c>
      <c r="H791" s="16">
        <v>46.0</v>
      </c>
      <c r="I791" s="15" t="str">
        <f>SUBSTITUTE(Sheet1!K791, "Rp", "")</f>
        <v>3082000</v>
      </c>
    </row>
    <row r="792">
      <c r="A792" s="8" t="s">
        <v>1678</v>
      </c>
      <c r="B792" s="13" t="str">
        <f>HYPERLINK("https://shopee.co.id/SECA-ALPHA-ARBUTIN-3-Serum-i.373749700.5393261970", "https://shopee.co.id/SECA-ALPHA-ARBUTIN-3-Serum-i.373749700.5393261970")</f>
        <v>https://shopee.co.id/SECA-ALPHA-ARBUTIN-3-Serum-i.373749700.5393261970</v>
      </c>
      <c r="C792" s="8" t="s">
        <v>1359</v>
      </c>
      <c r="D792" s="8" t="s">
        <v>986</v>
      </c>
      <c r="E792" s="8" t="s">
        <v>12</v>
      </c>
      <c r="F792" s="8" t="s">
        <v>13</v>
      </c>
      <c r="G792" s="8" t="s">
        <v>36</v>
      </c>
      <c r="H792" s="16">
        <v>46.0</v>
      </c>
      <c r="I792" s="15" t="str">
        <f>SUBSTITUTE(Sheet1!K792, "Rp", "")</f>
        <v>5701800</v>
      </c>
    </row>
    <row r="793">
      <c r="A793" s="8" t="s">
        <v>1632</v>
      </c>
      <c r="B793" s="13" t="str">
        <f>HYPERLINK("https://shopee.co.id/Avoskin-Your-Skin-Bae-Serum-Alpha-Arbutin-3-Grapeseed-30ml-i.50948181.9376567457", "https://shopee.co.id/Avoskin-Your-Skin-Bae-Serum-Alpha-Arbutin-3-Grapeseed-30ml-i.50948181.9376567457")</f>
        <v>https://shopee.co.id/Avoskin-Your-Skin-Bae-Serum-Alpha-Arbutin-3-Grapeseed-30ml-i.50948181.9376567457</v>
      </c>
      <c r="C793" s="8" t="s">
        <v>83</v>
      </c>
      <c r="D793" s="8" t="s">
        <v>1129</v>
      </c>
      <c r="E793" s="8" t="s">
        <v>12</v>
      </c>
      <c r="F793" s="8" t="s">
        <v>13</v>
      </c>
      <c r="G793" s="8" t="s">
        <v>1130</v>
      </c>
      <c r="H793" s="16">
        <v>45.0</v>
      </c>
      <c r="I793" s="15" t="str">
        <f>SUBSTITUTE(Sheet1!K793, "Rp", "")</f>
        <v>6136752</v>
      </c>
    </row>
    <row r="794">
      <c r="A794" s="8" t="s">
        <v>1058</v>
      </c>
      <c r="B794" s="13" t="str">
        <f>HYPERLINK("https://shopee.co.id/-LEBIH-HEMAT-Olay-Serum-Bundle-White-Radiance-Essence-30ml-Paket-isi-2-i.11487927.3542302938", "https://shopee.co.id/-LEBIH-HEMAT-Olay-Serum-Bundle-White-Radiance-Essence-30ml-Paket-isi-2-i.11487927.3542302938")</f>
        <v>https://shopee.co.id/-LEBIH-HEMAT-Olay-Serum-Bundle-White-Radiance-Essence-30ml-Paket-isi-2-i.11487927.3542302938</v>
      </c>
      <c r="C794" s="8" t="s">
        <v>317</v>
      </c>
      <c r="D794" s="8" t="s">
        <v>318</v>
      </c>
      <c r="E794" s="8" t="s">
        <v>12</v>
      </c>
      <c r="F794" s="8" t="s">
        <v>13</v>
      </c>
      <c r="G794" s="8" t="s">
        <v>296</v>
      </c>
      <c r="H794" s="16">
        <v>45.0</v>
      </c>
      <c r="I794" s="15" t="str">
        <f>SUBSTITUTE(Sheet1!K794, "Rp", "")</f>
        <v>16561200</v>
      </c>
    </row>
    <row r="795">
      <c r="A795" s="8" t="s">
        <v>1690</v>
      </c>
      <c r="B795" s="13" t="str">
        <f>HYPERLINK("https://shopee.co.id/Calysta-Serum-Whitening-i.3188555.8145905", "https://shopee.co.id/Calysta-Serum-Whitening-i.3188555.8145905")</f>
        <v>https://shopee.co.id/Calysta-Serum-Whitening-i.3188555.8145905</v>
      </c>
      <c r="C795" s="8" t="s">
        <v>1691</v>
      </c>
      <c r="D795" s="8" t="s">
        <v>1692</v>
      </c>
      <c r="E795" s="8" t="s">
        <v>12</v>
      </c>
      <c r="F795" s="8" t="s">
        <v>13</v>
      </c>
      <c r="G795" s="8" t="s">
        <v>241</v>
      </c>
      <c r="H795" s="16">
        <v>45.0</v>
      </c>
      <c r="I795" s="15" t="str">
        <f>SUBSTITUTE(Sheet1!K795, "Rp", "")</f>
        <v>5473500</v>
      </c>
    </row>
    <row r="796">
      <c r="A796" s="8" t="s">
        <v>1515</v>
      </c>
      <c r="B796" s="13" t="str">
        <f>HYPERLINK("https://shopee.co.id/ELSHE-SKIN-Eyessential-Night-Serum-18ml-i.68111.2953276449", "https://shopee.co.id/ELSHE-SKIN-Eyessential-Night-Serum-18ml-i.68111.2953276449")</f>
        <v>https://shopee.co.id/ELSHE-SKIN-Eyessential-Night-Serum-18ml-i.68111.2953276449</v>
      </c>
      <c r="C796" s="8" t="s">
        <v>135</v>
      </c>
      <c r="D796" s="8" t="s">
        <v>441</v>
      </c>
      <c r="E796" s="8" t="s">
        <v>12</v>
      </c>
      <c r="F796" s="8" t="s">
        <v>13</v>
      </c>
      <c r="G796" s="8" t="s">
        <v>130</v>
      </c>
      <c r="H796" s="16">
        <v>45.0</v>
      </c>
      <c r="I796" s="15" t="str">
        <f>SUBSTITUTE(Sheet1!K796, "Rp", "")</f>
        <v>7452550</v>
      </c>
    </row>
    <row r="797">
      <c r="A797" s="8" t="s">
        <v>601</v>
      </c>
      <c r="B797" s="13" t="str">
        <f>HYPERLINK("https://shopee.co.id/La-Roche-Posay-Effaclar-Serum-Bundle-FREE-Kerastase-i.433144176.12310468394", "https://shopee.co.id/La-Roche-Posay-Effaclar-Serum-Bundle-FREE-Kerastase-i.433144176.12310468394")</f>
        <v>https://shopee.co.id/La-Roche-Posay-Effaclar-Serum-Bundle-FREE-Kerastase-i.433144176.12310468394</v>
      </c>
      <c r="C797" s="8" t="s">
        <v>147</v>
      </c>
      <c r="D797" s="8" t="s">
        <v>148</v>
      </c>
      <c r="E797" s="8" t="s">
        <v>12</v>
      </c>
      <c r="F797" s="8" t="s">
        <v>13</v>
      </c>
      <c r="G797" s="8" t="s">
        <v>61</v>
      </c>
      <c r="H797" s="16">
        <v>45.0</v>
      </c>
      <c r="I797" s="15" t="str">
        <f>SUBSTITUTE(Sheet1!K797, "Rp", "")</f>
        <v>48636800</v>
      </c>
    </row>
    <row r="798">
      <c r="A798" s="8" t="s">
        <v>1533</v>
      </c>
      <c r="B798" s="13" t="str">
        <f>HYPERLINK("https://shopee.co.id/Natasha-by-dr-Fredi-Setyawan-Retinol-White-Night-Serum-i.40121814.5957941935", "https://shopee.co.id/Natasha-by-dr-Fredi-Setyawan-Retinol-White-Night-Serum-i.40121814.5957941935")</f>
        <v>https://shopee.co.id/Natasha-by-dr-Fredi-Setyawan-Retinol-White-Night-Serum-i.40121814.5957941935</v>
      </c>
      <c r="C798" s="8" t="s">
        <v>793</v>
      </c>
      <c r="D798" s="8" t="s">
        <v>794</v>
      </c>
      <c r="E798" s="8" t="s">
        <v>12</v>
      </c>
      <c r="F798" s="8" t="s">
        <v>13</v>
      </c>
      <c r="G798" s="8" t="s">
        <v>380</v>
      </c>
      <c r="H798" s="16">
        <v>45.0</v>
      </c>
      <c r="I798" s="15" t="str">
        <f>SUBSTITUTE(Sheet1!K798, "Rp", "")</f>
        <v>7291620</v>
      </c>
    </row>
    <row r="799">
      <c r="A799" s="8" t="s">
        <v>2274</v>
      </c>
      <c r="B799" s="13" t="str">
        <f>HYPERLINK("https://shopee.co.id/Natur-E-White-Brightening-Serum-DANAWSRM--i.129461339.4420840249", "https://shopee.co.id/Natur-E-White-Brightening-Serum-DANAWSRM--i.129461339.4420840249")</f>
        <v>https://shopee.co.id/Natur-E-White-Brightening-Serum-DANAWSRM--i.129461339.4420840249</v>
      </c>
      <c r="C799" s="8" t="s">
        <v>849</v>
      </c>
      <c r="D799" s="8" t="s">
        <v>850</v>
      </c>
      <c r="E799" s="8" t="s">
        <v>12</v>
      </c>
      <c r="F799" s="8" t="s">
        <v>13</v>
      </c>
      <c r="G799" s="8" t="s">
        <v>296</v>
      </c>
      <c r="H799" s="16">
        <v>45.0</v>
      </c>
      <c r="I799" s="15" t="str">
        <f>SUBSTITUTE(Sheet1!K799, "Rp", "")</f>
        <v>2362500</v>
      </c>
    </row>
    <row r="800">
      <c r="A800" s="8" t="s">
        <v>774</v>
      </c>
      <c r="B800" s="13" t="str">
        <f>HYPERLINK("https://shopee.co.id/Scarlett-Whitening-Paket-Reseller-12-Item-i.255365082.7932029643", "https://shopee.co.id/Scarlett-Whitening-Paket-Reseller-12-Item-i.255365082.7932029643")</f>
        <v>https://shopee.co.id/Scarlett-Whitening-Paket-Reseller-12-Item-i.255365082.7932029643</v>
      </c>
      <c r="C800" s="8" t="s">
        <v>19</v>
      </c>
      <c r="D800" s="8" t="s">
        <v>20</v>
      </c>
      <c r="E800" s="8" t="s">
        <v>12</v>
      </c>
      <c r="F800" s="8" t="s">
        <v>13</v>
      </c>
      <c r="G800" s="8" t="s">
        <v>21</v>
      </c>
      <c r="H800" s="16">
        <v>45.0</v>
      </c>
      <c r="I800" s="15" t="str">
        <f>SUBSTITUTE(Sheet1!K800, "Rp", "")</f>
        <v>32400000</v>
      </c>
    </row>
    <row r="801">
      <c r="A801" s="8" t="s">
        <v>2895</v>
      </c>
      <c r="B801" s="13" t="str">
        <f>HYPERLINK("https://shopee.co.id/Smooto-Tomato-Aloe-Snail-White-Acne-Sleeping-Serum-i.65619901.1086876159", "https://shopee.co.id/Smooto-Tomato-Aloe-Snail-White-Acne-Sleeping-Serum-i.65619901.1086876159")</f>
        <v>https://shopee.co.id/Smooto-Tomato-Aloe-Snail-White-Acne-Sleeping-Serum-i.65619901.1086876159</v>
      </c>
      <c r="C801" s="8" t="s">
        <v>2779</v>
      </c>
      <c r="D801" s="8" t="s">
        <v>2780</v>
      </c>
      <c r="E801" s="8" t="s">
        <v>12</v>
      </c>
      <c r="F801" s="8" t="s">
        <v>13</v>
      </c>
      <c r="G801" s="8" t="s">
        <v>85</v>
      </c>
      <c r="H801" s="16">
        <v>45.0</v>
      </c>
      <c r="I801" s="15" t="str">
        <f>SUBSTITUTE(Sheet1!K801, "Rp", "")</f>
        <v>904600</v>
      </c>
    </row>
    <row r="802">
      <c r="A802" s="8" t="s">
        <v>1519</v>
      </c>
      <c r="B802" s="13" t="str">
        <f>HYPERLINK("https://shopee.co.id/SOMEBYMI-AHA-BHA-PHA-30-Days-Miracle-SERUM-50ml-i.270965687.7738153431", "https://shopee.co.id/SOMEBYMI-AHA-BHA-PHA-30-Days-Miracle-SERUM-50ml-i.270965687.7738153431")</f>
        <v>https://shopee.co.id/SOMEBYMI-AHA-BHA-PHA-30-Days-Miracle-SERUM-50ml-i.270965687.7738153431</v>
      </c>
      <c r="C802" s="8" t="s">
        <v>213</v>
      </c>
      <c r="D802" s="8" t="s">
        <v>379</v>
      </c>
      <c r="E802" s="8" t="s">
        <v>12</v>
      </c>
      <c r="F802" s="8" t="s">
        <v>13</v>
      </c>
      <c r="G802" s="8" t="s">
        <v>380</v>
      </c>
      <c r="H802" s="16">
        <v>45.0</v>
      </c>
      <c r="I802" s="15" t="str">
        <f>SUBSTITUTE(Sheet1!K802, "Rp", "")</f>
        <v>7425000</v>
      </c>
    </row>
    <row r="803">
      <c r="A803" s="8" t="s">
        <v>1008</v>
      </c>
      <c r="B803" s="13" t="str">
        <f>HYPERLINK("https://shopee.co.id/-Official-Distributor-Klairs-Midnight-Blue-Youth-Activating-Drop-20ml-i.63803418.1188713151", "https://shopee.co.id/-Official-Distributor-Klairs-Midnight-Blue-Youth-Activating-Drop-20ml-i.63803418.1188713151")</f>
        <v>https://shopee.co.id/-Official-Distributor-Klairs-Midnight-Blue-Youth-Activating-Drop-20ml-i.63803418.1188713151</v>
      </c>
      <c r="C803" s="8" t="s">
        <v>432</v>
      </c>
      <c r="D803" s="8" t="s">
        <v>433</v>
      </c>
      <c r="E803" s="8" t="s">
        <v>12</v>
      </c>
      <c r="F803" s="8" t="s">
        <v>13</v>
      </c>
      <c r="G803" s="8" t="s">
        <v>21</v>
      </c>
      <c r="H803" s="16">
        <v>44.0</v>
      </c>
      <c r="I803" s="15" t="str">
        <f>SUBSTITUTE(Sheet1!K803, "Rp", "")</f>
        <v>18748000</v>
      </c>
    </row>
    <row r="804">
      <c r="A804" s="8" t="s">
        <v>2361</v>
      </c>
      <c r="B804" s="13" t="str">
        <f>HYPERLINK("https://shopee.co.id/Beautybarme-Whitelab-Series-Lengkap-Bpom-i.28781862.4445661110", "https://shopee.co.id/Beautybarme-Whitelab-Series-Lengkap-Bpom-i.28781862.4445661110")</f>
        <v>https://shopee.co.id/Beautybarme-Whitelab-Series-Lengkap-Bpom-i.28781862.4445661110</v>
      </c>
      <c r="C804" s="8" t="s">
        <v>59</v>
      </c>
      <c r="D804" s="8" t="s">
        <v>1189</v>
      </c>
      <c r="E804" s="8" t="s">
        <v>12</v>
      </c>
      <c r="F804" s="8" t="s">
        <v>13</v>
      </c>
      <c r="G804" s="8" t="s">
        <v>1190</v>
      </c>
      <c r="H804" s="16">
        <v>44.0</v>
      </c>
      <c r="I804" s="15" t="str">
        <f>SUBSTITUTE(Sheet1!K804, "Rp", "")</f>
        <v>2072294</v>
      </c>
    </row>
    <row r="805">
      <c r="A805" s="8" t="s">
        <v>2176</v>
      </c>
      <c r="B805" s="13" t="str">
        <f>HYPERLINK("https://shopee.co.id/Bio-Essence-Bio-Water-Foamy-Cleanser-100-gr-Perawatan-Wajah-Sensitif-i.63822287.5517933362", "https://shopee.co.id/Bio-Essence-Bio-Water-Foamy-Cleanser-100-gr-Perawatan-Wajah-Sensitif-i.63822287.5517933362")</f>
        <v>https://shopee.co.id/Bio-Essence-Bio-Water-Foamy-Cleanser-100-gr-Perawatan-Wajah-Sensitif-i.63822287.5517933362</v>
      </c>
      <c r="C805" s="8" t="s">
        <v>1254</v>
      </c>
      <c r="D805" s="8" t="s">
        <v>835</v>
      </c>
      <c r="E805" s="8" t="s">
        <v>12</v>
      </c>
      <c r="F805" s="8" t="s">
        <v>13</v>
      </c>
      <c r="G805" s="8" t="s">
        <v>61</v>
      </c>
      <c r="H805" s="16">
        <v>44.0</v>
      </c>
      <c r="I805" s="15" t="str">
        <f>SUBSTITUTE(Sheet1!K805, "Rp", "")</f>
        <v>2611300</v>
      </c>
    </row>
    <row r="806">
      <c r="A806" s="8" t="s">
        <v>1822</v>
      </c>
      <c r="B806" s="13" t="str">
        <f>HYPERLINK("https://shopee.co.id/DR-Rochelle-Serum-15-Ml-i.85459574.1758114343", "https://shopee.co.id/DR-Rochelle-Serum-15-Ml-i.85459574.1758114343")</f>
        <v>https://shopee.co.id/DR-Rochelle-Serum-15-Ml-i.85459574.1758114343</v>
      </c>
      <c r="C806" s="8" t="s">
        <v>1823</v>
      </c>
      <c r="D806" s="8" t="s">
        <v>1824</v>
      </c>
      <c r="E806" s="8" t="s">
        <v>12</v>
      </c>
      <c r="F806" s="8" t="s">
        <v>13</v>
      </c>
      <c r="G806" s="8" t="s">
        <v>532</v>
      </c>
      <c r="H806" s="16">
        <v>44.0</v>
      </c>
      <c r="I806" s="15" t="str">
        <f>SUBSTITUTE(Sheet1!K806, "Rp", "")</f>
        <v>4576000</v>
      </c>
    </row>
    <row r="807">
      <c r="A807" s="8" t="s">
        <v>2122</v>
      </c>
      <c r="B807" s="13" t="str">
        <f>HYPERLINK("https://shopee.co.id/I-Face-Vitamin-C-10-Ml-Iface-Serum-Vitamin-C-Serum-Pemutih-i.175375997.2913244330", "https://shopee.co.id/I-Face-Vitamin-C-10-Ml-Iface-Serum-Vitamin-C-Serum-Pemutih-i.175375997.2913244330")</f>
        <v>https://shopee.co.id/I-Face-Vitamin-C-10-Ml-Iface-Serum-Vitamin-C-Serum-Pemutih-i.175375997.2913244330</v>
      </c>
      <c r="C807" s="8" t="s">
        <v>1116</v>
      </c>
      <c r="D807" s="8" t="s">
        <v>2123</v>
      </c>
      <c r="E807" s="8" t="s">
        <v>12</v>
      </c>
      <c r="F807" s="8" t="s">
        <v>13</v>
      </c>
      <c r="G807" s="8" t="s">
        <v>36</v>
      </c>
      <c r="H807" s="16">
        <v>44.0</v>
      </c>
      <c r="I807" s="15" t="str">
        <f>SUBSTITUTE(Sheet1!K807, "Rp", "")</f>
        <v>2860000</v>
      </c>
    </row>
    <row r="808">
      <c r="A808" s="8" t="s">
        <v>2146</v>
      </c>
      <c r="B808" s="13" t="str">
        <f>HYPERLINK("https://shopee.co.id/L-Oreal-Revitalift-Pro-Youth-Face-Mask-Skin-Elasticity-Anti-Aging-x-3pcs-i.62579622.6032742933", "https://shopee.co.id/L-Oreal-Revitalift-Pro-Youth-Face-Mask-Skin-Elasticity-Anti-Aging-x-3pcs-i.62579622.6032742933")</f>
        <v>https://shopee.co.id/L-Oreal-Revitalift-Pro-Youth-Face-Mask-Skin-Elasticity-Anti-Aging-x-3pcs-i.62579622.6032742933</v>
      </c>
      <c r="C808" s="8" t="s">
        <v>105</v>
      </c>
      <c r="D808" s="8" t="s">
        <v>106</v>
      </c>
      <c r="E808" s="8" t="s">
        <v>12</v>
      </c>
      <c r="F808" s="8" t="s">
        <v>13</v>
      </c>
      <c r="G808" s="8" t="s">
        <v>61</v>
      </c>
      <c r="H808" s="16">
        <v>44.0</v>
      </c>
      <c r="I808" s="15" t="str">
        <f>SUBSTITUTE(Sheet1!K808, "Rp", "")</f>
        <v>2735900</v>
      </c>
    </row>
    <row r="809">
      <c r="A809" s="8" t="s">
        <v>1442</v>
      </c>
      <c r="B809" s="13" t="str">
        <f>HYPERLINK("https://shopee.co.id/Lacoco-Darkspot-Essence-12ml-i.10689.6684985865", "https://shopee.co.id/Lacoco-Darkspot-Essence-12ml-i.10689.6684985865")</f>
        <v>https://shopee.co.id/Lacoco-Darkspot-Essence-12ml-i.10689.6684985865</v>
      </c>
      <c r="C809" s="8" t="s">
        <v>501</v>
      </c>
      <c r="D809" s="8" t="s">
        <v>745</v>
      </c>
      <c r="E809" s="8" t="s">
        <v>12</v>
      </c>
      <c r="F809" s="8" t="s">
        <v>13</v>
      </c>
      <c r="G809" s="8" t="s">
        <v>61</v>
      </c>
      <c r="H809" s="16">
        <v>44.0</v>
      </c>
      <c r="I809" s="15" t="str">
        <f>SUBSTITUTE(Sheet1!K809, "Rp", "")</f>
        <v>8360000</v>
      </c>
    </row>
    <row r="810">
      <c r="A810" s="8" t="s">
        <v>1711</v>
      </c>
      <c r="B810" s="13" t="str">
        <f>HYPERLINK("https://shopee.co.id/Serum-Aura-Essence-Nadfaskin--i.3087844.50496118", "https://shopee.co.id/Serum-Aura-Essence-Nadfaskin--i.3087844.50496118")</f>
        <v>https://shopee.co.id/Serum-Aura-Essence-Nadfaskin--i.3087844.50496118</v>
      </c>
      <c r="C810" s="8" t="s">
        <v>1157</v>
      </c>
      <c r="D810" s="8" t="s">
        <v>1158</v>
      </c>
      <c r="E810" s="8" t="s">
        <v>12</v>
      </c>
      <c r="F810" s="8" t="s">
        <v>13</v>
      </c>
      <c r="G810" s="8" t="s">
        <v>241</v>
      </c>
      <c r="H810" s="16">
        <v>44.0</v>
      </c>
      <c r="I810" s="15" t="str">
        <f>SUBSTITUTE(Sheet1!K810, "Rp", "")</f>
        <v>5312500</v>
      </c>
    </row>
    <row r="811">
      <c r="A811" s="8" t="s">
        <v>1715</v>
      </c>
      <c r="B811" s="13" t="str">
        <f>HYPERLINK("https://shopee.co.id/SOMETHINC-CRIOUSLY-24K-GOLD-Essence-20-ml--i.68111.3585551144", "https://shopee.co.id/SOMETHINC-CRIOUSLY-24K-GOLD-Essence-20-ml--i.68111.3585551144")</f>
        <v>https://shopee.co.id/SOMETHINC-CRIOUSLY-24K-GOLD-Essence-20-ml--i.68111.3585551144</v>
      </c>
      <c r="C811" s="8" t="s">
        <v>45</v>
      </c>
      <c r="D811" s="8" t="s">
        <v>441</v>
      </c>
      <c r="E811" s="8" t="s">
        <v>12</v>
      </c>
      <c r="F811" s="8" t="s">
        <v>13</v>
      </c>
      <c r="G811" s="8" t="s">
        <v>130</v>
      </c>
      <c r="H811" s="16">
        <v>44.0</v>
      </c>
      <c r="I811" s="15" t="str">
        <f>SUBSTITUTE(Sheet1!K811, "Rp", "")</f>
        <v>5258000</v>
      </c>
    </row>
    <row r="812">
      <c r="A812" s="8" t="s">
        <v>1246</v>
      </c>
      <c r="B812" s="13" t="str">
        <f>HYPERLINK("https://shopee.co.id/Tull-Jye-Whitening-Lotion-i.161178916.8070976078", "https://shopee.co.id/Tull-Jye-Whitening-Lotion-i.161178916.8070976078")</f>
        <v>https://shopee.co.id/Tull-Jye-Whitening-Lotion-i.161178916.8070976078</v>
      </c>
      <c r="C812" s="8" t="s">
        <v>1247</v>
      </c>
      <c r="D812" s="8" t="s">
        <v>1248</v>
      </c>
      <c r="E812" s="8" t="s">
        <v>12</v>
      </c>
      <c r="F812" s="8" t="s">
        <v>13</v>
      </c>
      <c r="G812" s="8" t="s">
        <v>61</v>
      </c>
      <c r="H812" s="16">
        <v>44.0</v>
      </c>
      <c r="I812" s="15" t="str">
        <f>SUBSTITUTE(Sheet1!K812, "Rp", "")</f>
        <v>11880000</v>
      </c>
    </row>
    <row r="813">
      <c r="A813" s="8" t="s">
        <v>1601</v>
      </c>
      <c r="B813" s="13" t="str">
        <f>HYPERLINK("https://shopee.co.id/Nutrishe-Intensive-Bright-Glow-Serum-30ml-i.50948181.4382272840", "https://shopee.co.id/Nutrishe-Intensive-Bright-Glow-Serum-30ml-i.50948181.4382272840")</f>
        <v>https://shopee.co.id/Nutrishe-Intensive-Bright-Glow-Serum-30ml-i.50948181.4382272840</v>
      </c>
      <c r="C813" s="8" t="s">
        <v>195</v>
      </c>
      <c r="D813" s="8" t="s">
        <v>1129</v>
      </c>
      <c r="E813" s="8" t="s">
        <v>12</v>
      </c>
      <c r="F813" s="8" t="s">
        <v>13</v>
      </c>
      <c r="G813" s="8" t="s">
        <v>1130</v>
      </c>
      <c r="H813" s="16">
        <v>43.0</v>
      </c>
      <c r="I813" s="15" t="str">
        <f>SUBSTITUTE(Sheet1!K813, "Rp", "")</f>
        <v>6353860</v>
      </c>
    </row>
    <row r="814">
      <c r="A814" s="8" t="s">
        <v>1755</v>
      </c>
      <c r="B814" s="13" t="str">
        <f>HYPERLINK("https://shopee.co.id/Somethinc-10-Niacinamide-Moisture-Sabi-Beet-Brightening-Serum-20ml-40ml-i.50948181.4338901890", "https://shopee.co.id/Somethinc-10-Niacinamide-Moisture-Sabi-Beet-Brightening-Serum-20ml-40ml-i.50948181.4338901890")</f>
        <v>https://shopee.co.id/Somethinc-10-Niacinamide-Moisture-Sabi-Beet-Brightening-Serum-20ml-40ml-i.50948181.4338901890</v>
      </c>
      <c r="C814" s="8" t="s">
        <v>45</v>
      </c>
      <c r="D814" s="8" t="s">
        <v>1129</v>
      </c>
      <c r="E814" s="8" t="s">
        <v>12</v>
      </c>
      <c r="F814" s="8" t="s">
        <v>13</v>
      </c>
      <c r="G814" s="8" t="s">
        <v>1130</v>
      </c>
      <c r="H814" s="16">
        <v>43.0</v>
      </c>
      <c r="I814" s="15" t="str">
        <f>SUBSTITUTE(Sheet1!K814, "Rp", "")</f>
        <v>4943400</v>
      </c>
    </row>
    <row r="815">
      <c r="A815" s="8" t="s">
        <v>1276</v>
      </c>
      <c r="B815" s="13" t="str">
        <f>HYPERLINK("https://shopee.co.id/BIO-BEAUTY-LAB-Phyto-Power-Essence-50ml-i.68111.9259857792", "https://shopee.co.id/BIO-BEAUTY-LAB-Phyto-Power-Essence-50ml-i.68111.9259857792")</f>
        <v>https://shopee.co.id/BIO-BEAUTY-LAB-Phyto-Power-Essence-50ml-i.68111.9259857792</v>
      </c>
      <c r="C815" s="8" t="s">
        <v>120</v>
      </c>
      <c r="D815" s="8" t="s">
        <v>441</v>
      </c>
      <c r="E815" s="8" t="s">
        <v>12</v>
      </c>
      <c r="F815" s="8" t="s">
        <v>13</v>
      </c>
      <c r="G815" s="8" t="s">
        <v>130</v>
      </c>
      <c r="H815" s="16">
        <v>43.0</v>
      </c>
      <c r="I815" s="15" t="str">
        <f>SUBSTITUTE(Sheet1!K815, "Rp", "")</f>
        <v>11214000</v>
      </c>
    </row>
    <row r="816">
      <c r="A816" s="8" t="s">
        <v>1481</v>
      </c>
      <c r="B816" s="13" t="str">
        <f>HYPERLINK("https://shopee.co.id/ElsheSkin-Sebum-Reducer-Serum-i.9035345.6090861621", "https://shopee.co.id/ElsheSkin-Sebum-Reducer-Serum-i.9035345.6090861621")</f>
        <v>https://shopee.co.id/ElsheSkin-Sebum-Reducer-Serum-i.9035345.6090861621</v>
      </c>
      <c r="C816" s="8" t="s">
        <v>135</v>
      </c>
      <c r="D816" s="8" t="s">
        <v>136</v>
      </c>
      <c r="E816" s="8" t="s">
        <v>12</v>
      </c>
      <c r="F816" s="8" t="s">
        <v>13</v>
      </c>
      <c r="G816" s="8" t="s">
        <v>80</v>
      </c>
      <c r="H816" s="16">
        <v>43.0</v>
      </c>
      <c r="I816" s="15" t="str">
        <f>SUBSTITUTE(Sheet1!K816, "Rp", "")</f>
        <v>7875500</v>
      </c>
    </row>
    <row r="817">
      <c r="A817" s="8" t="s">
        <v>1175</v>
      </c>
      <c r="B817" s="13" t="str">
        <f>HYPERLINK("https://shopee.co.id/Frudia-Serum-Hydrating-Brightening-Moisturizing-FREE-Frudia-Pouch-Garis-Vertikal-i.98124209.4031499784", "https://shopee.co.id/Frudia-Serum-Hydrating-Brightening-Moisturizing-FREE-Frudia-Pouch-Garis-Vertikal-i.98124209.4031499784")</f>
        <v>https://shopee.co.id/Frudia-Serum-Hydrating-Brightening-Moisturizing-FREE-Frudia-Pouch-Garis-Vertikal-i.98124209.4031499784</v>
      </c>
      <c r="C817" s="8" t="s">
        <v>790</v>
      </c>
      <c r="D817" s="8" t="s">
        <v>791</v>
      </c>
      <c r="E817" s="8" t="s">
        <v>12</v>
      </c>
      <c r="F817" s="8" t="s">
        <v>13</v>
      </c>
      <c r="G817" s="8" t="s">
        <v>85</v>
      </c>
      <c r="H817" s="16">
        <v>43.0</v>
      </c>
      <c r="I817" s="15" t="str">
        <f>SUBSTITUTE(Sheet1!K817, "Rp", "")</f>
        <v>13480000</v>
      </c>
    </row>
    <row r="818">
      <c r="A818" s="8" t="s">
        <v>2110</v>
      </c>
      <c r="B818" s="13" t="str">
        <f>HYPERLINK("https://shopee.co.id/Humprey-Anti-Acne-Plus-Serum-20ml-Kulit-Jerawat--i.83349.1808009665", "https://shopee.co.id/Humprey-Anti-Acne-Plus-Serum-20ml-Kulit-Jerawat--i.83349.1808009665")</f>
        <v>https://shopee.co.id/Humprey-Anti-Acne-Plus-Serum-20ml-Kulit-Jerawat--i.83349.1808009665</v>
      </c>
      <c r="C818" s="8" t="s">
        <v>1832</v>
      </c>
      <c r="D818" s="8" t="s">
        <v>1833</v>
      </c>
      <c r="E818" s="8" t="s">
        <v>12</v>
      </c>
      <c r="F818" s="8" t="s">
        <v>13</v>
      </c>
      <c r="G818" s="8" t="s">
        <v>21</v>
      </c>
      <c r="H818" s="16">
        <v>43.0</v>
      </c>
      <c r="I818" s="15" t="str">
        <f>SUBSTITUTE(Sheet1!K818, "Rp", "")</f>
        <v>2926060</v>
      </c>
    </row>
    <row r="819">
      <c r="A819" s="8" t="s">
        <v>2195</v>
      </c>
      <c r="B819" s="13" t="str">
        <f>HYPERLINK("https://shopee.co.id/Mazaya-Dermo-Vitamin-C-Serum-with-Astaxanthin-10ml-i.111075825.7507839498", "https://shopee.co.id/Mazaya-Dermo-Vitamin-C-Serum-with-Astaxanthin-10ml-i.111075825.7507839498")</f>
        <v>https://shopee.co.id/Mazaya-Dermo-Vitamin-C-Serum-with-Astaxanthin-10ml-i.111075825.7507839498</v>
      </c>
      <c r="C819" s="8" t="s">
        <v>2196</v>
      </c>
      <c r="D819" s="8" t="s">
        <v>2197</v>
      </c>
      <c r="E819" s="8" t="s">
        <v>12</v>
      </c>
      <c r="F819" s="8" t="s">
        <v>13</v>
      </c>
      <c r="G819" s="8" t="s">
        <v>1048</v>
      </c>
      <c r="H819" s="16">
        <v>43.0</v>
      </c>
      <c r="I819" s="15" t="str">
        <f>SUBSTITUTE(Sheet1!K819, "Rp", "")</f>
        <v>2570000</v>
      </c>
    </row>
    <row r="820">
      <c r="A820" s="8" t="s">
        <v>1575</v>
      </c>
      <c r="B820" s="13" t="str">
        <f>HYPERLINK("https://shopee.co.id/Pixy-White-Aqua-Hydra-Moist-Essence-100-ML-PIXY-White-Aqua-Concentrated-Brightening-Serum-17-ML-i.168693892.7056369743", "https://shopee.co.id/Pixy-White-Aqua-Hydra-Moist-Essence-100-ML-PIXY-White-Aqua-Concentrated-Brightening-Serum-17-ML-i.168693892.7056369743")</f>
        <v>https://shopee.co.id/Pixy-White-Aqua-Hydra-Moist-Essence-100-ML-PIXY-White-Aqua-Concentrated-Brightening-Serum-17-ML-i.168693892.7056369743</v>
      </c>
      <c r="C820" s="8" t="s">
        <v>1398</v>
      </c>
      <c r="D820" s="8" t="s">
        <v>1399</v>
      </c>
      <c r="E820" s="8" t="s">
        <v>12</v>
      </c>
      <c r="F820" s="8" t="s">
        <v>13</v>
      </c>
      <c r="G820" s="8" t="s">
        <v>61</v>
      </c>
      <c r="H820" s="16">
        <v>43.0</v>
      </c>
      <c r="I820" s="15" t="str">
        <f>SUBSTITUTE(Sheet1!K820, "Rp", "")</f>
        <v>6698100</v>
      </c>
    </row>
    <row r="821">
      <c r="A821" s="8" t="s">
        <v>1626</v>
      </c>
      <c r="B821" s="13" t="str">
        <f>HYPERLINK("https://shopee.co.id/Some-By-Mi-Snail-Truecica-Miracle-Repair-Series-i.136011044.2298592488", "https://shopee.co.id/Some-By-Mi-Snail-Truecica-Miracle-Repair-Series-i.136011044.2298592488")</f>
        <v>https://shopee.co.id/Some-By-Mi-Snail-Truecica-Miracle-Repair-Series-i.136011044.2298592488</v>
      </c>
      <c r="C821" s="8" t="s">
        <v>213</v>
      </c>
      <c r="D821" s="8" t="s">
        <v>632</v>
      </c>
      <c r="E821" s="8" t="s">
        <v>12</v>
      </c>
      <c r="F821" s="8" t="s">
        <v>13</v>
      </c>
      <c r="G821" s="8" t="s">
        <v>21</v>
      </c>
      <c r="H821" s="16">
        <v>43.0</v>
      </c>
      <c r="I821" s="15" t="str">
        <f>SUBSTITUTE(Sheet1!K821, "Rp", "")</f>
        <v>6171000</v>
      </c>
    </row>
    <row r="822">
      <c r="A822" s="8" t="s">
        <v>1932</v>
      </c>
      <c r="B822" s="13" t="str">
        <f>HYPERLINK("https://shopee.co.id/SOMETHINC-5-Niacinamide-Barrier-Serum-i.68111.6490879686", "https://shopee.co.id/SOMETHINC-5-Niacinamide-Barrier-Serum-i.68111.6490879686")</f>
        <v>https://shopee.co.id/SOMETHINC-5-Niacinamide-Barrier-Serum-i.68111.6490879686</v>
      </c>
      <c r="C822" s="8" t="s">
        <v>45</v>
      </c>
      <c r="D822" s="8" t="s">
        <v>441</v>
      </c>
      <c r="E822" s="8" t="s">
        <v>12</v>
      </c>
      <c r="F822" s="8" t="s">
        <v>13</v>
      </c>
      <c r="G822" s="8" t="s">
        <v>130</v>
      </c>
      <c r="H822" s="16">
        <v>43.0</v>
      </c>
      <c r="I822" s="15" t="str">
        <f>SUBSTITUTE(Sheet1!K822, "Rp", "")</f>
        <v>3827000</v>
      </c>
    </row>
    <row r="823">
      <c r="A823" s="8" t="s">
        <v>1815</v>
      </c>
      <c r="B823" s="13" t="str">
        <f>HYPERLINK("https://shopee.co.id/AVOSKIN-YOUR-SKIN-BAE-SERIES-LACTIC-ACID-10-KIWI-EXTRACT-5-NIACINAMIDE-2-5-SERUM-30-ML-i.50972887.3782807532", "https://shopee.co.id/AVOSKIN-YOUR-SKIN-BAE-SERIES-LACTIC-ACID-10-KIWI-EXTRACT-5-NIACINAMIDE-2-5-SERUM-30-ML-i.50972887.3782807532")</f>
        <v>https://shopee.co.id/AVOSKIN-YOUR-SKIN-BAE-SERIES-LACTIC-ACID-10-KIWI-EXTRACT-5-NIACINAMIDE-2-5-SERUM-30-ML-i.50972887.3782807532</v>
      </c>
      <c r="C823" s="8" t="s">
        <v>83</v>
      </c>
      <c r="D823" s="8" t="s">
        <v>552</v>
      </c>
      <c r="E823" s="8" t="s">
        <v>12</v>
      </c>
      <c r="F823" s="8" t="s">
        <v>13</v>
      </c>
      <c r="G823" s="8" t="s">
        <v>61</v>
      </c>
      <c r="H823" s="16">
        <v>42.0</v>
      </c>
      <c r="I823" s="15" t="str">
        <f>SUBSTITUTE(Sheet1!K823, "Rp", "")</f>
        <v>4605300</v>
      </c>
    </row>
    <row r="824">
      <c r="A824" s="8" t="s">
        <v>2511</v>
      </c>
      <c r="B824" s="13" t="str">
        <f>HYPERLINK("https://shopee.co.id/Facial-Wash-Acne-Marwah-Skin-Care-i.357101711.8438123881", "https://shopee.co.id/Facial-Wash-Acne-Marwah-Skin-Care-i.357101711.8438123881")</f>
        <v>https://shopee.co.id/Facial-Wash-Acne-Marwah-Skin-Care-i.357101711.8438123881</v>
      </c>
      <c r="C824" s="8" t="s">
        <v>2249</v>
      </c>
      <c r="D824" s="8" t="s">
        <v>2250</v>
      </c>
      <c r="E824" s="8" t="s">
        <v>12</v>
      </c>
      <c r="F824" s="8" t="s">
        <v>13</v>
      </c>
      <c r="G824" s="8" t="s">
        <v>370</v>
      </c>
      <c r="H824" s="16">
        <v>42.0</v>
      </c>
      <c r="I824" s="15" t="str">
        <f>SUBSTITUTE(Sheet1!K824, "Rp", "")</f>
        <v>1680000</v>
      </c>
    </row>
    <row r="825">
      <c r="A825" s="8" t="s">
        <v>1847</v>
      </c>
      <c r="B825" s="13" t="str">
        <f>HYPERLINK("https://shopee.co.id/Ikigai-Galactomyces-Serum-i.39919260.3813960246", "https://shopee.co.id/Ikigai-Galactomyces-Serum-i.39919260.3813960246")</f>
        <v>https://shopee.co.id/Ikigai-Galactomyces-Serum-i.39919260.3813960246</v>
      </c>
      <c r="C825" s="8" t="s">
        <v>1848</v>
      </c>
      <c r="D825" s="8" t="s">
        <v>1849</v>
      </c>
      <c r="E825" s="8" t="s">
        <v>12</v>
      </c>
      <c r="F825" s="8" t="s">
        <v>13</v>
      </c>
      <c r="G825" s="8" t="s">
        <v>21</v>
      </c>
      <c r="H825" s="16">
        <v>42.0</v>
      </c>
      <c r="I825" s="15" t="str">
        <f>SUBSTITUTE(Sheet1!K825, "Rp", "")</f>
        <v>4414500</v>
      </c>
    </row>
    <row r="826">
      <c r="A826" s="8" t="s">
        <v>1806</v>
      </c>
      <c r="B826" s="13" t="str">
        <f>HYPERLINK("https://shopee.co.id/Kalonea-Skincare-Triple-Brightening-Serum-BPOM-i.199590923.6020479586", "https://shopee.co.id/Kalonea-Skincare-Triple-Brightening-Serum-BPOM-i.199590923.6020479586")</f>
        <v>https://shopee.co.id/Kalonea-Skincare-Triple-Brightening-Serum-BPOM-i.199590923.6020479586</v>
      </c>
      <c r="C826" s="8" t="s">
        <v>1807</v>
      </c>
      <c r="D826" s="8" t="s">
        <v>1808</v>
      </c>
      <c r="E826" s="8" t="s">
        <v>12</v>
      </c>
      <c r="F826" s="8" t="s">
        <v>13</v>
      </c>
      <c r="G826" s="8" t="s">
        <v>1048</v>
      </c>
      <c r="H826" s="16">
        <v>42.0</v>
      </c>
      <c r="I826" s="15" t="str">
        <f>SUBSTITUTE(Sheet1!K826, "Rp", "")</f>
        <v>4638000</v>
      </c>
    </row>
    <row r="827">
      <c r="A827" s="8" t="s">
        <v>1639</v>
      </c>
      <c r="B827" s="13" t="str">
        <f>HYPERLINK("https://shopee.co.id/L-Oreal-Paris-Crystal-Aura-Skin-Essential-Kit-Esssence-Facial-Cleanser-Wash-Skin-Care-i.62579622.7758365767", "https://shopee.co.id/L-Oreal-Paris-Crystal-Aura-Skin-Essential-Kit-Esssence-Facial-Cleanser-Wash-Skin-Care-i.62579622.7758365767")</f>
        <v>https://shopee.co.id/L-Oreal-Paris-Crystal-Aura-Skin-Essential-Kit-Esssence-Facial-Cleanser-Wash-Skin-Care-i.62579622.7758365767</v>
      </c>
      <c r="C827" s="8" t="s">
        <v>105</v>
      </c>
      <c r="D827" s="8" t="s">
        <v>106</v>
      </c>
      <c r="E827" s="8" t="s">
        <v>12</v>
      </c>
      <c r="F827" s="8" t="s">
        <v>13</v>
      </c>
      <c r="G827" s="8" t="s">
        <v>61</v>
      </c>
      <c r="H827" s="16">
        <v>42.0</v>
      </c>
      <c r="I827" s="15" t="str">
        <f>SUBSTITUTE(Sheet1!K827, "Rp", "")</f>
        <v>5960300</v>
      </c>
    </row>
    <row r="828">
      <c r="A828" s="8" t="s">
        <v>2673</v>
      </c>
      <c r="B828" s="13" t="str">
        <f>HYPERLINK("https://shopee.co.id/L-Oreal-Paris-Revitalift-Pro-Youth-Serum-Sheet-Mask-Skin-Care-Elasticity-Kulit-Terasa-Kencang--i.62579622.4016460126", "https://shopee.co.id/L-Oreal-Paris-Revitalift-Pro-Youth-Serum-Sheet-Mask-Skin-Care-Elasticity-Kulit-Terasa-Kencang--i.62579622.4016460126")</f>
        <v>https://shopee.co.id/L-Oreal-Paris-Revitalift-Pro-Youth-Serum-Sheet-Mask-Skin-Care-Elasticity-Kulit-Terasa-Kencang--i.62579622.4016460126</v>
      </c>
      <c r="C828" s="8" t="s">
        <v>105</v>
      </c>
      <c r="D828" s="8" t="s">
        <v>106</v>
      </c>
      <c r="E828" s="8" t="s">
        <v>12</v>
      </c>
      <c r="F828" s="8" t="s">
        <v>13</v>
      </c>
      <c r="G828" s="8" t="s">
        <v>61</v>
      </c>
      <c r="H828" s="16">
        <v>42.0</v>
      </c>
      <c r="I828" s="15" t="str">
        <f>SUBSTITUTE(Sheet1!K828, "Rp", "")</f>
        <v>1278400</v>
      </c>
    </row>
    <row r="829">
      <c r="A829" s="8" t="s">
        <v>1611</v>
      </c>
      <c r="B829" s="13" t="str">
        <f>HYPERLINK("https://shopee.co.id/MSBB-Avoskin-Your-Skin-Bae-Azeclair-10-Kombucha-3-Niacinamide-2-5-Vaccine-Serum-i.288588702.8728927018", "https://shopee.co.id/MSBB-Avoskin-Your-Skin-Bae-Azeclair-10-Kombucha-3-Niacinamide-2-5-Vaccine-Serum-i.288588702.8728927018")</f>
        <v>https://shopee.co.id/MSBB-Avoskin-Your-Skin-Bae-Azeclair-10-Kombucha-3-Niacinamide-2-5-Vaccine-Serum-i.288588702.8728927018</v>
      </c>
      <c r="C829" s="8" t="s">
        <v>83</v>
      </c>
      <c r="D829" s="8" t="s">
        <v>79</v>
      </c>
      <c r="E829" s="8" t="s">
        <v>12</v>
      </c>
      <c r="F829" s="8" t="s">
        <v>13</v>
      </c>
      <c r="G829" s="8" t="s">
        <v>80</v>
      </c>
      <c r="H829" s="16">
        <v>42.0</v>
      </c>
      <c r="I829" s="15" t="str">
        <f>SUBSTITUTE(Sheet1!K829, "Rp", "")</f>
        <v>6258000</v>
      </c>
    </row>
    <row r="830">
      <c r="A830" s="8" t="s">
        <v>1114</v>
      </c>
      <c r="B830" s="13" t="str">
        <f>HYPERLINK("https://shopee.co.id/THE-BATH-BOX-Galacto-Essence-Anti-aging-melasma-Pigmentasi-wringkles-pencerah-wajah--i.52581685.1035962794", "https://shopee.co.id/THE-BATH-BOX-Galacto-Essence-Anti-aging-melasma-Pigmentasi-wringkles-pencerah-wajah--i.52581685.1035962794")</f>
        <v>https://shopee.co.id/THE-BATH-BOX-Galacto-Essence-Anti-aging-melasma-Pigmentasi-wringkles-pencerah-wajah--i.52581685.1035962794</v>
      </c>
      <c r="C830" s="8" t="s">
        <v>613</v>
      </c>
      <c r="D830" s="8" t="s">
        <v>614</v>
      </c>
      <c r="E830" s="8" t="s">
        <v>12</v>
      </c>
      <c r="F830" s="8" t="s">
        <v>13</v>
      </c>
      <c r="G830" s="8" t="s">
        <v>61</v>
      </c>
      <c r="H830" s="16">
        <v>42.0</v>
      </c>
      <c r="I830" s="15" t="str">
        <f>SUBSTITUTE(Sheet1!K830, "Rp", "")</f>
        <v>14849220</v>
      </c>
    </row>
    <row r="831">
      <c r="A831" s="8" t="s">
        <v>1016</v>
      </c>
      <c r="B831" s="13" t="str">
        <f>HYPERLINK("https://shopee.co.id/Dr-Jart-V7-Serum-i.126014132.2713199778", "https://shopee.co.id/Dr-Jart-V7-Serum-i.126014132.2713199778")</f>
        <v>https://shopee.co.id/Dr-Jart-V7-Serum-i.126014132.2713199778</v>
      </c>
      <c r="C831" s="8" t="s">
        <v>639</v>
      </c>
      <c r="D831" s="8" t="s">
        <v>640</v>
      </c>
      <c r="E831" s="8" t="s">
        <v>12</v>
      </c>
      <c r="F831" s="8" t="s">
        <v>13</v>
      </c>
      <c r="G831" s="8" t="s">
        <v>61</v>
      </c>
      <c r="H831" s="16">
        <v>41.0</v>
      </c>
      <c r="I831" s="15" t="str">
        <f>SUBSTITUTE(Sheet1!K831, "Rp", "")</f>
        <v>18542000</v>
      </c>
    </row>
    <row r="832">
      <c r="A832" s="8" t="s">
        <v>1831</v>
      </c>
      <c r="B832" s="13" t="str">
        <f>HYPERLINK("https://shopee.co.id/Humphrey-Niacinamide-10-Hyaluronic-Acid-Serum-i.83349.1989686892", "https://shopee.co.id/Humphrey-Niacinamide-10-Hyaluronic-Acid-Serum-i.83349.1989686892")</f>
        <v>https://shopee.co.id/Humphrey-Niacinamide-10-Hyaluronic-Acid-Serum-i.83349.1989686892</v>
      </c>
      <c r="C832" s="8" t="s">
        <v>1832</v>
      </c>
      <c r="D832" s="8" t="s">
        <v>1833</v>
      </c>
      <c r="E832" s="8" t="s">
        <v>12</v>
      </c>
      <c r="F832" s="8" t="s">
        <v>13</v>
      </c>
      <c r="G832" s="8" t="s">
        <v>21</v>
      </c>
      <c r="H832" s="16">
        <v>41.0</v>
      </c>
      <c r="I832" s="15" t="str">
        <f>SUBSTITUTE(Sheet1!K832, "Rp", "")</f>
        <v>4514235</v>
      </c>
    </row>
    <row r="833">
      <c r="A833" s="8" t="s">
        <v>1450</v>
      </c>
      <c r="B833" s="13" t="str">
        <f>HYPERLINK("https://shopee.co.id/Lovila-Glow-Activation-Booster-Serum-2-Pcs--i.227193745.5551797030", "https://shopee.co.id/Lovila-Glow-Activation-Booster-Serum-2-Pcs--i.227193745.5551797030")</f>
        <v>https://shopee.co.id/Lovila-Glow-Activation-Booster-Serum-2-Pcs--i.227193745.5551797030</v>
      </c>
      <c r="C833" s="8" t="s">
        <v>619</v>
      </c>
      <c r="D833" s="8" t="s">
        <v>620</v>
      </c>
      <c r="E833" s="8" t="s">
        <v>12</v>
      </c>
      <c r="F833" s="8" t="s">
        <v>13</v>
      </c>
      <c r="G833" s="8" t="s">
        <v>469</v>
      </c>
      <c r="H833" s="16">
        <v>41.0</v>
      </c>
      <c r="I833" s="15" t="str">
        <f>SUBSTITUTE(Sheet1!K833, "Rp", "")</f>
        <v>8219980</v>
      </c>
    </row>
    <row r="834">
      <c r="A834" s="8" t="s">
        <v>1965</v>
      </c>
      <c r="B834" s="13" t="str">
        <f>HYPERLINK("https://shopee.co.id/Somethinc-Niacinamide-Barrier-Serum-5-10-20ml-40ml-i.136011044.5846705511", "https://shopee.co.id/Somethinc-Niacinamide-Barrier-Serum-5-10-20ml-40ml-i.136011044.5846705511")</f>
        <v>https://shopee.co.id/Somethinc-Niacinamide-Barrier-Serum-5-10-20ml-40ml-i.136011044.5846705511</v>
      </c>
      <c r="C834" s="8" t="s">
        <v>45</v>
      </c>
      <c r="D834" s="8" t="s">
        <v>632</v>
      </c>
      <c r="E834" s="8" t="s">
        <v>12</v>
      </c>
      <c r="F834" s="8" t="s">
        <v>13</v>
      </c>
      <c r="G834" s="8" t="s">
        <v>21</v>
      </c>
      <c r="H834" s="16">
        <v>41.0</v>
      </c>
      <c r="I834" s="15" t="str">
        <f>SUBSTITUTE(Sheet1!K834, "Rp", "")</f>
        <v>3644550</v>
      </c>
    </row>
    <row r="835">
      <c r="A835" s="8" t="s">
        <v>1809</v>
      </c>
      <c r="B835" s="13" t="str">
        <f>HYPERLINK("https://shopee.co.id/Somethinc-Niacinamide-Moisture-Beet-Hyaluronic-B5-Aha-Bha-Pha-Peeling-Solution-Serum-20-Ml-i.53887195.5574048745", "https://shopee.co.id/Somethinc-Niacinamide-Moisture-Beet-Hyaluronic-B5-Aha-Bha-Pha-Peeling-Solution-Serum-20-Ml-i.53887195.5574048745")</f>
        <v>https://shopee.co.id/Somethinc-Niacinamide-Moisture-Beet-Hyaluronic-B5-Aha-Bha-Pha-Peeling-Solution-Serum-20-Ml-i.53887195.5574048745</v>
      </c>
      <c r="C835" s="8" t="s">
        <v>45</v>
      </c>
      <c r="D835" s="8" t="s">
        <v>1026</v>
      </c>
      <c r="E835" s="8" t="s">
        <v>12</v>
      </c>
      <c r="F835" s="8" t="s">
        <v>13</v>
      </c>
      <c r="G835" s="8" t="s">
        <v>80</v>
      </c>
      <c r="H835" s="16">
        <v>41.0</v>
      </c>
      <c r="I835" s="15" t="str">
        <f>SUBSTITUTE(Sheet1!K835, "Rp", "")</f>
        <v>4634477</v>
      </c>
    </row>
    <row r="836">
      <c r="A836" s="8" t="s">
        <v>816</v>
      </c>
      <c r="B836" s="13" t="str">
        <f>HYPERLINK("https://shopee.co.id/The-Body-Shop-New-Drops-Of-Youth-Youth-Concentrate-Serum-50ml-i.28053737.5717597581", "https://shopee.co.id/The-Body-Shop-New-Drops-Of-Youth-Youth-Concentrate-Serum-50ml-i.28053737.5717597581")</f>
        <v>https://shopee.co.id/The-Body-Shop-New-Drops-Of-Youth-Youth-Concentrate-Serum-50ml-i.28053737.5717597581</v>
      </c>
      <c r="C836" s="8" t="s">
        <v>221</v>
      </c>
      <c r="D836" s="8" t="s">
        <v>222</v>
      </c>
      <c r="E836" s="8" t="s">
        <v>12</v>
      </c>
      <c r="F836" s="8" t="s">
        <v>13</v>
      </c>
      <c r="G836" s="8" t="s">
        <v>80</v>
      </c>
      <c r="H836" s="16">
        <v>41.0</v>
      </c>
      <c r="I836" s="15" t="str">
        <f>SUBSTITUTE(Sheet1!K836, "Rp", "")</f>
        <v>29889000</v>
      </c>
    </row>
    <row r="837">
      <c r="A837" s="8" t="s">
        <v>1122</v>
      </c>
      <c r="B837" s="13" t="str">
        <f>HYPERLINK("https://shopee.co.id/Votre-Peau-Skin-Care-Acne-Fighter-Package-i.46300234.3777919788", "https://shopee.co.id/Votre-Peau-Skin-Care-Acne-Fighter-Package-i.46300234.3777919788")</f>
        <v>https://shopee.co.id/Votre-Peau-Skin-Care-Acne-Fighter-Package-i.46300234.3777919788</v>
      </c>
      <c r="C837" s="8" t="s">
        <v>999</v>
      </c>
      <c r="D837" s="8" t="s">
        <v>472</v>
      </c>
      <c r="E837" s="8" t="s">
        <v>12</v>
      </c>
      <c r="F837" s="8" t="s">
        <v>13</v>
      </c>
      <c r="G837" s="8" t="s">
        <v>98</v>
      </c>
      <c r="H837" s="16">
        <v>41.0</v>
      </c>
      <c r="I837" s="15" t="str">
        <f>SUBSTITUTE(Sheet1!K837, "Rp", "")</f>
        <v>14745400</v>
      </c>
    </row>
    <row r="838">
      <c r="A838" s="8" t="s">
        <v>2416</v>
      </c>
      <c r="B838" s="13" t="str">
        <f>HYPERLINK("https://shopee.co.id/AZARINE-C-SERUM-20-ML-i.50972887.9753753527", "https://shopee.co.id/AZARINE-C-SERUM-20-ML-i.50972887.9753753527")</f>
        <v>https://shopee.co.id/AZARINE-C-SERUM-20-ML-i.50972887.9753753527</v>
      </c>
      <c r="C838" s="8" t="s">
        <v>233</v>
      </c>
      <c r="D838" s="8" t="s">
        <v>552</v>
      </c>
      <c r="E838" s="8" t="s">
        <v>12</v>
      </c>
      <c r="F838" s="8" t="s">
        <v>13</v>
      </c>
      <c r="G838" s="8" t="s">
        <v>61</v>
      </c>
      <c r="H838" s="16">
        <v>40.0</v>
      </c>
      <c r="I838" s="15" t="str">
        <f>SUBSTITUTE(Sheet1!K838, "Rp", "")</f>
        <v>1900000</v>
      </c>
    </row>
    <row r="839">
      <c r="A839" s="8" t="s">
        <v>1573</v>
      </c>
      <c r="B839" s="13" t="str">
        <f>HYPERLINK("https://shopee.co.id/Bio-Essence-BioWhite-Advanced-Whitening-Night-Cream-45gr-Wajah-Cerah-i.63822287.1671471974", "https://shopee.co.id/Bio-Essence-BioWhite-Advanced-Whitening-Night-Cream-45gr-Wajah-Cerah-i.63822287.1671471974")</f>
        <v>https://shopee.co.id/Bio-Essence-BioWhite-Advanced-Whitening-Night-Cream-45gr-Wajah-Cerah-i.63822287.1671471974</v>
      </c>
      <c r="C839" s="8" t="s">
        <v>1254</v>
      </c>
      <c r="D839" s="8" t="s">
        <v>835</v>
      </c>
      <c r="E839" s="8" t="s">
        <v>12</v>
      </c>
      <c r="F839" s="8" t="s">
        <v>13</v>
      </c>
      <c r="G839" s="8" t="s">
        <v>61</v>
      </c>
      <c r="H839" s="16">
        <v>40.0</v>
      </c>
      <c r="I839" s="15" t="str">
        <f>SUBSTITUTE(Sheet1!K839, "Rp", "")</f>
        <v>6744800</v>
      </c>
    </row>
    <row r="840">
      <c r="A840" s="8" t="s">
        <v>1458</v>
      </c>
      <c r="B840" s="13" t="str">
        <f>HYPERLINK("https://shopee.co.id/Botanity-Flavon-Serum-Wajah-50ml-i.203141970.4708602340", "https://shopee.co.id/Botanity-Flavon-Serum-Wajah-50ml-i.203141970.4708602340")</f>
        <v>https://shopee.co.id/Botanity-Flavon-Serum-Wajah-50ml-i.203141970.4708602340</v>
      </c>
      <c r="C840" s="8" t="s">
        <v>1459</v>
      </c>
      <c r="D840" s="8" t="s">
        <v>1460</v>
      </c>
      <c r="E840" s="8" t="s">
        <v>12</v>
      </c>
      <c r="F840" s="8" t="s">
        <v>13</v>
      </c>
      <c r="G840" s="8" t="s">
        <v>21</v>
      </c>
      <c r="H840" s="16">
        <v>40.0</v>
      </c>
      <c r="I840" s="15" t="str">
        <f>SUBSTITUTE(Sheet1!K840, "Rp", "")</f>
        <v>8088029</v>
      </c>
    </row>
    <row r="841">
      <c r="A841" s="8" t="s">
        <v>2375</v>
      </c>
      <c r="B841" s="13" t="str">
        <f>HYPERLINK("https://shopee.co.id/Fanbo-Wonder-Skin-Sunscreen-Serum-Flashsale-i.12057760.8270553482", "https://shopee.co.id/Fanbo-Wonder-Skin-Sunscreen-Serum-Flashsale-i.12057760.8270553482")</f>
        <v>https://shopee.co.id/Fanbo-Wonder-Skin-Sunscreen-Serum-Flashsale-i.12057760.8270553482</v>
      </c>
      <c r="C841" s="8" t="s">
        <v>2376</v>
      </c>
      <c r="D841" s="8" t="s">
        <v>2377</v>
      </c>
      <c r="E841" s="8" t="s">
        <v>12</v>
      </c>
      <c r="F841" s="8" t="s">
        <v>13</v>
      </c>
      <c r="G841" s="8" t="s">
        <v>21</v>
      </c>
      <c r="H841" s="16">
        <v>40.0</v>
      </c>
      <c r="I841" s="15" t="str">
        <f>SUBSTITUTE(Sheet1!K841, "Rp", "")</f>
        <v>2019600</v>
      </c>
    </row>
    <row r="842">
      <c r="A842" s="8" t="s">
        <v>1594</v>
      </c>
      <c r="B842" s="13" t="str">
        <f>HYPERLINK("https://shopee.co.id/Glowmy-Glass-Skin-Pearlets-Serum-20ml--i.324394758.6586649320", "https://shopee.co.id/Glowmy-Glass-Skin-Pearlets-Serum-20ml--i.324394758.6586649320")</f>
        <v>https://shopee.co.id/Glowmy-Glass-Skin-Pearlets-Serum-20ml--i.324394758.6586649320</v>
      </c>
      <c r="C842" s="8" t="s">
        <v>1595</v>
      </c>
      <c r="D842" s="8" t="s">
        <v>1596</v>
      </c>
      <c r="E842" s="8" t="s">
        <v>12</v>
      </c>
      <c r="F842" s="8" t="s">
        <v>13</v>
      </c>
      <c r="G842" s="8" t="s">
        <v>21</v>
      </c>
      <c r="H842" s="16">
        <v>40.0</v>
      </c>
      <c r="I842" s="15" t="str">
        <f>SUBSTITUTE(Sheet1!K842, "Rp", "")</f>
        <v>6400000</v>
      </c>
    </row>
    <row r="843">
      <c r="A843" s="8" t="s">
        <v>1936</v>
      </c>
      <c r="B843" s="13" t="str">
        <f>HYPERLINK("https://shopee.co.id/Precious-Skin-Vitamin-C-Lemon-Facial-Whitening-Serum-All-skin-Type-Serum-Wajah-Serum-Muka-50ml-i.156582062.5676973894", "https://shopee.co.id/Precious-Skin-Vitamin-C-Lemon-Facial-Whitening-Serum-All-skin-Type-Serum-Wajah-Serum-Muka-50ml-i.156582062.5676973894")</f>
        <v>https://shopee.co.id/Precious-Skin-Vitamin-C-Lemon-Facial-Whitening-Serum-All-skin-Type-Serum-Wajah-Serum-Muka-50ml-i.156582062.5676973894</v>
      </c>
      <c r="C843" s="8" t="s">
        <v>1095</v>
      </c>
      <c r="D843" s="8" t="s">
        <v>1096</v>
      </c>
      <c r="E843" s="8" t="s">
        <v>12</v>
      </c>
      <c r="F843" s="8" t="s">
        <v>13</v>
      </c>
      <c r="G843" s="8" t="s">
        <v>61</v>
      </c>
      <c r="H843" s="16">
        <v>40.0</v>
      </c>
      <c r="I843" s="15" t="str">
        <f>SUBSTITUTE(Sheet1!K843, "Rp", "")</f>
        <v>3800000</v>
      </c>
    </row>
    <row r="844">
      <c r="A844" s="8" t="s">
        <v>1828</v>
      </c>
      <c r="B844" s="13" t="str">
        <f>HYPERLINK("https://shopee.co.id/Somethinc-10-Niacinamide-Barrier-Serum-20-ml-i.110573301.5495763290", "https://shopee.co.id/Somethinc-10-Niacinamide-Barrier-Serum-20-ml-i.110573301.5495763290")</f>
        <v>https://shopee.co.id/Somethinc-10-Niacinamide-Barrier-Serum-20-ml-i.110573301.5495763290</v>
      </c>
      <c r="C844" s="8" t="s">
        <v>45</v>
      </c>
      <c r="D844" s="8" t="s">
        <v>227</v>
      </c>
      <c r="E844" s="8" t="s">
        <v>12</v>
      </c>
      <c r="F844" s="8" t="s">
        <v>13</v>
      </c>
      <c r="G844" s="8" t="s">
        <v>61</v>
      </c>
      <c r="H844" s="16">
        <v>40.0</v>
      </c>
      <c r="I844" s="15" t="str">
        <f>SUBSTITUTE(Sheet1!K844, "Rp", "")</f>
        <v>4537000</v>
      </c>
    </row>
    <row r="845">
      <c r="A845" s="8" t="s">
        <v>2011</v>
      </c>
      <c r="B845" s="13" t="str">
        <f>HYPERLINK("https://shopee.co.id/ADARA-C-Bright-Serum-30ML-Brightening-Serum-i.122156323.1865771732", "https://shopee.co.id/ADARA-C-Bright-Serum-30ML-Brightening-Serum-i.122156323.1865771732")</f>
        <v>https://shopee.co.id/ADARA-C-Bright-Serum-30ML-Brightening-Serum-i.122156323.1865771732</v>
      </c>
      <c r="C845" s="8" t="s">
        <v>2012</v>
      </c>
      <c r="D845" s="8" t="s">
        <v>2013</v>
      </c>
      <c r="E845" s="8" t="s">
        <v>12</v>
      </c>
      <c r="F845" s="8" t="s">
        <v>13</v>
      </c>
      <c r="G845" s="8" t="s">
        <v>61</v>
      </c>
      <c r="H845" s="16">
        <v>39.0</v>
      </c>
      <c r="I845" s="15" t="str">
        <f>SUBSTITUTE(Sheet1!K845, "Rp", "")</f>
        <v>3416250</v>
      </c>
    </row>
    <row r="846">
      <c r="A846" s="8" t="s">
        <v>1700</v>
      </c>
      <c r="B846" s="13" t="str">
        <f>HYPERLINK("https://shopee.co.id/Aizen-SymWhite-377-3-Ultra-Ampoule-Serum-Pemutih-Pencerah-Kulit-Wajah-i.89939211.8809167814", "https://shopee.co.id/Aizen-SymWhite-377-3-Ultra-Ampoule-Serum-Pemutih-Pencerah-Kulit-Wajah-i.89939211.8809167814")</f>
        <v>https://shopee.co.id/Aizen-SymWhite-377-3-Ultra-Ampoule-Serum-Pemutih-Pencerah-Kulit-Wajah-i.89939211.8809167814</v>
      </c>
      <c r="C846" s="8" t="s">
        <v>1325</v>
      </c>
      <c r="D846" s="8" t="s">
        <v>1326</v>
      </c>
      <c r="E846" s="8" t="s">
        <v>12</v>
      </c>
      <c r="F846" s="8" t="s">
        <v>13</v>
      </c>
      <c r="G846" s="8" t="s">
        <v>14</v>
      </c>
      <c r="H846" s="16">
        <v>39.0</v>
      </c>
      <c r="I846" s="15" t="str">
        <f>SUBSTITUTE(Sheet1!K846, "Rp", "")</f>
        <v>5421000</v>
      </c>
    </row>
    <row r="847">
      <c r="A847" s="8" t="s">
        <v>1520</v>
      </c>
      <c r="B847" s="13" t="str">
        <f>HYPERLINK("https://shopee.co.id/Benton-Snail-Bee-Ultimate-Serum-i.125116082.2752604648", "https://shopee.co.id/Benton-Snail-Bee-Ultimate-Serum-i.125116082.2752604648")</f>
        <v>https://shopee.co.id/Benton-Snail-Bee-Ultimate-Serum-i.125116082.2752604648</v>
      </c>
      <c r="C847" s="8" t="s">
        <v>456</v>
      </c>
      <c r="D847" s="8" t="s">
        <v>713</v>
      </c>
      <c r="E847" s="8" t="s">
        <v>12</v>
      </c>
      <c r="F847" s="8" t="s">
        <v>13</v>
      </c>
      <c r="G847" s="8" t="s">
        <v>61</v>
      </c>
      <c r="H847" s="16">
        <v>39.0</v>
      </c>
      <c r="I847" s="15" t="str">
        <f>SUBSTITUTE(Sheet1!K847, "Rp", "")</f>
        <v>7416500</v>
      </c>
    </row>
    <row r="848">
      <c r="A848" s="8" t="s">
        <v>1834</v>
      </c>
      <c r="B848" s="13" t="str">
        <f>HYPERLINK("https://shopee.co.id/MSBB-Somethinc-HYALuronic9-Advanced-B5-Serum-20Ml-i.288588702.4793783229", "https://shopee.co.id/MSBB-Somethinc-HYALuronic9-Advanced-B5-Serum-20Ml-i.288588702.4793783229")</f>
        <v>https://shopee.co.id/MSBB-Somethinc-HYALuronic9-Advanced-B5-Serum-20Ml-i.288588702.4793783229</v>
      </c>
      <c r="C848" s="8" t="s">
        <v>45</v>
      </c>
      <c r="D848" s="8" t="s">
        <v>79</v>
      </c>
      <c r="E848" s="8" t="s">
        <v>12</v>
      </c>
      <c r="F848" s="8" t="s">
        <v>13</v>
      </c>
      <c r="G848" s="8" t="s">
        <v>80</v>
      </c>
      <c r="H848" s="16">
        <v>39.0</v>
      </c>
      <c r="I848" s="15" t="str">
        <f>SUBSTITUTE(Sheet1!K848, "Rp", "")</f>
        <v>4504500</v>
      </c>
    </row>
    <row r="849">
      <c r="A849" s="8" t="s">
        <v>2401</v>
      </c>
      <c r="B849" s="13" t="str">
        <f>HYPERLINK("https://shopee.co.id/Saffbeautys-Red-Jelly-Saffron-Glowing-Niacinamide-10gr-i.61316931.4259445299", "https://shopee.co.id/Saffbeautys-Red-Jelly-Saffron-Glowing-Niacinamide-10gr-i.61316931.4259445299")</f>
        <v>https://shopee.co.id/Saffbeautys-Red-Jelly-Saffron-Glowing-Niacinamide-10gr-i.61316931.4259445299</v>
      </c>
      <c r="C849" s="8" t="s">
        <v>2402</v>
      </c>
      <c r="D849" s="8" t="s">
        <v>2128</v>
      </c>
      <c r="E849" s="8" t="s">
        <v>12</v>
      </c>
      <c r="F849" s="8" t="s">
        <v>13</v>
      </c>
      <c r="G849" s="8" t="s">
        <v>409</v>
      </c>
      <c r="H849" s="16">
        <v>39.0</v>
      </c>
      <c r="I849" s="15" t="str">
        <f>SUBSTITUTE(Sheet1!K849, "Rp", "")</f>
        <v>1950000</v>
      </c>
    </row>
    <row r="850">
      <c r="A850" s="8" t="s">
        <v>2167</v>
      </c>
      <c r="B850" s="13" t="str">
        <f>HYPERLINK("https://shopee.co.id/Safi-Age-Defy-Gold-Water-Essence-30-ml-Naturals-Micellar-Water-with-Neem-100-ml-i.63823668.5743845883", "https://shopee.co.id/Safi-Age-Defy-Gold-Water-Essence-30-ml-Naturals-Micellar-Water-with-Neem-100-ml-i.63823668.5743845883")</f>
        <v>https://shopee.co.id/Safi-Age-Defy-Gold-Water-Essence-30-ml-Naturals-Micellar-Water-with-Neem-100-ml-i.63823668.5743845883</v>
      </c>
      <c r="C850" s="8" t="s">
        <v>278</v>
      </c>
      <c r="D850" s="8" t="s">
        <v>279</v>
      </c>
      <c r="E850" s="8" t="s">
        <v>12</v>
      </c>
      <c r="F850" s="8" t="s">
        <v>13</v>
      </c>
      <c r="G850" s="8" t="s">
        <v>61</v>
      </c>
      <c r="H850" s="16">
        <v>39.0</v>
      </c>
      <c r="I850" s="15" t="str">
        <f>SUBSTITUTE(Sheet1!K850, "Rp", "")</f>
        <v>2663000</v>
      </c>
    </row>
    <row r="851">
      <c r="A851" s="8" t="s">
        <v>1278</v>
      </c>
      <c r="B851" s="13" t="str">
        <f>HYPERLINK("https://shopee.co.id/Safi-Age-Defy-Youth-Elixir-Twinpack-Special-i.63823668.8538788920", "https://shopee.co.id/Safi-Age-Defy-Youth-Elixir-Twinpack-Special-i.63823668.8538788920")</f>
        <v>https://shopee.co.id/Safi-Age-Defy-Youth-Elixir-Twinpack-Special-i.63823668.8538788920</v>
      </c>
      <c r="C851" s="8" t="s">
        <v>278</v>
      </c>
      <c r="D851" s="8" t="s">
        <v>279</v>
      </c>
      <c r="E851" s="8" t="s">
        <v>12</v>
      </c>
      <c r="F851" s="8" t="s">
        <v>13</v>
      </c>
      <c r="G851" s="8" t="s">
        <v>61</v>
      </c>
      <c r="H851" s="16">
        <v>39.0</v>
      </c>
      <c r="I851" s="15" t="str">
        <f>SUBSTITUTE(Sheet1!K851, "Rp", "")</f>
        <v>11191200</v>
      </c>
    </row>
    <row r="852">
      <c r="A852" s="8" t="s">
        <v>2337</v>
      </c>
      <c r="B852" s="13" t="str">
        <f>HYPERLINK("https://shopee.co.id/Sercret-Wish-by-Angel-Lelga-Anti-Aging-Serum-Serum-Anti-Aging-20ml-secretwishofficial-i.240781486.4583924896", "https://shopee.co.id/Sercret-Wish-by-Angel-Lelga-Anti-Aging-Serum-Serum-Anti-Aging-20ml-secretwishofficial-i.240781486.4583924896")</f>
        <v>https://shopee.co.id/Sercret-Wish-by-Angel-Lelga-Anti-Aging-Serum-Serum-Anti-Aging-20ml-secretwishofficial-i.240781486.4583924896</v>
      </c>
      <c r="C852" s="8" t="s">
        <v>1956</v>
      </c>
      <c r="D852" s="8" t="s">
        <v>1957</v>
      </c>
      <c r="E852" s="8" t="s">
        <v>12</v>
      </c>
      <c r="F852" s="8" t="s">
        <v>13</v>
      </c>
      <c r="G852" s="8" t="s">
        <v>61</v>
      </c>
      <c r="H852" s="16">
        <v>39.0</v>
      </c>
      <c r="I852" s="15" t="str">
        <f>SUBSTITUTE(Sheet1!K852, "Rp", "")</f>
        <v>2158800</v>
      </c>
    </row>
    <row r="853">
      <c r="A853" s="8" t="s">
        <v>1633</v>
      </c>
      <c r="B853" s="13" t="str">
        <f>HYPERLINK("https://shopee.co.id/Skinmee-Dualmee-Series-Universal-i.426361756.4494249262", "https://shopee.co.id/Skinmee-Dualmee-Series-Universal-i.426361756.4494249262")</f>
        <v>https://shopee.co.id/Skinmee-Dualmee-Series-Universal-i.426361756.4494249262</v>
      </c>
      <c r="C853" s="8" t="s">
        <v>1141</v>
      </c>
      <c r="D853" s="8" t="s">
        <v>1142</v>
      </c>
      <c r="E853" s="8" t="s">
        <v>12</v>
      </c>
      <c r="F853" s="8" t="s">
        <v>13</v>
      </c>
      <c r="G853" s="8" t="s">
        <v>98</v>
      </c>
      <c r="H853" s="16">
        <v>39.0</v>
      </c>
      <c r="I853" s="15" t="str">
        <f>SUBSTITUTE(Sheet1!K853, "Rp", "")</f>
        <v>6112730</v>
      </c>
    </row>
    <row r="854">
      <c r="A854" s="8" t="s">
        <v>1401</v>
      </c>
      <c r="B854" s="13" t="str">
        <f>HYPERLINK("https://shopee.co.id/Westcare-Bounce-and-Glow-Serum-i.240494994.3633673674", "https://shopee.co.id/Westcare-Bounce-and-Glow-Serum-i.240494994.3633673674")</f>
        <v>https://shopee.co.id/Westcare-Bounce-and-Glow-Serum-i.240494994.3633673674</v>
      </c>
      <c r="C854" s="8" t="s">
        <v>1402</v>
      </c>
      <c r="D854" s="8" t="s">
        <v>1403</v>
      </c>
      <c r="E854" s="8" t="s">
        <v>12</v>
      </c>
      <c r="F854" s="8" t="s">
        <v>13</v>
      </c>
      <c r="G854" s="8" t="s">
        <v>36</v>
      </c>
      <c r="H854" s="16">
        <v>39.0</v>
      </c>
      <c r="I854" s="15" t="str">
        <f>SUBSTITUTE(Sheet1!K854, "Rp", "")</f>
        <v>8850000</v>
      </c>
    </row>
    <row r="855">
      <c r="A855" s="8" t="s">
        <v>2584</v>
      </c>
      <c r="B855" s="13" t="str">
        <f>HYPERLINK("https://shopee.co.id/-BPOM-LANBENA-Pore-Minimizer-Serum-Mengecilkan-Pori-Pori-17ml--i.397732085.8522530844", "https://shopee.co.id/-BPOM-LANBENA-Pore-Minimizer-Serum-Mengecilkan-Pori-Pori-17ml--i.397732085.8522530844")</f>
        <v>https://shopee.co.id/-BPOM-LANBENA-Pore-Minimizer-Serum-Mengecilkan-Pori-Pori-17ml--i.397732085.8522530844</v>
      </c>
      <c r="C855" s="8" t="s">
        <v>1427</v>
      </c>
      <c r="D855" s="8" t="s">
        <v>1428</v>
      </c>
      <c r="E855" s="8" t="s">
        <v>12</v>
      </c>
      <c r="F855" s="8" t="s">
        <v>13</v>
      </c>
      <c r="G855" s="8" t="s">
        <v>532</v>
      </c>
      <c r="H855" s="16">
        <v>38.0</v>
      </c>
      <c r="I855" s="15" t="str">
        <f>SUBSTITUTE(Sheet1!K855, "Rp", "")</f>
        <v>1504200</v>
      </c>
    </row>
    <row r="856">
      <c r="A856" s="8" t="s">
        <v>1697</v>
      </c>
      <c r="B856" s="13" t="str">
        <f>HYPERLINK("https://shopee.co.id/Trueve-Serum-Niacinamide-10-Galactomyces-peptide-BHA-Cica-VitaminC-AHA-BHA-Eye-Gel-i.50948181.8358327841", "https://shopee.co.id/Trueve-Serum-Niacinamide-10-Galactomyces-peptide-BHA-Cica-VitaminC-AHA-BHA-Eye-Gel-i.50948181.8358327841")</f>
        <v>https://shopee.co.id/Trueve-Serum-Niacinamide-10-Galactomyces-peptide-BHA-Cica-VitaminC-AHA-BHA-Eye-Gel-i.50948181.8358327841</v>
      </c>
      <c r="C856" s="8" t="s">
        <v>34</v>
      </c>
      <c r="D856" s="8" t="s">
        <v>1129</v>
      </c>
      <c r="E856" s="8" t="s">
        <v>12</v>
      </c>
      <c r="F856" s="8" t="s">
        <v>13</v>
      </c>
      <c r="G856" s="8" t="s">
        <v>1130</v>
      </c>
      <c r="H856" s="16">
        <v>38.0</v>
      </c>
      <c r="I856" s="15" t="str">
        <f>SUBSTITUTE(Sheet1!K856, "Rp", "")</f>
        <v>5434600</v>
      </c>
    </row>
    <row r="857">
      <c r="A857" s="8" t="s">
        <v>232</v>
      </c>
      <c r="B857" s="13" t="str">
        <f>HYPERLINK("https://shopee.co.id/Azarine-C-White-Lightening-Serum-20ml-i.10689.6431178643", "https://shopee.co.id/Azarine-C-White-Lightening-Serum-20ml-i.10689.6431178643")</f>
        <v>https://shopee.co.id/Azarine-C-White-Lightening-Serum-20ml-i.10689.6431178643</v>
      </c>
      <c r="C857" s="8" t="s">
        <v>233</v>
      </c>
      <c r="D857" s="8" t="s">
        <v>745</v>
      </c>
      <c r="E857" s="8" t="s">
        <v>12</v>
      </c>
      <c r="F857" s="8" t="s">
        <v>13</v>
      </c>
      <c r="G857" s="8" t="s">
        <v>61</v>
      </c>
      <c r="H857" s="16">
        <v>38.0</v>
      </c>
      <c r="I857" s="15" t="str">
        <f>SUBSTITUTE(Sheet1!K857, "Rp", "")</f>
        <v>1863750</v>
      </c>
    </row>
    <row r="858">
      <c r="A858" s="8" t="s">
        <v>1870</v>
      </c>
      <c r="B858" s="13" t="str">
        <f>HYPERLINK("https://shopee.co.id/Bio-Essence-Bio-Treatment-Essence-In-Oil-60-ml-Perawatan-Wajah-i.63822287.1222697780", "https://shopee.co.id/Bio-Essence-Bio-Treatment-Essence-In-Oil-60-ml-Perawatan-Wajah-i.63822287.1222697780")</f>
        <v>https://shopee.co.id/Bio-Essence-Bio-Treatment-Essence-In-Oil-60-ml-Perawatan-Wajah-i.63822287.1222697780</v>
      </c>
      <c r="C858" s="8" t="s">
        <v>1254</v>
      </c>
      <c r="D858" s="8" t="s">
        <v>835</v>
      </c>
      <c r="E858" s="8" t="s">
        <v>12</v>
      </c>
      <c r="F858" s="8" t="s">
        <v>13</v>
      </c>
      <c r="G858" s="8" t="s">
        <v>61</v>
      </c>
      <c r="H858" s="16">
        <v>38.0</v>
      </c>
      <c r="I858" s="15" t="str">
        <f>SUBSTITUTE(Sheet1!K858, "Rp", "")</f>
        <v>4211100</v>
      </c>
    </row>
    <row r="859">
      <c r="A859" s="8" t="s">
        <v>2527</v>
      </c>
      <c r="B859" s="13" t="str">
        <f>HYPERLINK("https://shopee.co.id/Bio-Essence-Bio-White-Tanaka-Camelia-Advanced-Whitening-Cleanser-100gr-i.186214521.4331719283", "https://shopee.co.id/Bio-Essence-Bio-White-Tanaka-Camelia-Advanced-Whitening-Cleanser-100gr-i.186214521.4331719283")</f>
        <v>https://shopee.co.id/Bio-Essence-Bio-White-Tanaka-Camelia-Advanced-Whitening-Cleanser-100gr-i.186214521.4331719283</v>
      </c>
      <c r="C859" s="8" t="s">
        <v>2528</v>
      </c>
      <c r="D859" s="8" t="s">
        <v>2293</v>
      </c>
      <c r="E859" s="8" t="s">
        <v>12</v>
      </c>
      <c r="F859" s="8" t="s">
        <v>13</v>
      </c>
      <c r="G859" s="8" t="s">
        <v>61</v>
      </c>
      <c r="H859" s="16">
        <v>38.0</v>
      </c>
      <c r="I859" s="15" t="str">
        <f>SUBSTITUTE(Sheet1!K859, "Rp", "")</f>
        <v>1634000</v>
      </c>
    </row>
    <row r="860">
      <c r="A860" s="8" t="s">
        <v>2369</v>
      </c>
      <c r="B860" s="13" t="str">
        <f>HYPERLINK("https://shopee.co.id/La-Tulipe-Hyaluronic-Serum-i.131133483.4991850978", "https://shopee.co.id/La-Tulipe-Hyaluronic-Serum-i.131133483.4991850978")</f>
        <v>https://shopee.co.id/La-Tulipe-Hyaluronic-Serum-i.131133483.4991850978</v>
      </c>
      <c r="C860" s="8" t="s">
        <v>1761</v>
      </c>
      <c r="D860" s="8" t="s">
        <v>1762</v>
      </c>
      <c r="E860" s="8" t="s">
        <v>12</v>
      </c>
      <c r="F860" s="8" t="s">
        <v>13</v>
      </c>
      <c r="G860" s="8" t="s">
        <v>61</v>
      </c>
      <c r="H860" s="16">
        <v>38.0</v>
      </c>
      <c r="I860" s="15" t="str">
        <f>SUBSTITUTE(Sheet1!K860, "Rp", "")</f>
        <v>2041200</v>
      </c>
    </row>
    <row r="861">
      <c r="A861" s="8" t="s">
        <v>2470</v>
      </c>
      <c r="B861" s="13" t="str">
        <f>HYPERLINK("https://shopee.co.id/LANBENA-Blackhead-Mask-Pore-Minimizer-Serum-Varian-17ml-i.397732085.5483922223", "https://shopee.co.id/LANBENA-Blackhead-Mask-Pore-Minimizer-Serum-Varian-17ml-i.397732085.5483922223")</f>
        <v>https://shopee.co.id/LANBENA-Blackhead-Mask-Pore-Minimizer-Serum-Varian-17ml-i.397732085.5483922223</v>
      </c>
      <c r="C861" s="8" t="s">
        <v>1427</v>
      </c>
      <c r="D861" s="8" t="s">
        <v>1428</v>
      </c>
      <c r="E861" s="8" t="s">
        <v>12</v>
      </c>
      <c r="F861" s="8" t="s">
        <v>13</v>
      </c>
      <c r="G861" s="8" t="s">
        <v>532</v>
      </c>
      <c r="H861" s="16">
        <v>38.0</v>
      </c>
      <c r="I861" s="15" t="str">
        <f>SUBSTITUTE(Sheet1!K861, "Rp", "")</f>
        <v>1771200</v>
      </c>
    </row>
    <row r="862">
      <c r="A862" s="8" t="s">
        <v>2272</v>
      </c>
      <c r="B862" s="13" t="str">
        <f>HYPERLINK("https://shopee.co.id/Ponds-White-Beauty-Perfect-Potion-Essence-i.30736001.6537672461", "https://shopee.co.id/Ponds-White-Beauty-Perfect-Potion-Essence-i.30736001.6537672461")</f>
        <v>https://shopee.co.id/Ponds-White-Beauty-Perfect-Potion-Essence-i.30736001.6537672461</v>
      </c>
      <c r="C862" s="8" t="s">
        <v>325</v>
      </c>
      <c r="D862" s="8" t="s">
        <v>335</v>
      </c>
      <c r="E862" s="8" t="s">
        <v>12</v>
      </c>
      <c r="F862" s="8" t="s">
        <v>13</v>
      </c>
      <c r="G862" s="8" t="s">
        <v>36</v>
      </c>
      <c r="H862" s="16">
        <v>38.0</v>
      </c>
      <c r="I862" s="15" t="str">
        <f>SUBSTITUTE(Sheet1!K862, "Rp", "")</f>
        <v>2365800</v>
      </c>
    </row>
    <row r="863">
      <c r="A863" s="8" t="s">
        <v>1852</v>
      </c>
      <c r="B863" s="13" t="str">
        <f>HYPERLINK("https://shopee.co.id/Safi-Age-Defy-Anti-Aging-Skin-Booster-Face-Mist-75ml-Perawatan-Wajah-i.63823668.4901598341", "https://shopee.co.id/Safi-Age-Defy-Anti-Aging-Skin-Booster-Face-Mist-75ml-Perawatan-Wajah-i.63823668.4901598341")</f>
        <v>https://shopee.co.id/Safi-Age-Defy-Anti-Aging-Skin-Booster-Face-Mist-75ml-Perawatan-Wajah-i.63823668.4901598341</v>
      </c>
      <c r="C863" s="8" t="s">
        <v>278</v>
      </c>
      <c r="D863" s="8" t="s">
        <v>279</v>
      </c>
      <c r="E863" s="8" t="s">
        <v>12</v>
      </c>
      <c r="F863" s="8" t="s">
        <v>13</v>
      </c>
      <c r="G863" s="8" t="s">
        <v>61</v>
      </c>
      <c r="H863" s="16">
        <v>38.0</v>
      </c>
      <c r="I863" s="15" t="str">
        <f>SUBSTITUTE(Sheet1!K863, "Rp", "")</f>
        <v>4362600</v>
      </c>
    </row>
    <row r="864">
      <c r="A864" s="8" t="s">
        <v>1185</v>
      </c>
      <c r="B864" s="13" t="str">
        <f>HYPERLINK("https://shopee.co.id/Safi-Age-Defy-Gold-Water-Essence-100-ml-Day-Night-Cream-40-gr-i.63823668.5832806181", "https://shopee.co.id/Safi-Age-Defy-Gold-Water-Essence-100-ml-Day-Night-Cream-40-gr-i.63823668.5832806181")</f>
        <v>https://shopee.co.id/Safi-Age-Defy-Gold-Water-Essence-100-ml-Day-Night-Cream-40-gr-i.63823668.5832806181</v>
      </c>
      <c r="C864" s="8" t="s">
        <v>278</v>
      </c>
      <c r="D864" s="8" t="s">
        <v>279</v>
      </c>
      <c r="E864" s="8" t="s">
        <v>12</v>
      </c>
      <c r="F864" s="8" t="s">
        <v>13</v>
      </c>
      <c r="G864" s="8" t="s">
        <v>61</v>
      </c>
      <c r="H864" s="16">
        <v>38.0</v>
      </c>
      <c r="I864" s="15" t="str">
        <f>SUBSTITUTE(Sheet1!K864, "Rp", "")</f>
        <v>13297100</v>
      </c>
    </row>
    <row r="865">
      <c r="A865" s="8" t="s">
        <v>1541</v>
      </c>
      <c r="B865" s="13" t="str">
        <f>HYPERLINK("https://shopee.co.id/SOMEBYMI-Yuja-Niacin-Blemish-Care-SERUM-50ml-i.270965687.7838173195", "https://shopee.co.id/SOMEBYMI-Yuja-Niacin-Blemish-Care-SERUM-50ml-i.270965687.7838173195")</f>
        <v>https://shopee.co.id/SOMEBYMI-Yuja-Niacin-Blemish-Care-SERUM-50ml-i.270965687.7838173195</v>
      </c>
      <c r="C865" s="8" t="s">
        <v>213</v>
      </c>
      <c r="D865" s="8" t="s">
        <v>379</v>
      </c>
      <c r="E865" s="8" t="s">
        <v>12</v>
      </c>
      <c r="F865" s="8" t="s">
        <v>13</v>
      </c>
      <c r="G865" s="8" t="s">
        <v>380</v>
      </c>
      <c r="H865" s="16">
        <v>38.0</v>
      </c>
      <c r="I865" s="15" t="str">
        <f>SUBSTITUTE(Sheet1!K865, "Rp", "")</f>
        <v>7182000</v>
      </c>
    </row>
    <row r="866">
      <c r="A866" s="8" t="s">
        <v>1851</v>
      </c>
      <c r="B866" s="13" t="str">
        <f>HYPERLINK("https://shopee.co.id/SOMETHINC-10-Niacinamide-Barrier-Serum-i.68111.7190892313", "https://shopee.co.id/SOMETHINC-10-Niacinamide-Barrier-Serum-i.68111.7190892313")</f>
        <v>https://shopee.co.id/SOMETHINC-10-Niacinamide-Barrier-Serum-i.68111.7190892313</v>
      </c>
      <c r="C866" s="8" t="s">
        <v>45</v>
      </c>
      <c r="D866" s="8" t="s">
        <v>441</v>
      </c>
      <c r="E866" s="8" t="s">
        <v>12</v>
      </c>
      <c r="F866" s="8" t="s">
        <v>13</v>
      </c>
      <c r="G866" s="8" t="s">
        <v>130</v>
      </c>
      <c r="H866" s="16">
        <v>38.0</v>
      </c>
      <c r="I866" s="15" t="str">
        <f>SUBSTITUTE(Sheet1!K866, "Rp", "")</f>
        <v>4389000</v>
      </c>
    </row>
    <row r="867">
      <c r="A867" s="8" t="s">
        <v>1679</v>
      </c>
      <c r="B867" s="13" t="str">
        <f>HYPERLINK("https://shopee.co.id/SOMETHINC-5-Niacinamide-Moisture-Sabi-Beet-Serum-40ml-5-sabi--i.68111.7377432234", "https://shopee.co.id/SOMETHINC-5-Niacinamide-Moisture-Sabi-Beet-Serum-40ml-5-sabi--i.68111.7377432234")</f>
        <v>https://shopee.co.id/SOMETHINC-5-Niacinamide-Moisture-Sabi-Beet-Serum-40ml-5-sabi--i.68111.7377432234</v>
      </c>
      <c r="C867" s="8" t="s">
        <v>45</v>
      </c>
      <c r="D867" s="8" t="s">
        <v>441</v>
      </c>
      <c r="E867" s="8" t="s">
        <v>12</v>
      </c>
      <c r="F867" s="8" t="s">
        <v>13</v>
      </c>
      <c r="G867" s="8" t="s">
        <v>130</v>
      </c>
      <c r="H867" s="16">
        <v>38.0</v>
      </c>
      <c r="I867" s="15" t="str">
        <f>SUBSTITUTE(Sheet1!K867, "Rp", "")</f>
        <v>5662000</v>
      </c>
    </row>
    <row r="868">
      <c r="A868" s="8" t="s">
        <v>1219</v>
      </c>
      <c r="B868" s="13" t="str">
        <f>HYPERLINK("https://shopee.co.id/Trueve-Ultimate-Combo-Vitamin-C-Series-i.310417610.11007232024", "https://shopee.co.id/Trueve-Ultimate-Combo-Vitamin-C-Series-i.310417610.11007232024")</f>
        <v>https://shopee.co.id/Trueve-Ultimate-Combo-Vitamin-C-Series-i.310417610.11007232024</v>
      </c>
      <c r="C868" s="8" t="s">
        <v>34</v>
      </c>
      <c r="D868" s="8" t="s">
        <v>35</v>
      </c>
      <c r="E868" s="8" t="s">
        <v>12</v>
      </c>
      <c r="F868" s="8" t="s">
        <v>13</v>
      </c>
      <c r="G868" s="8" t="s">
        <v>36</v>
      </c>
      <c r="H868" s="16">
        <v>38.0</v>
      </c>
      <c r="I868" s="15" t="str">
        <f>SUBSTITUTE(Sheet1!K868, "Rp", "")</f>
        <v>12458250</v>
      </c>
    </row>
    <row r="869">
      <c r="A869" s="8" t="s">
        <v>1349</v>
      </c>
      <c r="B869" s="13" t="str">
        <f>HYPERLINK("https://shopee.co.id/AVOSKIN-Perfect-Hydrating-Treatment-Essence-100ml-i.68111.1617191159", "https://shopee.co.id/AVOSKIN-Perfect-Hydrating-Treatment-Essence-100ml-i.68111.1617191159")</f>
        <v>https://shopee.co.id/AVOSKIN-Perfect-Hydrating-Treatment-Essence-100ml-i.68111.1617191159</v>
      </c>
      <c r="C869" s="8" t="s">
        <v>83</v>
      </c>
      <c r="D869" s="8" t="s">
        <v>441</v>
      </c>
      <c r="E869" s="8" t="s">
        <v>12</v>
      </c>
      <c r="F869" s="8" t="s">
        <v>13</v>
      </c>
      <c r="G869" s="8" t="s">
        <v>130</v>
      </c>
      <c r="H869" s="16">
        <v>37.0</v>
      </c>
      <c r="I869" s="15" t="str">
        <f>SUBSTITUTE(Sheet1!K869, "Rp", "")</f>
        <v>9911850</v>
      </c>
    </row>
    <row r="870">
      <c r="A870" s="8" t="s">
        <v>1893</v>
      </c>
      <c r="B870" s="13" t="str">
        <f>HYPERLINK("https://shopee.co.id/CLINNELE-PureSwiss-Hydracalm-Serum-20-ml-Face-Serum-Wajah-i.173963911.2814446537", "https://shopee.co.id/CLINNELE-PureSwiss-Hydracalm-Serum-20-ml-Face-Serum-Wajah-i.173963911.2814446537")</f>
        <v>https://shopee.co.id/CLINNELE-PureSwiss-Hydracalm-Serum-20-ml-Face-Serum-Wajah-i.173963911.2814446537</v>
      </c>
      <c r="C870" s="8" t="s">
        <v>1456</v>
      </c>
      <c r="D870" s="8" t="s">
        <v>1457</v>
      </c>
      <c r="E870" s="8" t="s">
        <v>12</v>
      </c>
      <c r="F870" s="8" t="s">
        <v>13</v>
      </c>
      <c r="G870" s="8" t="s">
        <v>21</v>
      </c>
      <c r="H870" s="16">
        <v>37.0</v>
      </c>
      <c r="I870" s="15" t="str">
        <f>SUBSTITUTE(Sheet1!K870, "Rp", "")</f>
        <v>4045500</v>
      </c>
    </row>
    <row r="871">
      <c r="A871" s="8" t="s">
        <v>1844</v>
      </c>
      <c r="B871" s="13" t="str">
        <f>HYPERLINK("https://shopee.co.id/Garnier-Light-Complete-Booster-Serum-15ml-Micellar-Oil-400ml-Untuk-Kulit-Cerah-Bebas-Makeup--i.62583853.9814775418", "https://shopee.co.id/Garnier-Light-Complete-Booster-Serum-15ml-Micellar-Oil-400ml-Untuk-Kulit-Cerah-Bebas-Makeup--i.62583853.9814775418")</f>
        <v>https://shopee.co.id/Garnier-Light-Complete-Booster-Serum-15ml-Micellar-Oil-400ml-Untuk-Kulit-Cerah-Bebas-Makeup--i.62583853.9814775418</v>
      </c>
      <c r="C871" s="8" t="s">
        <v>74</v>
      </c>
      <c r="D871" s="8" t="s">
        <v>75</v>
      </c>
      <c r="E871" s="8" t="s">
        <v>12</v>
      </c>
      <c r="F871" s="8" t="s">
        <v>13</v>
      </c>
      <c r="G871" s="8" t="s">
        <v>61</v>
      </c>
      <c r="H871" s="16">
        <v>37.0</v>
      </c>
      <c r="I871" s="15" t="str">
        <f>SUBSTITUTE(Sheet1!K871, "Rp", "")</f>
        <v>4420600</v>
      </c>
    </row>
    <row r="872">
      <c r="A872" s="8" t="s">
        <v>2295</v>
      </c>
      <c r="B872" s="13" t="str">
        <f>HYPERLINK("https://shopee.co.id/Probeauty-Serum-Acne-Plus-Serum-Whitening-Acne-Untuk-Memutihkan-Bekas-Noda-Jerawat-i.9171679.7415475930", "https://shopee.co.id/Probeauty-Serum-Acne-Plus-Serum-Whitening-Acne-Untuk-Memutihkan-Bekas-Noda-Jerawat-i.9171679.7415475930")</f>
        <v>https://shopee.co.id/Probeauty-Serum-Acne-Plus-Serum-Whitening-Acne-Untuk-Memutihkan-Bekas-Noda-Jerawat-i.9171679.7415475930</v>
      </c>
      <c r="C872" s="8" t="s">
        <v>2207</v>
      </c>
      <c r="D872" s="8" t="s">
        <v>2208</v>
      </c>
      <c r="E872" s="8" t="s">
        <v>12</v>
      </c>
      <c r="F872" s="8" t="s">
        <v>13</v>
      </c>
      <c r="G872" s="8" t="s">
        <v>2209</v>
      </c>
      <c r="H872" s="16">
        <v>37.0</v>
      </c>
      <c r="I872" s="15" t="str">
        <f>SUBSTITUTE(Sheet1!K872, "Rp", "")</f>
        <v>2301360</v>
      </c>
    </row>
    <row r="873">
      <c r="A873" s="8" t="s">
        <v>2299</v>
      </c>
      <c r="B873" s="13" t="str">
        <f>HYPERLINK("https://shopee.co.id/Safi-Age-Defy-Gold-Water-Essence-30ml-i.30736001.2784900459", "https://shopee.co.id/Safi-Age-Defy-Gold-Water-Essence-30ml-i.30736001.2784900459")</f>
        <v>https://shopee.co.id/Safi-Age-Defy-Gold-Water-Essence-30ml-i.30736001.2784900459</v>
      </c>
      <c r="C873" s="8" t="s">
        <v>278</v>
      </c>
      <c r="D873" s="8" t="s">
        <v>335</v>
      </c>
      <c r="E873" s="8" t="s">
        <v>12</v>
      </c>
      <c r="F873" s="8" t="s">
        <v>13</v>
      </c>
      <c r="G873" s="8" t="s">
        <v>36</v>
      </c>
      <c r="H873" s="16">
        <v>37.0</v>
      </c>
      <c r="I873" s="15" t="str">
        <f>SUBSTITUTE(Sheet1!K873, "Rp", "")</f>
        <v>2290300</v>
      </c>
    </row>
    <row r="874">
      <c r="A874" s="8" t="s">
        <v>1704</v>
      </c>
      <c r="B874" s="13" t="str">
        <f>HYPERLINK("https://shopee.co.id/Safi-White-Expert-Ultimate-Essence-20ml-Twinpack-Special-i.63823668.8638764361", "https://shopee.co.id/Safi-White-Expert-Ultimate-Essence-20ml-Twinpack-Special-i.63823668.8638764361")</f>
        <v>https://shopee.co.id/Safi-White-Expert-Ultimate-Essence-20ml-Twinpack-Special-i.63823668.8638764361</v>
      </c>
      <c r="C874" s="8" t="s">
        <v>278</v>
      </c>
      <c r="D874" s="8" t="s">
        <v>279</v>
      </c>
      <c r="E874" s="8" t="s">
        <v>12</v>
      </c>
      <c r="F874" s="8" t="s">
        <v>13</v>
      </c>
      <c r="G874" s="8" t="s">
        <v>61</v>
      </c>
      <c r="H874" s="16">
        <v>37.0</v>
      </c>
      <c r="I874" s="15" t="str">
        <f>SUBSTITUTE(Sheet1!K874, "Rp", "")</f>
        <v>5385000</v>
      </c>
    </row>
    <row r="875">
      <c r="A875" s="8" t="s">
        <v>2291</v>
      </c>
      <c r="B875" s="13" t="str">
        <f>HYPERLINK("https://shopee.co.id/Skin-Aqua-Tone-Up-UV-Essence-Sunscreen-SPF-50-40-gr-i.65323877.10919054821", "https://shopee.co.id/Skin-Aqua-Tone-Up-UV-Essence-Sunscreen-SPF-50-40-gr-i.65323877.10919054821")</f>
        <v>https://shopee.co.id/Skin-Aqua-Tone-Up-UV-Essence-Sunscreen-SPF-50-40-gr-i.65323877.10919054821</v>
      </c>
      <c r="C875" s="8" t="s">
        <v>830</v>
      </c>
      <c r="D875" s="8" t="s">
        <v>1600</v>
      </c>
      <c r="E875" s="8" t="s">
        <v>12</v>
      </c>
      <c r="F875" s="8" t="s">
        <v>13</v>
      </c>
      <c r="G875" s="8" t="s">
        <v>296</v>
      </c>
      <c r="H875" s="16">
        <v>37.0</v>
      </c>
      <c r="I875" s="15" t="str">
        <f>SUBSTITUTE(Sheet1!K875, "Rp", "")</f>
        <v>2316200</v>
      </c>
    </row>
    <row r="876">
      <c r="A876" s="8" t="s">
        <v>998</v>
      </c>
      <c r="B876" s="13" t="str">
        <f>HYPERLINK("https://shopee.co.id/Votre-Peau-Skin-Care-Bright-Glow-Package-i.46300234.6966251877", "https://shopee.co.id/Votre-Peau-Skin-Care-Bright-Glow-Package-i.46300234.6966251877")</f>
        <v>https://shopee.co.id/Votre-Peau-Skin-Care-Bright-Glow-Package-i.46300234.6966251877</v>
      </c>
      <c r="C876" s="8" t="s">
        <v>999</v>
      </c>
      <c r="D876" s="8" t="s">
        <v>472</v>
      </c>
      <c r="E876" s="8" t="s">
        <v>12</v>
      </c>
      <c r="F876" s="8" t="s">
        <v>13</v>
      </c>
      <c r="G876" s="8" t="s">
        <v>98</v>
      </c>
      <c r="H876" s="16">
        <v>37.0</v>
      </c>
      <c r="I876" s="15" t="str">
        <f>SUBSTITUTE(Sheet1!K876, "Rp", "")</f>
        <v>19350800</v>
      </c>
    </row>
    <row r="877">
      <c r="A877" s="8" t="s">
        <v>1160</v>
      </c>
      <c r="B877" s="13" t="str">
        <f>HYPERLINK("https://shopee.co.id/-Bundle-Olay-White-Radiance-Essence-30-ml-Retinol-Serum-30-ml-i.11487927.8715829910", "https://shopee.co.id/-Bundle-Olay-White-Radiance-Essence-30-ml-Retinol-Serum-30-ml-i.11487927.8715829910")</f>
        <v>https://shopee.co.id/-Bundle-Olay-White-Radiance-Essence-30-ml-Retinol-Serum-30-ml-i.11487927.8715829910</v>
      </c>
      <c r="C877" s="8" t="s">
        <v>317</v>
      </c>
      <c r="D877" s="8" t="s">
        <v>318</v>
      </c>
      <c r="E877" s="8" t="s">
        <v>12</v>
      </c>
      <c r="F877" s="8" t="s">
        <v>13</v>
      </c>
      <c r="G877" s="8" t="s">
        <v>296</v>
      </c>
      <c r="H877" s="16">
        <v>36.0</v>
      </c>
      <c r="I877" s="15" t="str">
        <f>SUBSTITUTE(Sheet1!K877, "Rp", "")</f>
        <v>13756200</v>
      </c>
    </row>
    <row r="878">
      <c r="A878" s="8" t="s">
        <v>1683</v>
      </c>
      <c r="B878" s="13" t="str">
        <f>HYPERLINK("https://shopee.co.id/Airnderm-Aesthetic-Premium-Vitamin-C-Serum-by-AIRIN-BEAUTY--i.112372548.2781872951", "https://shopee.co.id/Airnderm-Aesthetic-Premium-Vitamin-C-Serum-by-AIRIN-BEAUTY--i.112372548.2781872951")</f>
        <v>https://shopee.co.id/Airnderm-Aesthetic-Premium-Vitamin-C-Serum-by-AIRIN-BEAUTY--i.112372548.2781872951</v>
      </c>
      <c r="C878" s="8" t="s">
        <v>239</v>
      </c>
      <c r="D878" s="8" t="s">
        <v>240</v>
      </c>
      <c r="E878" s="8" t="s">
        <v>12</v>
      </c>
      <c r="F878" s="8" t="s">
        <v>13</v>
      </c>
      <c r="G878" s="8" t="s">
        <v>241</v>
      </c>
      <c r="H878" s="16">
        <v>36.0</v>
      </c>
      <c r="I878" s="15" t="str">
        <f>SUBSTITUTE(Sheet1!K878, "Rp", "")</f>
        <v>5584800</v>
      </c>
    </row>
    <row r="879">
      <c r="A879" s="8" t="s">
        <v>1803</v>
      </c>
      <c r="B879" s="13" t="str">
        <f>HYPERLINK("https://shopee.co.id/DERMALUZ-Lucem-Smothees-Power-Serum-with-Galactomyces-i.43690338.3169811722", "https://shopee.co.id/DERMALUZ-Lucem-Smothees-Power-Serum-with-Galactomyces-i.43690338.3169811722")</f>
        <v>https://shopee.co.id/DERMALUZ-Lucem-Smothees-Power-Serum-with-Galactomyces-i.43690338.3169811722</v>
      </c>
      <c r="C879" s="8" t="s">
        <v>1064</v>
      </c>
      <c r="D879" s="8" t="s">
        <v>1065</v>
      </c>
      <c r="E879" s="8" t="s">
        <v>12</v>
      </c>
      <c r="F879" s="8" t="s">
        <v>13</v>
      </c>
      <c r="G879" s="8" t="s">
        <v>241</v>
      </c>
      <c r="H879" s="16">
        <v>36.0</v>
      </c>
      <c r="I879" s="15" t="str">
        <f>SUBSTITUTE(Sheet1!K879, "Rp", "")</f>
        <v>4654500</v>
      </c>
    </row>
    <row r="880">
      <c r="A880" s="8" t="s">
        <v>1444</v>
      </c>
      <c r="B880" s="13" t="str">
        <f>HYPERLINK("https://shopee.co.id/Glowlabs-Glo-C-Serum-Peptide-Moist-Brightening-Vitamin-C-Acne-Prone-Friendly-Skincare--i.336869851.3370881375", "https://shopee.co.id/Glowlabs-Glo-C-Serum-Peptide-Moist-Brightening-Vitamin-C-Acne-Prone-Friendly-Skincare--i.336869851.3370881375")</f>
        <v>https://shopee.co.id/Glowlabs-Glo-C-Serum-Peptide-Moist-Brightening-Vitamin-C-Acne-Prone-Friendly-Skincare--i.336869851.3370881375</v>
      </c>
      <c r="C880" s="8" t="s">
        <v>407</v>
      </c>
      <c r="D880" s="8" t="s">
        <v>408</v>
      </c>
      <c r="E880" s="8" t="s">
        <v>12</v>
      </c>
      <c r="F880" s="8" t="s">
        <v>13</v>
      </c>
      <c r="G880" s="8" t="s">
        <v>409</v>
      </c>
      <c r="H880" s="16">
        <v>36.0</v>
      </c>
      <c r="I880" s="15" t="str">
        <f>SUBSTITUTE(Sheet1!K880, "Rp", "")</f>
        <v>8295684</v>
      </c>
    </row>
    <row r="881">
      <c r="A881" s="8" t="s">
        <v>3498</v>
      </c>
      <c r="B881" s="13" t="str">
        <f>HYPERLINK("https://shopee.co.id/ISOI-Blemish-Care-Tonic-Essence-8ml-i.240712269.9714804291", "https://shopee.co.id/ISOI-Blemish-Care-Tonic-Essence-8ml-i.240712269.9714804291")</f>
        <v>https://shopee.co.id/ISOI-Blemish-Care-Tonic-Essence-8ml-i.240712269.9714804291</v>
      </c>
      <c r="C881" s="8" t="s">
        <v>3499</v>
      </c>
      <c r="D881" s="8" t="s">
        <v>762</v>
      </c>
      <c r="E881" s="8" t="s">
        <v>12</v>
      </c>
      <c r="F881" s="8" t="s">
        <v>13</v>
      </c>
      <c r="G881" s="8" t="s">
        <v>98</v>
      </c>
      <c r="H881" s="16">
        <v>36.0</v>
      </c>
      <c r="I881" s="15" t="str">
        <f>SUBSTITUTE(Sheet1!K881, "Rp", "")</f>
        <v>286300</v>
      </c>
    </row>
    <row r="882">
      <c r="A882" s="8" t="s">
        <v>1173</v>
      </c>
      <c r="B882" s="13" t="str">
        <f>HYPERLINK("https://shopee.co.id/Laneige-White-Dew-Skin-Refiner-120ml-i.52917348.8234178451", "https://shopee.co.id/Laneige-White-Dew-Skin-Refiner-120ml-i.52917348.8234178451")</f>
        <v>https://shopee.co.id/Laneige-White-Dew-Skin-Refiner-120ml-i.52917348.8234178451</v>
      </c>
      <c r="C882" s="8" t="s">
        <v>1174</v>
      </c>
      <c r="D882" s="8" t="s">
        <v>365</v>
      </c>
      <c r="E882" s="8" t="s">
        <v>12</v>
      </c>
      <c r="F882" s="8" t="s">
        <v>13</v>
      </c>
      <c r="G882" s="8" t="s">
        <v>61</v>
      </c>
      <c r="H882" s="16">
        <v>36.0</v>
      </c>
      <c r="I882" s="15" t="str">
        <f>SUBSTITUTE(Sheet1!K882, "Rp", "")</f>
        <v>13493000</v>
      </c>
    </row>
    <row r="883">
      <c r="A883" s="8" t="s">
        <v>1655</v>
      </c>
      <c r="B883" s="13" t="str">
        <f>HYPERLINK("https://shopee.co.id/Nacific-Phyto-Niacin-Whitening-Essence-50ml-i.270965687.6337716678", "https://shopee.co.id/Nacific-Phyto-Niacin-Whitening-Essence-50ml-i.270965687.6337716678")</f>
        <v>https://shopee.co.id/Nacific-Phyto-Niacin-Whitening-Essence-50ml-i.270965687.6337716678</v>
      </c>
      <c r="C883" s="8" t="s">
        <v>344</v>
      </c>
      <c r="D883" s="8" t="s">
        <v>379</v>
      </c>
      <c r="E883" s="8" t="s">
        <v>12</v>
      </c>
      <c r="F883" s="8" t="s">
        <v>13</v>
      </c>
      <c r="G883" s="8" t="s">
        <v>380</v>
      </c>
      <c r="H883" s="16">
        <v>36.0</v>
      </c>
      <c r="I883" s="15" t="str">
        <f>SUBSTITUTE(Sheet1!K883, "Rp", "")</f>
        <v>5810000</v>
      </c>
    </row>
    <row r="884">
      <c r="A884" s="8" t="s">
        <v>2015</v>
      </c>
      <c r="B884" s="13" t="str">
        <f>HYPERLINK("https://shopee.co.id/SECA-HYALURONIC-ACID-Solution-3-Serum-i.373749700.8472913138", "https://shopee.co.id/SECA-HYALURONIC-ACID-Solution-3-Serum-i.373749700.8472913138")</f>
        <v>https://shopee.co.id/SECA-HYALURONIC-ACID-Solution-3-Serum-i.373749700.8472913138</v>
      </c>
      <c r="C884" s="8" t="s">
        <v>985</v>
      </c>
      <c r="D884" s="8" t="s">
        <v>986</v>
      </c>
      <c r="E884" s="8" t="s">
        <v>12</v>
      </c>
      <c r="F884" s="8" t="s">
        <v>13</v>
      </c>
      <c r="G884" s="8" t="s">
        <v>36</v>
      </c>
      <c r="H884" s="16">
        <v>36.0</v>
      </c>
      <c r="I884" s="15" t="str">
        <f>SUBSTITUTE(Sheet1!K884, "Rp", "")</f>
        <v>3405600</v>
      </c>
    </row>
    <row r="885">
      <c r="A885" s="8" t="s">
        <v>2303</v>
      </c>
      <c r="B885" s="13" t="str">
        <f>HYPERLINK("https://shopee.co.id/5-Niacinamide-Greentea-Skinbright-Serum-i.19578272.3290330390", "https://shopee.co.id/5-Niacinamide-Greentea-Skinbright-Serum-i.19578272.3290330390")</f>
        <v>https://shopee.co.id/5-Niacinamide-Greentea-Skinbright-Serum-i.19578272.3290330390</v>
      </c>
      <c r="C885" s="8" t="s">
        <v>1300</v>
      </c>
      <c r="D885" s="8" t="s">
        <v>1301</v>
      </c>
      <c r="E885" s="8" t="s">
        <v>12</v>
      </c>
      <c r="F885" s="8" t="s">
        <v>13</v>
      </c>
      <c r="G885" s="8" t="s">
        <v>98</v>
      </c>
      <c r="H885" s="16">
        <v>35.0</v>
      </c>
      <c r="I885" s="15" t="str">
        <f>SUBSTITUTE(Sheet1!K885, "Rp", "")</f>
        <v>2275000</v>
      </c>
    </row>
    <row r="886">
      <c r="A886" s="8" t="s">
        <v>1370</v>
      </c>
      <c r="B886" s="13" t="str">
        <f>HYPERLINK("https://shopee.co.id/Avoskin-Perfect-Hydrating-Treatment-Essence-100-Ml-Menjaga-Kesegaran-Dan-Kelembapan-Kulit-i.50972887.7357760474", "https://shopee.co.id/Avoskin-Perfect-Hydrating-Treatment-Essence-100-Ml-Menjaga-Kesegaran-Dan-Kelembapan-Kulit-i.50972887.7357760474")</f>
        <v>https://shopee.co.id/Avoskin-Perfect-Hydrating-Treatment-Essence-100-Ml-Menjaga-Kesegaran-Dan-Kelembapan-Kulit-i.50972887.7357760474</v>
      </c>
      <c r="C886" s="8" t="s">
        <v>83</v>
      </c>
      <c r="D886" s="8" t="s">
        <v>552</v>
      </c>
      <c r="E886" s="8" t="s">
        <v>12</v>
      </c>
      <c r="F886" s="8" t="s">
        <v>13</v>
      </c>
      <c r="G886" s="8" t="s">
        <v>61</v>
      </c>
      <c r="H886" s="16">
        <v>35.0</v>
      </c>
      <c r="I886" s="15" t="str">
        <f>SUBSTITUTE(Sheet1!K886, "Rp", "")</f>
        <v>9489525</v>
      </c>
    </row>
    <row r="887">
      <c r="A887" s="8" t="s">
        <v>1768</v>
      </c>
      <c r="B887" s="13" t="str">
        <f>HYPERLINK("https://shopee.co.id/Avoskin-Your-Skin-Bae-Niacinamide-12-Centella-Asiatica-30ml-i.825870.9563515980", "https://shopee.co.id/Avoskin-Your-Skin-Bae-Niacinamide-12-Centella-Asiatica-30ml-i.825870.9563515980")</f>
        <v>https://shopee.co.id/Avoskin-Your-Skin-Bae-Niacinamide-12-Centella-Asiatica-30ml-i.825870.9563515980</v>
      </c>
      <c r="C887" s="8" t="s">
        <v>83</v>
      </c>
      <c r="D887" s="8" t="s">
        <v>1184</v>
      </c>
      <c r="E887" s="8" t="s">
        <v>12</v>
      </c>
      <c r="F887" s="8" t="s">
        <v>13</v>
      </c>
      <c r="G887" s="8" t="s">
        <v>21</v>
      </c>
      <c r="H887" s="16">
        <v>35.0</v>
      </c>
      <c r="I887" s="15" t="str">
        <f>SUBSTITUTE(Sheet1!K887, "Rp", "")</f>
        <v>4865000</v>
      </c>
    </row>
    <row r="888">
      <c r="A888" s="8" t="s">
        <v>3043</v>
      </c>
      <c r="B888" s="13" t="str">
        <f>HYPERLINK("https://shopee.co.id/AZARINE-EASY-WHITE-HERBAL-MOISTURIZER-SERUM-20-ml-i.110573301.4985908097", "https://shopee.co.id/AZARINE-EASY-WHITE-HERBAL-MOISTURIZER-SERUM-20-ml-i.110573301.4985908097")</f>
        <v>https://shopee.co.id/AZARINE-EASY-WHITE-HERBAL-MOISTURIZER-SERUM-20-ml-i.110573301.4985908097</v>
      </c>
      <c r="C888" s="8" t="s">
        <v>233</v>
      </c>
      <c r="D888" s="8" t="s">
        <v>227</v>
      </c>
      <c r="E888" s="8" t="s">
        <v>12</v>
      </c>
      <c r="F888" s="8" t="s">
        <v>13</v>
      </c>
      <c r="G888" s="8" t="s">
        <v>61</v>
      </c>
      <c r="H888" s="16">
        <v>35.0</v>
      </c>
      <c r="I888" s="15" t="str">
        <f>SUBSTITUTE(Sheet1!K888, "Rp", "")</f>
        <v>683200</v>
      </c>
    </row>
    <row r="889">
      <c r="A889" s="8" t="s">
        <v>2618</v>
      </c>
      <c r="B889" s="13" t="str">
        <f>HYPERLINK("https://shopee.co.id/Azarine-Eyeluminate-Firming-Serum-15ml-C-White-i.110573301.7785896419", "https://shopee.co.id/Azarine-Eyeluminate-Firming-Serum-15ml-C-White-i.110573301.7785896419")</f>
        <v>https://shopee.co.id/Azarine-Eyeluminate-Firming-Serum-15ml-C-White-i.110573301.7785896419</v>
      </c>
      <c r="C889" s="8" t="s">
        <v>233</v>
      </c>
      <c r="D889" s="8" t="s">
        <v>227</v>
      </c>
      <c r="E889" s="8" t="s">
        <v>12</v>
      </c>
      <c r="F889" s="8" t="s">
        <v>13</v>
      </c>
      <c r="G889" s="8" t="s">
        <v>61</v>
      </c>
      <c r="H889" s="16">
        <v>35.0</v>
      </c>
      <c r="I889" s="15" t="str">
        <f>SUBSTITUTE(Sheet1!K889, "Rp", "")</f>
        <v>1396500</v>
      </c>
    </row>
    <row r="890">
      <c r="A890" s="8" t="s">
        <v>1787</v>
      </c>
      <c r="B890" s="13" t="str">
        <f>HYPERLINK("https://shopee.co.id/BREYLEE-Cleaning-Acne-Treatment-Serum-Set-3-pcs--i.324706771.9867511969", "https://shopee.co.id/BREYLEE-Cleaning-Acne-Treatment-Serum-Set-3-pcs--i.324706771.9867511969")</f>
        <v>https://shopee.co.id/BREYLEE-Cleaning-Acne-Treatment-Serum-Set-3-pcs--i.324706771.9867511969</v>
      </c>
      <c r="C890" s="8" t="s">
        <v>852</v>
      </c>
      <c r="D890" s="8" t="s">
        <v>853</v>
      </c>
      <c r="E890" s="8" t="s">
        <v>12</v>
      </c>
      <c r="F890" s="8" t="s">
        <v>13</v>
      </c>
      <c r="G890" s="8" t="s">
        <v>532</v>
      </c>
      <c r="H890" s="16">
        <v>35.0</v>
      </c>
      <c r="I890" s="15" t="str">
        <f>SUBSTITUTE(Sheet1!K890, "Rp", "")</f>
        <v>4780200</v>
      </c>
    </row>
    <row r="891">
      <c r="A891" s="8" t="s">
        <v>1785</v>
      </c>
      <c r="B891" s="13" t="str">
        <f>HYPERLINK("https://shopee.co.id/KF-Skin-Serum-Silky-i.298365554.4652071583", "https://shopee.co.id/KF-Skin-Serum-Silky-i.298365554.4652071583")</f>
        <v>https://shopee.co.id/KF-Skin-Serum-Silky-i.298365554.4652071583</v>
      </c>
      <c r="C891" s="8" t="s">
        <v>1290</v>
      </c>
      <c r="D891" s="8" t="s">
        <v>1291</v>
      </c>
      <c r="E891" s="8" t="s">
        <v>12</v>
      </c>
      <c r="F891" s="8" t="s">
        <v>13</v>
      </c>
      <c r="G891" s="8" t="s">
        <v>1292</v>
      </c>
      <c r="H891" s="16">
        <v>35.0</v>
      </c>
      <c r="I891" s="15" t="str">
        <f>SUBSTITUTE(Sheet1!K891, "Rp", "")</f>
        <v>4800000</v>
      </c>
    </row>
    <row r="892">
      <c r="A892" s="8" t="s">
        <v>970</v>
      </c>
      <c r="B892" s="13" t="str">
        <f>HYPERLINK("https://shopee.co.id/Laneige-Water-Bank-Hydro-Essence-70ml-OL21--i.52917348.7717272150", "https://shopee.co.id/Laneige-Water-Bank-Hydro-Essence-70ml-OL21--i.52917348.7717272150")</f>
        <v>https://shopee.co.id/Laneige-Water-Bank-Hydro-Essence-70ml-OL21--i.52917348.7717272150</v>
      </c>
      <c r="C892" s="8" t="s">
        <v>364</v>
      </c>
      <c r="D892" s="8" t="s">
        <v>365</v>
      </c>
      <c r="E892" s="8" t="s">
        <v>12</v>
      </c>
      <c r="F892" s="8" t="s">
        <v>13</v>
      </c>
      <c r="G892" s="8" t="s">
        <v>61</v>
      </c>
      <c r="H892" s="16">
        <v>35.0</v>
      </c>
      <c r="I892" s="15" t="str">
        <f>SUBSTITUTE(Sheet1!K892, "Rp", "")</f>
        <v>20214000</v>
      </c>
    </row>
    <row r="893">
      <c r="A893" s="8" t="s">
        <v>1938</v>
      </c>
      <c r="B893" s="13" t="str">
        <f>HYPERLINK("https://shopee.co.id/Mineral-Botanica-Glo-It-Up-Peptide-Serum-i.124549994.3260146963", "https://shopee.co.id/Mineral-Botanica-Glo-It-Up-Peptide-Serum-i.124549994.3260146963")</f>
        <v>https://shopee.co.id/Mineral-Botanica-Glo-It-Up-Peptide-Serum-i.124549994.3260146963</v>
      </c>
      <c r="C893" s="8" t="s">
        <v>807</v>
      </c>
      <c r="D893" s="8" t="s">
        <v>808</v>
      </c>
      <c r="E893" s="8" t="s">
        <v>12</v>
      </c>
      <c r="F893" s="8" t="s">
        <v>13</v>
      </c>
      <c r="G893" s="8" t="s">
        <v>80</v>
      </c>
      <c r="H893" s="16">
        <v>35.0</v>
      </c>
      <c r="I893" s="15" t="str">
        <f>SUBSTITUTE(Sheet1!K893, "Rp", "")</f>
        <v>3775000</v>
      </c>
    </row>
    <row r="894">
      <c r="A894" s="8" t="s">
        <v>1961</v>
      </c>
      <c r="B894" s="13" t="str">
        <f>HYPERLINK("https://shopee.co.id/Mirelle-Acne-Serum-Acne-Series--i.303332419.5157370625", "https://shopee.co.id/Mirelle-Acne-Serum-Acne-Series--i.303332419.5157370625")</f>
        <v>https://shopee.co.id/Mirelle-Acne-Serum-Acne-Series--i.303332419.5157370625</v>
      </c>
      <c r="C894" s="8" t="s">
        <v>1478</v>
      </c>
      <c r="D894" s="8" t="s">
        <v>1479</v>
      </c>
      <c r="E894" s="8" t="s">
        <v>12</v>
      </c>
      <c r="F894" s="8" t="s">
        <v>13</v>
      </c>
      <c r="G894" s="8" t="s">
        <v>1480</v>
      </c>
      <c r="H894" s="16">
        <v>35.0</v>
      </c>
      <c r="I894" s="15" t="str">
        <f>SUBSTITUTE(Sheet1!K894, "Rp", "")</f>
        <v>3675000</v>
      </c>
    </row>
    <row r="895">
      <c r="A895" s="8" t="s">
        <v>2035</v>
      </c>
      <c r="B895" s="13" t="str">
        <f>HYPERLINK("https://shopee.co.id/Nox-Coffee-Serum-i.34867453.800871161", "https://shopee.co.id/Nox-Coffee-Serum-i.34867453.800871161")</f>
        <v>https://shopee.co.id/Nox-Coffee-Serum-i.34867453.800871161</v>
      </c>
      <c r="C895" s="8" t="s">
        <v>2036</v>
      </c>
      <c r="D895" s="8" t="s">
        <v>2037</v>
      </c>
      <c r="E895" s="8" t="s">
        <v>12</v>
      </c>
      <c r="F895" s="8" t="s">
        <v>13</v>
      </c>
      <c r="G895" s="8" t="s">
        <v>85</v>
      </c>
      <c r="H895" s="16">
        <v>35.0</v>
      </c>
      <c r="I895" s="15" t="str">
        <f>SUBSTITUTE(Sheet1!K895, "Rp", "")</f>
        <v>3339000</v>
      </c>
    </row>
    <row r="896">
      <c r="A896" s="8" t="s">
        <v>2004</v>
      </c>
      <c r="B896" s="13" t="str">
        <f>HYPERLINK("https://shopee.co.id/PROMO-Seger-Snow-Serum-Moisturizing-2pcs-Seger-Snow-Anti-anging-1pcs-GRATIS-Totebag-i.221165466.6368888316", "https://shopee.co.id/PROMO-Seger-Snow-Serum-Moisturizing-2pcs-Seger-Snow-Anti-anging-1pcs-GRATIS-Totebag-i.221165466.6368888316")</f>
        <v>https://shopee.co.id/PROMO-Seger-Snow-Serum-Moisturizing-2pcs-Seger-Snow-Anti-anging-1pcs-GRATIS-Totebag-i.221165466.6368888316</v>
      </c>
      <c r="C896" s="8" t="s">
        <v>2005</v>
      </c>
      <c r="D896" s="8" t="s">
        <v>2006</v>
      </c>
      <c r="E896" s="8" t="s">
        <v>12</v>
      </c>
      <c r="F896" s="8" t="s">
        <v>13</v>
      </c>
      <c r="G896" s="8" t="s">
        <v>241</v>
      </c>
      <c r="H896" s="16">
        <v>35.0</v>
      </c>
      <c r="I896" s="15" t="str">
        <f>SUBSTITUTE(Sheet1!K896, "Rp", "")</f>
        <v>3465000</v>
      </c>
    </row>
    <row r="897">
      <c r="A897" s="8" t="s">
        <v>1540</v>
      </c>
      <c r="B897" s="13" t="str">
        <f>HYPERLINK("https://shopee.co.id/Purivera-Double-Combo-Skin-Repair-Package-Tamanu-Bakuchiol-1-Ceramide-3-Sea-Buckthorn-i.43724442.9051724693", "https://shopee.co.id/Purivera-Double-Combo-Skin-Repair-Package-Tamanu-Bakuchiol-1-Ceramide-3-Sea-Buckthorn-i.43724442.9051724693")</f>
        <v>https://shopee.co.id/Purivera-Double-Combo-Skin-Repair-Package-Tamanu-Bakuchiol-1-Ceramide-3-Sea-Buckthorn-i.43724442.9051724693</v>
      </c>
      <c r="C897" s="8" t="s">
        <v>940</v>
      </c>
      <c r="D897" s="8" t="s">
        <v>429</v>
      </c>
      <c r="E897" s="8" t="s">
        <v>12</v>
      </c>
      <c r="F897" s="8" t="s">
        <v>13</v>
      </c>
      <c r="G897" s="8" t="s">
        <v>61</v>
      </c>
      <c r="H897" s="16">
        <v>35.0</v>
      </c>
      <c r="I897" s="15" t="str">
        <f>SUBSTITUTE(Sheet1!K897, "Rp", "")</f>
        <v>7185850</v>
      </c>
    </row>
    <row r="898">
      <c r="A898" s="8" t="s">
        <v>1316</v>
      </c>
      <c r="B898" s="13" t="str">
        <f>HYPERLINK("https://shopee.co.id/PURIVERA-MYSTERY-BOX-Special-Package-for-Puriteams-in-SAVETEMBER-CERIA-i.43724442.10846536499", "https://shopee.co.id/PURIVERA-MYSTERY-BOX-Special-Package-for-Puriteams-in-SAVETEMBER-CERIA-i.43724442.10846536499")</f>
        <v>https://shopee.co.id/PURIVERA-MYSTERY-BOX-Special-Package-for-Puriteams-in-SAVETEMBER-CERIA-i.43724442.10846536499</v>
      </c>
      <c r="C898" s="8" t="s">
        <v>428</v>
      </c>
      <c r="D898" s="8" t="s">
        <v>429</v>
      </c>
      <c r="E898" s="8" t="s">
        <v>12</v>
      </c>
      <c r="F898" s="8" t="s">
        <v>13</v>
      </c>
      <c r="G898" s="8" t="s">
        <v>61</v>
      </c>
      <c r="H898" s="16">
        <v>35.0</v>
      </c>
      <c r="I898" s="15" t="str">
        <f>SUBSTITUTE(Sheet1!K898, "Rp", "")</f>
        <v>10410000</v>
      </c>
    </row>
    <row r="899">
      <c r="A899" s="8" t="s">
        <v>2025</v>
      </c>
      <c r="B899" s="13" t="str">
        <f>HYPERLINK("https://shopee.co.id/SECA-AHA-10-Serum-i.373749700.8972894760", "https://shopee.co.id/SECA-AHA-10-Serum-i.373749700.8972894760")</f>
        <v>https://shopee.co.id/SECA-AHA-10-Serum-i.373749700.8972894760</v>
      </c>
      <c r="C899" s="8" t="s">
        <v>2026</v>
      </c>
      <c r="D899" s="8" t="s">
        <v>986</v>
      </c>
      <c r="E899" s="8" t="s">
        <v>12</v>
      </c>
      <c r="F899" s="8" t="s">
        <v>13</v>
      </c>
      <c r="G899" s="8" t="s">
        <v>36</v>
      </c>
      <c r="H899" s="16">
        <v>35.0</v>
      </c>
      <c r="I899" s="15" t="str">
        <f>SUBSTITUTE(Sheet1!K899, "Rp", "")</f>
        <v>3374300</v>
      </c>
    </row>
    <row r="900">
      <c r="A900" s="8" t="s">
        <v>2495</v>
      </c>
      <c r="B900" s="13" t="str">
        <f>HYPERLINK("https://shopee.co.id/Serum-Glowing-Seger-Snow-Moisturizing-Serum-Wajah-Pelembab-Hingga-8-Jam-15ml-i.221165466.3863913100", "https://shopee.co.id/Serum-Glowing-Seger-Snow-Moisturizing-Serum-Wajah-Pelembab-Hingga-8-Jam-15ml-i.221165466.3863913100")</f>
        <v>https://shopee.co.id/Serum-Glowing-Seger-Snow-Moisturizing-Serum-Wajah-Pelembab-Hingga-8-Jam-15ml-i.221165466.3863913100</v>
      </c>
      <c r="C900" s="8" t="s">
        <v>2005</v>
      </c>
      <c r="D900" s="8" t="s">
        <v>2006</v>
      </c>
      <c r="E900" s="8" t="s">
        <v>12</v>
      </c>
      <c r="F900" s="8" t="s">
        <v>13</v>
      </c>
      <c r="G900" s="8" t="s">
        <v>241</v>
      </c>
      <c r="H900" s="16">
        <v>35.0</v>
      </c>
      <c r="I900" s="15" t="str">
        <f>SUBSTITUTE(Sheet1!K900, "Rp", "")</f>
        <v>1715000</v>
      </c>
    </row>
    <row r="901">
      <c r="A901" s="8" t="s">
        <v>1660</v>
      </c>
      <c r="B901" s="13" t="str">
        <f>HYPERLINK("https://shopee.co.id/ZUZU-Brightening-Serum-i.400583963.4481452168", "https://shopee.co.id/ZUZU-Brightening-Serum-i.400583963.4481452168")</f>
        <v>https://shopee.co.id/ZUZU-Brightening-Serum-i.400583963.4481452168</v>
      </c>
      <c r="C901" s="8" t="s">
        <v>1661</v>
      </c>
      <c r="D901" s="8" t="s">
        <v>1662</v>
      </c>
      <c r="E901" s="8" t="s">
        <v>12</v>
      </c>
      <c r="F901" s="8" t="s">
        <v>13</v>
      </c>
      <c r="G901" s="8" t="s">
        <v>98</v>
      </c>
      <c r="H901" s="16">
        <v>35.0</v>
      </c>
      <c r="I901" s="15" t="str">
        <f>SUBSTITUTE(Sheet1!K901, "Rp", "")</f>
        <v>5801250</v>
      </c>
    </row>
    <row r="902">
      <c r="A902" s="8" t="s">
        <v>1212</v>
      </c>
      <c r="B902" s="13" t="str">
        <f>HYPERLINK("https://shopee.co.id/-innisfree-Jeju-Orchid-Enriched-Essence-50ML-Serum-Wajah-Perawatan-Wajah-i.61504589.2301981050", "https://shopee.co.id/-innisfree-Jeju-Orchid-Enriched-Essence-50ML-Serum-Wajah-Perawatan-Wajah-i.61504589.2301981050")</f>
        <v>https://shopee.co.id/-innisfree-Jeju-Orchid-Enriched-Essence-50ML-Serum-Wajah-Perawatan-Wajah-i.61504589.2301981050</v>
      </c>
      <c r="C902" s="8" t="s">
        <v>294</v>
      </c>
      <c r="D902" s="8" t="s">
        <v>295</v>
      </c>
      <c r="E902" s="8" t="s">
        <v>12</v>
      </c>
      <c r="F902" s="8" t="s">
        <v>13</v>
      </c>
      <c r="G902" s="8" t="s">
        <v>296</v>
      </c>
      <c r="H902" s="16">
        <v>34.0</v>
      </c>
      <c r="I902" s="15" t="str">
        <f>SUBSTITUTE(Sheet1!K902, "Rp", "")</f>
        <v>12717000</v>
      </c>
    </row>
    <row r="903">
      <c r="A903" s="8" t="s">
        <v>1053</v>
      </c>
      <c r="B903" s="13" t="str">
        <f>HYPERLINK("https://shopee.co.id/-innisfree-Soybean-Energy-Essence-EX-150ML-Serum-Wajah-Perawatan-Wajah-i.61504589.2262244601", "https://shopee.co.id/-innisfree-Soybean-Energy-Essence-EX-150ML-Serum-Wajah-Perawatan-Wajah-i.61504589.2262244601")</f>
        <v>https://shopee.co.id/-innisfree-Soybean-Energy-Essence-EX-150ML-Serum-Wajah-Perawatan-Wajah-i.61504589.2262244601</v>
      </c>
      <c r="C903" s="8" t="s">
        <v>294</v>
      </c>
      <c r="D903" s="8" t="s">
        <v>295</v>
      </c>
      <c r="E903" s="8" t="s">
        <v>12</v>
      </c>
      <c r="F903" s="8" t="s">
        <v>13</v>
      </c>
      <c r="G903" s="8" t="s">
        <v>296</v>
      </c>
      <c r="H903" s="16">
        <v>34.0</v>
      </c>
      <c r="I903" s="15" t="str">
        <f>SUBSTITUTE(Sheet1!K903, "Rp", "")</f>
        <v>16848000</v>
      </c>
    </row>
    <row r="904">
      <c r="A904" s="8" t="s">
        <v>1280</v>
      </c>
      <c r="B904" s="13" t="str">
        <f>HYPERLINK("https://shopee.co.id/-The-Face-Shop-Pomegranate-And-Collagen-Lifting-Serum-80ml-Original-i.34671748.7133470001", "https://shopee.co.id/-The-Face-Shop-Pomegranate-And-Collagen-Lifting-Serum-80ml-Original-i.34671748.7133470001")</f>
        <v>https://shopee.co.id/-The-Face-Shop-Pomegranate-And-Collagen-Lifting-Serum-80ml-Original-i.34671748.7133470001</v>
      </c>
      <c r="C904" s="8" t="s">
        <v>1217</v>
      </c>
      <c r="D904" s="8" t="s">
        <v>1218</v>
      </c>
      <c r="E904" s="8" t="s">
        <v>12</v>
      </c>
      <c r="F904" s="8" t="s">
        <v>13</v>
      </c>
      <c r="G904" s="8" t="s">
        <v>61</v>
      </c>
      <c r="H904" s="16">
        <v>34.0</v>
      </c>
      <c r="I904" s="15" t="str">
        <f>SUBSTITUTE(Sheet1!K904, "Rp", "")</f>
        <v>11092500</v>
      </c>
    </row>
    <row r="905">
      <c r="A905" s="8" t="s">
        <v>1911</v>
      </c>
      <c r="B905" s="13" t="str">
        <f>HYPERLINK("https://shopee.co.id/AKNEMA-BHA-HA-Serum-1-Acne-Solution-i.153170432.6710383917", "https://shopee.co.id/AKNEMA-BHA-HA-Serum-1-Acne-Solution-i.153170432.6710383917")</f>
        <v>https://shopee.co.id/AKNEMA-BHA-HA-Serum-1-Acne-Solution-i.153170432.6710383917</v>
      </c>
      <c r="C905" s="8" t="s">
        <v>1912</v>
      </c>
      <c r="D905" s="8" t="s">
        <v>1913</v>
      </c>
      <c r="E905" s="8" t="s">
        <v>12</v>
      </c>
      <c r="F905" s="8" t="s">
        <v>13</v>
      </c>
      <c r="G905" s="8" t="s">
        <v>130</v>
      </c>
      <c r="H905" s="16">
        <v>34.0</v>
      </c>
      <c r="I905" s="15" t="str">
        <f>SUBSTITUTE(Sheet1!K905, "Rp", "")</f>
        <v>3954990</v>
      </c>
    </row>
    <row r="906">
      <c r="A906" s="8" t="s">
        <v>1674</v>
      </c>
      <c r="B906" s="13" t="str">
        <f>HYPERLINK("https://shopee.co.id/Dear-Me-Beauty-10-Lactobionic-Acid-PHA-Lime-Extract-Face-Serum-32ml-i.45495764.9848394553", "https://shopee.co.id/Dear-Me-Beauty-10-Lactobionic-Acid-PHA-Lime-Extract-Face-Serum-32ml-i.45495764.9848394553")</f>
        <v>https://shopee.co.id/Dear-Me-Beauty-10-Lactobionic-Acid-PHA-Lime-Extract-Face-Serum-32ml-i.45495764.9848394553</v>
      </c>
      <c r="C906" s="8" t="s">
        <v>70</v>
      </c>
      <c r="D906" s="8" t="s">
        <v>71</v>
      </c>
      <c r="E906" s="8" t="s">
        <v>12</v>
      </c>
      <c r="F906" s="8" t="s">
        <v>13</v>
      </c>
      <c r="G906" s="8" t="s">
        <v>61</v>
      </c>
      <c r="H906" s="16">
        <v>34.0</v>
      </c>
      <c r="I906" s="15" t="str">
        <f>SUBSTITUTE(Sheet1!K906, "Rp", "")</f>
        <v>5729100</v>
      </c>
    </row>
    <row r="907">
      <c r="A907" s="8" t="s">
        <v>1846</v>
      </c>
      <c r="B907" s="13" t="str">
        <f>HYPERLINK("https://shopee.co.id/Glowmy-The-Ultimate-Centella-Acne-Serum-20ml--i.324394758.5686641616", "https://shopee.co.id/Glowmy-The-Ultimate-Centella-Acne-Serum-20ml--i.324394758.5686641616")</f>
        <v>https://shopee.co.id/Glowmy-The-Ultimate-Centella-Acne-Serum-20ml--i.324394758.5686641616</v>
      </c>
      <c r="C907" s="8" t="s">
        <v>1595</v>
      </c>
      <c r="D907" s="8" t="s">
        <v>1596</v>
      </c>
      <c r="E907" s="8" t="s">
        <v>12</v>
      </c>
      <c r="F907" s="8" t="s">
        <v>13</v>
      </c>
      <c r="G907" s="8" t="s">
        <v>21</v>
      </c>
      <c r="H907" s="16">
        <v>34.0</v>
      </c>
      <c r="I907" s="15" t="str">
        <f>SUBSTITUTE(Sheet1!K907, "Rp", "")</f>
        <v>4420000</v>
      </c>
    </row>
    <row r="908">
      <c r="A908" s="8" t="s">
        <v>2990</v>
      </c>
      <c r="B908" s="13" t="str">
        <f>HYPERLINK("https://shopee.co.id/Hanasui-Men-Bright-Active-Serum-20ml-i.277377659.9628331868", "https://shopee.co.id/Hanasui-Men-Bright-Active-Serum-20ml-i.277377659.9628331868")</f>
        <v>https://shopee.co.id/Hanasui-Men-Bright-Active-Serum-20ml-i.277377659.9628331868</v>
      </c>
      <c r="C908" s="8" t="s">
        <v>784</v>
      </c>
      <c r="D908" s="8" t="s">
        <v>2549</v>
      </c>
      <c r="E908" s="8" t="s">
        <v>12</v>
      </c>
      <c r="F908" s="8" t="s">
        <v>13</v>
      </c>
      <c r="G908" s="8" t="s">
        <v>532</v>
      </c>
      <c r="H908" s="16">
        <v>34.0</v>
      </c>
      <c r="I908" s="15" t="str">
        <f>SUBSTITUTE(Sheet1!K908, "Rp", "")</f>
        <v>764000</v>
      </c>
    </row>
    <row r="909">
      <c r="A909" s="8" t="s">
        <v>2044</v>
      </c>
      <c r="B909" s="13" t="str">
        <f>HYPERLINK("https://shopee.co.id/L-Oreal-Paris-Brightening-Crystal-Skin-Set-i.62579622.5178807942", "https://shopee.co.id/L-Oreal-Paris-Brightening-Crystal-Skin-Set-i.62579622.5178807942")</f>
        <v>https://shopee.co.id/L-Oreal-Paris-Brightening-Crystal-Skin-Set-i.62579622.5178807942</v>
      </c>
      <c r="C909" s="8" t="s">
        <v>105</v>
      </c>
      <c r="D909" s="8" t="s">
        <v>106</v>
      </c>
      <c r="E909" s="8" t="s">
        <v>12</v>
      </c>
      <c r="F909" s="8" t="s">
        <v>13</v>
      </c>
      <c r="G909" s="8" t="s">
        <v>61</v>
      </c>
      <c r="H909" s="16">
        <v>34.0</v>
      </c>
      <c r="I909" s="15" t="str">
        <f>SUBSTITUTE(Sheet1!K909, "Rp", "")</f>
        <v>3317400</v>
      </c>
    </row>
    <row r="910">
      <c r="A910" s="8" t="s">
        <v>1878</v>
      </c>
      <c r="B910" s="13" t="str">
        <f>HYPERLINK("https://shopee.co.id/Radi-Skin-Vitamin-C-Glow-Serum-i.147850476.2272941495", "https://shopee.co.id/Radi-Skin-Vitamin-C-Glow-Serum-i.147850476.2272941495")</f>
        <v>https://shopee.co.id/Radi-Skin-Vitamin-C-Glow-Serum-i.147850476.2272941495</v>
      </c>
      <c r="C910" s="8" t="s">
        <v>1879</v>
      </c>
      <c r="D910" s="8" t="s">
        <v>1880</v>
      </c>
      <c r="E910" s="8" t="s">
        <v>12</v>
      </c>
      <c r="F910" s="8" t="s">
        <v>13</v>
      </c>
      <c r="G910" s="8" t="s">
        <v>61</v>
      </c>
      <c r="H910" s="16">
        <v>34.0</v>
      </c>
      <c r="I910" s="15" t="str">
        <f>SUBSTITUTE(Sheet1!K910, "Rp", "")</f>
        <v>4190400</v>
      </c>
    </row>
    <row r="911">
      <c r="A911" s="8" t="s">
        <v>3078</v>
      </c>
      <c r="B911" s="13" t="str">
        <f>HYPERLINK("https://shopee.co.id/SOME-BY-MI-Yuja-Niacin-Blemish-Care-Serum-Mask-i.125116082.8664344068", "https://shopee.co.id/SOME-BY-MI-Yuja-Niacin-Blemish-Care-Serum-Mask-i.125116082.8664344068")</f>
        <v>https://shopee.co.id/SOME-BY-MI-Yuja-Niacin-Blemish-Care-Serum-Mask-i.125116082.8664344068</v>
      </c>
      <c r="C911" s="8" t="s">
        <v>213</v>
      </c>
      <c r="D911" s="8" t="s">
        <v>713</v>
      </c>
      <c r="E911" s="8" t="s">
        <v>12</v>
      </c>
      <c r="F911" s="8" t="s">
        <v>13</v>
      </c>
      <c r="G911" s="8" t="s">
        <v>61</v>
      </c>
      <c r="H911" s="16">
        <v>34.0</v>
      </c>
      <c r="I911" s="15" t="str">
        <f>SUBSTITUTE(Sheet1!K911, "Rp", "")</f>
        <v>647900</v>
      </c>
    </row>
    <row r="912">
      <c r="A912" s="8" t="s">
        <v>1516</v>
      </c>
      <c r="B912" s="13" t="str">
        <f>HYPERLINK("https://shopee.co.id/SOMETHINC-10-Niacinamide-Moisture-Sabi-Beet-Max-Brightening-Serum-40ml-i.30736001.2937486022", "https://shopee.co.id/SOMETHINC-10-Niacinamide-Moisture-Sabi-Beet-Max-Brightening-Serum-40ml-i.30736001.2937486022")</f>
        <v>https://shopee.co.id/SOMETHINC-10-Niacinamide-Moisture-Sabi-Beet-Max-Brightening-Serum-40ml-i.30736001.2937486022</v>
      </c>
      <c r="C912" s="8" t="s">
        <v>45</v>
      </c>
      <c r="D912" s="8" t="s">
        <v>335</v>
      </c>
      <c r="E912" s="8" t="s">
        <v>12</v>
      </c>
      <c r="F912" s="8" t="s">
        <v>13</v>
      </c>
      <c r="G912" s="8" t="s">
        <v>36</v>
      </c>
      <c r="H912" s="16">
        <v>34.0</v>
      </c>
      <c r="I912" s="15" t="str">
        <f>SUBSTITUTE(Sheet1!K912, "Rp", "")</f>
        <v>7442600</v>
      </c>
    </row>
    <row r="913">
      <c r="A913" s="8" t="s">
        <v>1448</v>
      </c>
      <c r="B913" s="13" t="str">
        <f>HYPERLINK("https://shopee.co.id/SOMETHINC-Age-Don-t-Care-Exclusive-Bundle-i.68111.11705505025", "https://shopee.co.id/SOMETHINC-Age-Don-t-Care-Exclusive-Bundle-i.68111.11705505025")</f>
        <v>https://shopee.co.id/SOMETHINC-Age-Don-t-Care-Exclusive-Bundle-i.68111.11705505025</v>
      </c>
      <c r="C913" s="8" t="s">
        <v>45</v>
      </c>
      <c r="D913" s="8" t="s">
        <v>441</v>
      </c>
      <c r="E913" s="8" t="s">
        <v>12</v>
      </c>
      <c r="F913" s="8" t="s">
        <v>13</v>
      </c>
      <c r="G913" s="8" t="s">
        <v>130</v>
      </c>
      <c r="H913" s="16">
        <v>34.0</v>
      </c>
      <c r="I913" s="15" t="str">
        <f>SUBSTITUTE(Sheet1!K913, "Rp", "")</f>
        <v>8250200</v>
      </c>
    </row>
    <row r="914">
      <c r="A914" s="8" t="s">
        <v>1468</v>
      </c>
      <c r="B914" s="13" t="str">
        <f>HYPERLINK("https://shopee.co.id/Wajah-Bersih-Maksimal-i.63822287.9449357348", "https://shopee.co.id/Wajah-Bersih-Maksimal-i.63822287.9449357348")</f>
        <v>https://shopee.co.id/Wajah-Bersih-Maksimal-i.63822287.9449357348</v>
      </c>
      <c r="C914" s="8" t="s">
        <v>1254</v>
      </c>
      <c r="D914" s="8" t="s">
        <v>835</v>
      </c>
      <c r="E914" s="8" t="s">
        <v>12</v>
      </c>
      <c r="F914" s="8" t="s">
        <v>13</v>
      </c>
      <c r="G914" s="8" t="s">
        <v>61</v>
      </c>
      <c r="H914" s="16">
        <v>34.0</v>
      </c>
      <c r="I914" s="15" t="str">
        <f>SUBSTITUTE(Sheet1!K914, "Rp", "")</f>
        <v>8004600</v>
      </c>
    </row>
    <row r="915">
      <c r="A915" s="8" t="s">
        <v>1155</v>
      </c>
      <c r="B915" s="13" t="str">
        <f>HYPERLINK("https://shopee.co.id/-Buy-1-Get-1-Bio-Essence-Bio-Gold-Day-Cream-Spf-25-40Gr-i.63822287.7866607181", "https://shopee.co.id/-Buy-1-Get-1-Bio-Essence-Bio-Gold-Day-Cream-Spf-25-40Gr-i.63822287.7866607181")</f>
        <v>https://shopee.co.id/-Buy-1-Get-1-Bio-Essence-Bio-Gold-Day-Cream-Spf-25-40Gr-i.63822287.7866607181</v>
      </c>
      <c r="C915" s="8" t="s">
        <v>834</v>
      </c>
      <c r="D915" s="8" t="s">
        <v>835</v>
      </c>
      <c r="E915" s="8" t="s">
        <v>12</v>
      </c>
      <c r="F915" s="8" t="s">
        <v>13</v>
      </c>
      <c r="G915" s="8" t="s">
        <v>61</v>
      </c>
      <c r="H915" s="16">
        <v>33.0</v>
      </c>
      <c r="I915" s="15" t="str">
        <f>SUBSTITUTE(Sheet1!K915, "Rp", "")</f>
        <v>13785000</v>
      </c>
    </row>
    <row r="916">
      <c r="A916" s="8" t="s">
        <v>1197</v>
      </c>
      <c r="B916" s="13" t="str">
        <f>HYPERLINK("https://shopee.co.id/-innisfree-Brightening-Pore-Spot-Treatment-30ML-i.61504589.5721348101", "https://shopee.co.id/-innisfree-Brightening-Pore-Spot-Treatment-30ML-i.61504589.5721348101")</f>
        <v>https://shopee.co.id/-innisfree-Brightening-Pore-Spot-Treatment-30ML-i.61504589.5721348101</v>
      </c>
      <c r="C916" s="8" t="s">
        <v>294</v>
      </c>
      <c r="D916" s="8" t="s">
        <v>295</v>
      </c>
      <c r="E916" s="8" t="s">
        <v>12</v>
      </c>
      <c r="F916" s="8" t="s">
        <v>13</v>
      </c>
      <c r="G916" s="8" t="s">
        <v>296</v>
      </c>
      <c r="H916" s="16">
        <v>33.0</v>
      </c>
      <c r="I916" s="15" t="str">
        <f>SUBSTITUTE(Sheet1!K916, "Rp", "")</f>
        <v>13095600</v>
      </c>
    </row>
    <row r="917">
      <c r="A917" s="8" t="s">
        <v>1975</v>
      </c>
      <c r="B917" s="13" t="str">
        <f>HYPERLINK("https://shopee.co.id/Avoskin-Hydrating-Treatment-Essence-New-Formula--i.110573301.9002992772", "https://shopee.co.id/Avoskin-Hydrating-Treatment-Essence-New-Formula--i.110573301.9002992772")</f>
        <v>https://shopee.co.id/Avoskin-Hydrating-Treatment-Essence-New-Formula--i.110573301.9002992772</v>
      </c>
      <c r="C917" s="8" t="s">
        <v>83</v>
      </c>
      <c r="D917" s="8" t="s">
        <v>227</v>
      </c>
      <c r="E917" s="8" t="s">
        <v>12</v>
      </c>
      <c r="F917" s="8" t="s">
        <v>13</v>
      </c>
      <c r="G917" s="8" t="s">
        <v>61</v>
      </c>
      <c r="H917" s="16">
        <v>33.0</v>
      </c>
      <c r="I917" s="15" t="str">
        <f>SUBSTITUTE(Sheet1!K917, "Rp", "")</f>
        <v>3577200</v>
      </c>
    </row>
    <row r="918">
      <c r="A918" s="8" t="s">
        <v>2018</v>
      </c>
      <c r="B918" s="13" t="str">
        <f>HYPERLINK("https://shopee.co.id/AVOSKIN-Hydrating-Treatment-Essence-100ml-i.68111.1635800553", "https://shopee.co.id/AVOSKIN-Hydrating-Treatment-Essence-100ml-i.68111.1635800553")</f>
        <v>https://shopee.co.id/AVOSKIN-Hydrating-Treatment-Essence-100ml-i.68111.1635800553</v>
      </c>
      <c r="C918" s="8" t="s">
        <v>83</v>
      </c>
      <c r="D918" s="8" t="s">
        <v>441</v>
      </c>
      <c r="E918" s="8" t="s">
        <v>12</v>
      </c>
      <c r="F918" s="8" t="s">
        <v>13</v>
      </c>
      <c r="G918" s="8" t="s">
        <v>130</v>
      </c>
      <c r="H918" s="16">
        <v>33.0</v>
      </c>
      <c r="I918" s="15" t="str">
        <f>SUBSTITUTE(Sheet1!K918, "Rp", "")</f>
        <v>3400800</v>
      </c>
    </row>
    <row r="919">
      <c r="A919" s="8" t="s">
        <v>1548</v>
      </c>
      <c r="B919" s="13" t="str">
        <f>HYPERLINK("https://shopee.co.id/Bio-Essence-Bio-White-Advanced-Whitening-Serum-30-ml-Wajah-Cerah-i.63822287.1671468824", "https://shopee.co.id/Bio-Essence-Bio-White-Advanced-Whitening-Serum-30-ml-Wajah-Cerah-i.63822287.1671468824")</f>
        <v>https://shopee.co.id/Bio-Essence-Bio-White-Advanced-Whitening-Serum-30-ml-Wajah-Cerah-i.63822287.1671468824</v>
      </c>
      <c r="C919" s="8" t="s">
        <v>1254</v>
      </c>
      <c r="D919" s="8" t="s">
        <v>835</v>
      </c>
      <c r="E919" s="8" t="s">
        <v>12</v>
      </c>
      <c r="F919" s="8" t="s">
        <v>13</v>
      </c>
      <c r="G919" s="8" t="s">
        <v>61</v>
      </c>
      <c r="H919" s="16">
        <v>33.0</v>
      </c>
      <c r="I919" s="15" t="str">
        <f>SUBSTITUTE(Sheet1!K919, "Rp", "")</f>
        <v>7079200</v>
      </c>
    </row>
    <row r="920">
      <c r="A920" s="8" t="s">
        <v>1628</v>
      </c>
      <c r="B920" s="13" t="str">
        <f>HYPERLINK("https://shopee.co.id/CLINELLE-PushUp-Bust-Firming-Lifting-Serum-i.173963911.2814644655", "https://shopee.co.id/CLINELLE-PushUp-Bust-Firming-Lifting-Serum-i.173963911.2814644655")</f>
        <v>https://shopee.co.id/CLINELLE-PushUp-Bust-Firming-Lifting-Serum-i.173963911.2814644655</v>
      </c>
      <c r="C920" s="8" t="s">
        <v>1456</v>
      </c>
      <c r="D920" s="8" t="s">
        <v>1457</v>
      </c>
      <c r="E920" s="8" t="s">
        <v>12</v>
      </c>
      <c r="F920" s="8" t="s">
        <v>13</v>
      </c>
      <c r="G920" s="8" t="s">
        <v>21</v>
      </c>
      <c r="H920" s="16">
        <v>33.0</v>
      </c>
      <c r="I920" s="15" t="str">
        <f>SUBSTITUTE(Sheet1!K920, "Rp", "")</f>
        <v>6160100</v>
      </c>
    </row>
    <row r="921">
      <c r="A921" s="8" t="s">
        <v>1728</v>
      </c>
      <c r="B921" s="13" t="str">
        <f>HYPERLINK("https://shopee.co.id/Dayskin-Centella-Intensive-Brightening-Serum-i.382873530.9117785046", "https://shopee.co.id/Dayskin-Centella-Intensive-Brightening-Serum-i.382873530.9117785046")</f>
        <v>https://shopee.co.id/Dayskin-Centella-Intensive-Brightening-Serum-i.382873530.9117785046</v>
      </c>
      <c r="C921" s="8" t="s">
        <v>1729</v>
      </c>
      <c r="D921" s="8" t="s">
        <v>1730</v>
      </c>
      <c r="E921" s="8" t="s">
        <v>12</v>
      </c>
      <c r="F921" s="8" t="s">
        <v>13</v>
      </c>
      <c r="G921" s="8" t="s">
        <v>80</v>
      </c>
      <c r="H921" s="16">
        <v>33.0</v>
      </c>
      <c r="I921" s="15" t="str">
        <f>SUBSTITUTE(Sheet1!K921, "Rp", "")</f>
        <v>5148000</v>
      </c>
    </row>
    <row r="922">
      <c r="A922" s="8" t="s">
        <v>2522</v>
      </c>
      <c r="B922" s="13" t="str">
        <f>HYPERLINK("https://shopee.co.id/Frudia-Blueberry-Hydrating-Serum-SACHET-isi-10-pcs-i.98124209.8926108980", "https://shopee.co.id/Frudia-Blueberry-Hydrating-Serum-SACHET-isi-10-pcs-i.98124209.8926108980")</f>
        <v>https://shopee.co.id/Frudia-Blueberry-Hydrating-Serum-SACHET-isi-10-pcs-i.98124209.8926108980</v>
      </c>
      <c r="C922" s="8" t="s">
        <v>790</v>
      </c>
      <c r="D922" s="8" t="s">
        <v>791</v>
      </c>
      <c r="E922" s="8" t="s">
        <v>12</v>
      </c>
      <c r="F922" s="8" t="s">
        <v>13</v>
      </c>
      <c r="G922" s="8" t="s">
        <v>85</v>
      </c>
      <c r="H922" s="16">
        <v>33.0</v>
      </c>
      <c r="I922" s="15" t="str">
        <f>SUBSTITUTE(Sheet1!K922, "Rp", "")</f>
        <v>1650000</v>
      </c>
    </row>
    <row r="923">
      <c r="A923" s="8" t="s">
        <v>2008</v>
      </c>
      <c r="B923" s="13" t="str">
        <f>HYPERLINK("https://shopee.co.id/Iunik-Propolis-Vitamin-Synergy-Serum-15ml-i.825870.6717775581", "https://shopee.co.id/Iunik-Propolis-Vitamin-Synergy-Serum-15ml-i.825870.6717775581")</f>
        <v>https://shopee.co.id/Iunik-Propolis-Vitamin-Synergy-Serum-15ml-i.825870.6717775581</v>
      </c>
      <c r="C923" s="8" t="s">
        <v>1658</v>
      </c>
      <c r="D923" s="8" t="s">
        <v>1184</v>
      </c>
      <c r="E923" s="8" t="s">
        <v>12</v>
      </c>
      <c r="F923" s="8" t="s">
        <v>13</v>
      </c>
      <c r="G923" s="8" t="s">
        <v>21</v>
      </c>
      <c r="H923" s="16">
        <v>33.0</v>
      </c>
      <c r="I923" s="15" t="str">
        <f>SUBSTITUTE(Sheet1!K923, "Rp", "")</f>
        <v>3444000</v>
      </c>
    </row>
    <row r="924">
      <c r="A924" s="8" t="s">
        <v>1754</v>
      </c>
      <c r="B924" s="13" t="str">
        <f>HYPERLINK("https://shopee.co.id/NATURE-REPUBLIC-Good-Skin-Ampoule-TEA-TREE-i.78838801.4565332124", "https://shopee.co.id/NATURE-REPUBLIC-Good-Skin-Ampoule-TEA-TREE-i.78838801.4565332124")</f>
        <v>https://shopee.co.id/NATURE-REPUBLIC-Good-Skin-Ampoule-TEA-TREE-i.78838801.4565332124</v>
      </c>
      <c r="C924" s="8" t="s">
        <v>1079</v>
      </c>
      <c r="D924" s="8" t="s">
        <v>1080</v>
      </c>
      <c r="E924" s="8" t="s">
        <v>12</v>
      </c>
      <c r="F924" s="8" t="s">
        <v>13</v>
      </c>
      <c r="G924" s="8" t="s">
        <v>532</v>
      </c>
      <c r="H924" s="16">
        <v>33.0</v>
      </c>
      <c r="I924" s="15" t="str">
        <f>SUBSTITUTE(Sheet1!K924, "Rp", "")</f>
        <v>4950000</v>
      </c>
    </row>
    <row r="925">
      <c r="A925" s="8" t="s">
        <v>1350</v>
      </c>
      <c r="B925" s="13" t="str">
        <f>HYPERLINK("https://shopee.co.id/Ponds-Age-Miracle-Double-Action-Face-Serum-Wajah-Youthful-Glow-30-ml-Twin-Pack-i.14318452.3558218105", "https://shopee.co.id/Ponds-Age-Miracle-Double-Action-Face-Serum-Wajah-Youthful-Glow-30-ml-Twin-Pack-i.14318452.3558218105")</f>
        <v>https://shopee.co.id/Ponds-Age-Miracle-Double-Action-Face-Serum-Wajah-Youthful-Glow-30-ml-Twin-Pack-i.14318452.3558218105</v>
      </c>
      <c r="C925" s="8" t="s">
        <v>325</v>
      </c>
      <c r="D925" s="8" t="s">
        <v>326</v>
      </c>
      <c r="E925" s="8" t="s">
        <v>12</v>
      </c>
      <c r="F925" s="8" t="s">
        <v>13</v>
      </c>
      <c r="G925" s="8" t="s">
        <v>296</v>
      </c>
      <c r="H925" s="16">
        <v>33.0</v>
      </c>
      <c r="I925" s="15" t="str">
        <f>SUBSTITUTE(Sheet1!K925, "Rp", "")</f>
        <v>9907000</v>
      </c>
    </row>
    <row r="926">
      <c r="A926" s="8" t="s">
        <v>2409</v>
      </c>
      <c r="B926" s="13" t="str">
        <f>HYPERLINK("https://shopee.co.id/REAL-WHITE-Acne-Fighter-Face-Serum-i.349337394.9675049923", "https://shopee.co.id/REAL-WHITE-Acne-Fighter-Face-Serum-i.349337394.9675049923")</f>
        <v>https://shopee.co.id/REAL-WHITE-Acne-Fighter-Face-Serum-i.349337394.9675049923</v>
      </c>
      <c r="C926" s="8" t="s">
        <v>547</v>
      </c>
      <c r="D926" s="8" t="s">
        <v>548</v>
      </c>
      <c r="E926" s="8" t="s">
        <v>12</v>
      </c>
      <c r="F926" s="8" t="s">
        <v>13</v>
      </c>
      <c r="G926" s="8" t="s">
        <v>380</v>
      </c>
      <c r="H926" s="16">
        <v>33.0</v>
      </c>
      <c r="I926" s="15" t="str">
        <f>SUBSTITUTE(Sheet1!K926, "Rp", "")</f>
        <v>1926000</v>
      </c>
    </row>
    <row r="927">
      <c r="A927" s="8" t="s">
        <v>1339</v>
      </c>
      <c r="B927" s="13" t="str">
        <f>HYPERLINK("https://shopee.co.id/Secret-Key-Starting-Treatment-Essence-Size-155-ml-Edit-by-Sociolla-i.224957239.4250380574", "https://shopee.co.id/Secret-Key-Starting-Treatment-Essence-Size-155-ml-Edit-by-Sociolla-i.224957239.4250380574")</f>
        <v>https://shopee.co.id/Secret-Key-Starting-Treatment-Essence-Size-155-ml-Edit-by-Sociolla-i.224957239.4250380574</v>
      </c>
      <c r="C927" s="8" t="s">
        <v>1340</v>
      </c>
      <c r="D927" s="8" t="s">
        <v>492</v>
      </c>
      <c r="E927" s="8" t="s">
        <v>12</v>
      </c>
      <c r="F927" s="8" t="s">
        <v>13</v>
      </c>
      <c r="G927" s="8" t="s">
        <v>21</v>
      </c>
      <c r="H927" s="16">
        <v>33.0</v>
      </c>
      <c r="I927" s="15" t="str">
        <f>SUBSTITUTE(Sheet1!K927, "Rp", "")</f>
        <v>10008000</v>
      </c>
    </row>
    <row r="928">
      <c r="A928" s="8" t="s">
        <v>1821</v>
      </c>
      <c r="B928" s="13" t="str">
        <f>HYPERLINK("https://shopee.co.id/Silver-Moon-Calming-Serum-Haple-i.26944218.9446263905", "https://shopee.co.id/Silver-Moon-Calming-Serum-Haple-i.26944218.9446263905")</f>
        <v>https://shopee.co.id/Silver-Moon-Calming-Serum-Haple-i.26944218.9446263905</v>
      </c>
      <c r="C928" s="8" t="s">
        <v>1415</v>
      </c>
      <c r="D928" s="8" t="s">
        <v>1416</v>
      </c>
      <c r="E928" s="8" t="s">
        <v>12</v>
      </c>
      <c r="F928" s="8" t="s">
        <v>13</v>
      </c>
      <c r="G928" s="8" t="s">
        <v>21</v>
      </c>
      <c r="H928" s="16">
        <v>33.0</v>
      </c>
      <c r="I928" s="15" t="str">
        <f>SUBSTITUTE(Sheet1!K928, "Rp", "")</f>
        <v>4587000</v>
      </c>
    </row>
    <row r="929">
      <c r="A929" s="8" t="s">
        <v>2136</v>
      </c>
      <c r="B929" s="13" t="str">
        <f>HYPERLINK("https://shopee.co.id/THE-AUBREE-Rose-Bloom-Petal-Essence-120ml-i.270965687.4577463858", "https://shopee.co.id/THE-AUBREE-Rose-Bloom-Petal-Essence-120ml-i.270965687.4577463858")</f>
        <v>https://shopee.co.id/THE-AUBREE-Rose-Bloom-Petal-Essence-120ml-i.270965687.4577463858</v>
      </c>
      <c r="C929" s="8" t="s">
        <v>772</v>
      </c>
      <c r="D929" s="8" t="s">
        <v>379</v>
      </c>
      <c r="E929" s="8" t="s">
        <v>12</v>
      </c>
      <c r="F929" s="8" t="s">
        <v>13</v>
      </c>
      <c r="G929" s="8" t="s">
        <v>380</v>
      </c>
      <c r="H929" s="16">
        <v>33.0</v>
      </c>
      <c r="I929" s="15" t="str">
        <f>SUBSTITUTE(Sheet1!K929, "Rp", "")</f>
        <v>2776950</v>
      </c>
    </row>
    <row r="930">
      <c r="A930" s="8" t="s">
        <v>1801</v>
      </c>
      <c r="B930" s="13" t="str">
        <f>HYPERLINK("https://shopee.co.id/-Buy-1-Get-1-Bio-Water-Soothing-Cleansing-Gel-150ml-i.63822287.4066639805", "https://shopee.co.id/-Buy-1-Get-1-Bio-Water-Soothing-Cleansing-Gel-150ml-i.63822287.4066639805")</f>
        <v>https://shopee.co.id/-Buy-1-Get-1-Bio-Water-Soothing-Cleansing-Gel-150ml-i.63822287.4066639805</v>
      </c>
      <c r="C930" s="8" t="s">
        <v>1254</v>
      </c>
      <c r="D930" s="8" t="s">
        <v>835</v>
      </c>
      <c r="E930" s="8" t="s">
        <v>12</v>
      </c>
      <c r="F930" s="8" t="s">
        <v>13</v>
      </c>
      <c r="G930" s="8" t="s">
        <v>61</v>
      </c>
      <c r="H930" s="16">
        <v>32.0</v>
      </c>
      <c r="I930" s="15" t="str">
        <f>SUBSTITUTE(Sheet1!K930, "Rp", "")</f>
        <v>4657400</v>
      </c>
    </row>
    <row r="931">
      <c r="A931" s="8" t="s">
        <v>1643</v>
      </c>
      <c r="B931" s="13" t="str">
        <f>HYPERLINK("https://shopee.co.id/-Buy-1-Get-1-Safi-Age-Defy-Skin-Booster-i.63823668.9084534935", "https://shopee.co.id/-Buy-1-Get-1-Safi-Age-Defy-Skin-Booster-i.63823668.9084534935")</f>
        <v>https://shopee.co.id/-Buy-1-Get-1-Safi-Age-Defy-Skin-Booster-i.63823668.9084534935</v>
      </c>
      <c r="C931" s="8" t="s">
        <v>278</v>
      </c>
      <c r="D931" s="8" t="s">
        <v>279</v>
      </c>
      <c r="E931" s="8" t="s">
        <v>12</v>
      </c>
      <c r="F931" s="8" t="s">
        <v>13</v>
      </c>
      <c r="G931" s="8" t="s">
        <v>61</v>
      </c>
      <c r="H931" s="16">
        <v>32.0</v>
      </c>
      <c r="I931" s="15" t="str">
        <f>SUBSTITUTE(Sheet1!K931, "Rp", "")</f>
        <v>5904000</v>
      </c>
    </row>
    <row r="932">
      <c r="A932" s="8" t="s">
        <v>1842</v>
      </c>
      <c r="B932" s="13" t="str">
        <f>HYPERLINK("https://shopee.co.id/Aizen-Bakuchiol-10-Ultra-Ampoule-Serum-Anti-Aging-Perbaikan-Kulit-Wajah-i.89939211.6775351705", "https://shopee.co.id/Aizen-Bakuchiol-10-Ultra-Ampoule-Serum-Anti-Aging-Perbaikan-Kulit-Wajah-i.89939211.6775351705")</f>
        <v>https://shopee.co.id/Aizen-Bakuchiol-10-Ultra-Ampoule-Serum-Anti-Aging-Perbaikan-Kulit-Wajah-i.89939211.6775351705</v>
      </c>
      <c r="C932" s="8" t="s">
        <v>1325</v>
      </c>
      <c r="D932" s="8" t="s">
        <v>1326</v>
      </c>
      <c r="E932" s="8" t="s">
        <v>12</v>
      </c>
      <c r="F932" s="8" t="s">
        <v>13</v>
      </c>
      <c r="G932" s="8" t="s">
        <v>14</v>
      </c>
      <c r="H932" s="16">
        <v>32.0</v>
      </c>
      <c r="I932" s="15" t="str">
        <f>SUBSTITUTE(Sheet1!K932, "Rp", "")</f>
        <v>4448000</v>
      </c>
    </row>
    <row r="933">
      <c r="A933" s="8" t="s">
        <v>2981</v>
      </c>
      <c r="B933" s="13" t="str">
        <f>HYPERLINK("https://shopee.co.id/AZARINE-HERBAL-MOISTURIZER-SERUM-20-ML-i.50972887.5390725268", "https://shopee.co.id/AZARINE-HERBAL-MOISTURIZER-SERUM-20-ML-i.50972887.5390725268")</f>
        <v>https://shopee.co.id/AZARINE-HERBAL-MOISTURIZER-SERUM-20-ML-i.50972887.5390725268</v>
      </c>
      <c r="C933" s="8" t="s">
        <v>233</v>
      </c>
      <c r="D933" s="8" t="s">
        <v>552</v>
      </c>
      <c r="E933" s="8" t="s">
        <v>12</v>
      </c>
      <c r="F933" s="8" t="s">
        <v>13</v>
      </c>
      <c r="G933" s="8" t="s">
        <v>61</v>
      </c>
      <c r="H933" s="16">
        <v>32.0</v>
      </c>
      <c r="I933" s="15" t="str">
        <f>SUBSTITUTE(Sheet1!K933, "Rp", "")</f>
        <v>784000</v>
      </c>
    </row>
    <row r="934">
      <c r="A934" s="8" t="s">
        <v>2881</v>
      </c>
      <c r="B934" s="13" t="str">
        <f>HYPERLINK("https://shopee.co.id/Azarine-Miraclear-Herbal-Peeling-Serum-20ml-i.10689.4451040366", "https://shopee.co.id/Azarine-Miraclear-Herbal-Peeling-Serum-20ml-i.10689.4451040366")</f>
        <v>https://shopee.co.id/Azarine-Miraclear-Herbal-Peeling-Serum-20ml-i.10689.4451040366</v>
      </c>
      <c r="C934" s="8" t="s">
        <v>233</v>
      </c>
      <c r="D934" s="8" t="s">
        <v>745</v>
      </c>
      <c r="E934" s="8" t="s">
        <v>12</v>
      </c>
      <c r="F934" s="8" t="s">
        <v>13</v>
      </c>
      <c r="G934" s="8" t="s">
        <v>61</v>
      </c>
      <c r="H934" s="16">
        <v>32.0</v>
      </c>
      <c r="I934" s="15" t="str">
        <f>SUBSTITUTE(Sheet1!K934, "Rp", "")</f>
        <v>929250</v>
      </c>
    </row>
    <row r="935">
      <c r="A935" s="8" t="s">
        <v>1386</v>
      </c>
      <c r="B935" s="13" t="str">
        <f>HYPERLINK("https://shopee.co.id/Bioderma-Hydrabio-Serum-40ml-Hydrating-Skin-Barrier-Bundle-i.134089202.2959849881", "https://shopee.co.id/Bioderma-Hydrabio-Serum-40ml-Hydrating-Skin-Barrier-Bundle-i.134089202.2959849881")</f>
        <v>https://shopee.co.id/Bioderma-Hydrabio-Serum-40ml-Hydrating-Skin-Barrier-Bundle-i.134089202.2959849881</v>
      </c>
      <c r="C935" s="8" t="s">
        <v>1387</v>
      </c>
      <c r="D935" s="8" t="s">
        <v>1388</v>
      </c>
      <c r="E935" s="8" t="s">
        <v>12</v>
      </c>
      <c r="F935" s="8" t="s">
        <v>13</v>
      </c>
      <c r="G935" s="8" t="s">
        <v>130</v>
      </c>
      <c r="H935" s="16">
        <v>32.0</v>
      </c>
      <c r="I935" s="15" t="str">
        <f>SUBSTITUTE(Sheet1!K935, "Rp", "")</f>
        <v>9224150</v>
      </c>
    </row>
    <row r="936">
      <c r="A936" s="8" t="s">
        <v>1405</v>
      </c>
      <c r="B936" s="13" t="str">
        <f>HYPERLINK("https://shopee.co.id/ElsheSkin-Radiant-Skin-Serum-Moisturizer-for-Acne-Skin-i.9035345.10808701869", "https://shopee.co.id/ElsheSkin-Radiant-Skin-Serum-Moisturizer-for-Acne-Skin-i.9035345.10808701869")</f>
        <v>https://shopee.co.id/ElsheSkin-Radiant-Skin-Serum-Moisturizer-for-Acne-Skin-i.9035345.10808701869</v>
      </c>
      <c r="C936" s="8" t="s">
        <v>135</v>
      </c>
      <c r="D936" s="8" t="s">
        <v>136</v>
      </c>
      <c r="E936" s="8" t="s">
        <v>12</v>
      </c>
      <c r="F936" s="8" t="s">
        <v>13</v>
      </c>
      <c r="G936" s="8" t="s">
        <v>80</v>
      </c>
      <c r="H936" s="16">
        <v>32.0</v>
      </c>
      <c r="I936" s="15" t="str">
        <f>SUBSTITUTE(Sheet1!K936, "Rp", "")</f>
        <v>8803300</v>
      </c>
    </row>
    <row r="937">
      <c r="A937" s="8" t="s">
        <v>1649</v>
      </c>
      <c r="B937" s="13" t="str">
        <f>HYPERLINK("https://shopee.co.id/I-Trust-Nature-Licorice-Serum-Soothing-Brightening-i.221165911.6419859793", "https://shopee.co.id/I-Trust-Nature-Licorice-Serum-Soothing-Brightening-i.221165911.6419859793")</f>
        <v>https://shopee.co.id/I-Trust-Nature-Licorice-Serum-Soothing-Brightening-i.221165911.6419859793</v>
      </c>
      <c r="C937" s="8" t="s">
        <v>1650</v>
      </c>
      <c r="D937" s="8" t="s">
        <v>1651</v>
      </c>
      <c r="E937" s="8" t="s">
        <v>12</v>
      </c>
      <c r="F937" s="8" t="s">
        <v>13</v>
      </c>
      <c r="G937" s="8" t="s">
        <v>36</v>
      </c>
      <c r="H937" s="16">
        <v>32.0</v>
      </c>
      <c r="I937" s="15" t="str">
        <f>SUBSTITUTE(Sheet1!K937, "Rp", "")</f>
        <v>5855500</v>
      </c>
    </row>
    <row r="938">
      <c r="A938" s="8" t="s">
        <v>1078</v>
      </c>
      <c r="B938" s="13" t="str">
        <f>HYPERLINK("https://shopee.co.id/NATURE-REPUBLIC-Vitapair-C-Dark-Spot-Serum-Special-Set-i.78838801.4852357814", "https://shopee.co.id/NATURE-REPUBLIC-Vitapair-C-Dark-Spot-Serum-Special-Set-i.78838801.4852357814")</f>
        <v>https://shopee.co.id/NATURE-REPUBLIC-Vitapair-C-Dark-Spot-Serum-Special-Set-i.78838801.4852357814</v>
      </c>
      <c r="C938" s="8" t="s">
        <v>1079</v>
      </c>
      <c r="D938" s="8" t="s">
        <v>1080</v>
      </c>
      <c r="E938" s="8" t="s">
        <v>12</v>
      </c>
      <c r="F938" s="8" t="s">
        <v>13</v>
      </c>
      <c r="G938" s="8" t="s">
        <v>532</v>
      </c>
      <c r="H938" s="16">
        <v>32.0</v>
      </c>
      <c r="I938" s="15" t="str">
        <f>SUBSTITUTE(Sheet1!K938, "Rp", "")</f>
        <v>15968000</v>
      </c>
    </row>
    <row r="939">
      <c r="A939" s="8" t="s">
        <v>2304</v>
      </c>
      <c r="B939" s="13" t="str">
        <f>HYPERLINK("https://shopee.co.id/SCARLETT-Whitening-Acne-Serum-15ml-i.68111.5756145762", "https://shopee.co.id/SCARLETT-Whitening-Acne-Serum-15ml-i.68111.5756145762")</f>
        <v>https://shopee.co.id/SCARLETT-Whitening-Acne-Serum-15ml-i.68111.5756145762</v>
      </c>
      <c r="C939" s="8" t="s">
        <v>19</v>
      </c>
      <c r="D939" s="8" t="s">
        <v>441</v>
      </c>
      <c r="E939" s="8" t="s">
        <v>12</v>
      </c>
      <c r="F939" s="8" t="s">
        <v>13</v>
      </c>
      <c r="G939" s="8" t="s">
        <v>130</v>
      </c>
      <c r="H939" s="16">
        <v>32.0</v>
      </c>
      <c r="I939" s="15" t="str">
        <f>SUBSTITUTE(Sheet1!K939, "Rp", "")</f>
        <v>2272875</v>
      </c>
    </row>
    <row r="940">
      <c r="A940" s="8" t="s">
        <v>2343</v>
      </c>
      <c r="B940" s="13" t="str">
        <f>HYPERLINK("https://shopee.co.id/Scarlett-Whitening-Brightly-Ever-After-Serum-15-mL-i.65323877.9079239362", "https://shopee.co.id/Scarlett-Whitening-Brightly-Ever-After-Serum-15-mL-i.65323877.9079239362")</f>
        <v>https://shopee.co.id/Scarlett-Whitening-Brightly-Ever-After-Serum-15-mL-i.65323877.9079239362</v>
      </c>
      <c r="C940" s="8" t="s">
        <v>19</v>
      </c>
      <c r="D940" s="8" t="s">
        <v>1600</v>
      </c>
      <c r="E940" s="8" t="s">
        <v>12</v>
      </c>
      <c r="F940" s="8" t="s">
        <v>13</v>
      </c>
      <c r="G940" s="8" t="s">
        <v>296</v>
      </c>
      <c r="H940" s="16">
        <v>32.0</v>
      </c>
      <c r="I940" s="15" t="str">
        <f>SUBSTITUTE(Sheet1!K940, "Rp", "")</f>
        <v>2145000</v>
      </c>
    </row>
    <row r="941">
      <c r="A941" s="8" t="s">
        <v>2300</v>
      </c>
      <c r="B941" s="13" t="str">
        <f>HYPERLINK("https://shopee.co.id/Scarlett-Whitening-Brightly-Ever-After-Serum-15ml-i.68111.4656147616", "https://shopee.co.id/Scarlett-Whitening-Brightly-Ever-After-Serum-15ml-i.68111.4656147616")</f>
        <v>https://shopee.co.id/Scarlett-Whitening-Brightly-Ever-After-Serum-15ml-i.68111.4656147616</v>
      </c>
      <c r="C941" s="8" t="s">
        <v>19</v>
      </c>
      <c r="D941" s="8" t="s">
        <v>441</v>
      </c>
      <c r="E941" s="8" t="s">
        <v>12</v>
      </c>
      <c r="F941" s="8" t="s">
        <v>13</v>
      </c>
      <c r="G941" s="8" t="s">
        <v>130</v>
      </c>
      <c r="H941" s="16">
        <v>32.0</v>
      </c>
      <c r="I941" s="15" t="str">
        <f>SUBSTITUTE(Sheet1!K941, "Rp", "")</f>
        <v>2285250</v>
      </c>
    </row>
    <row r="942">
      <c r="A942" s="8" t="s">
        <v>2039</v>
      </c>
      <c r="B942" s="13" t="str">
        <f>HYPERLINK("https://shopee.co.id/SECA-COLLAGEN-1-PEPTIDE-Serum-i.373749700.5493283176", "https://shopee.co.id/SECA-COLLAGEN-1-PEPTIDE-Serum-i.373749700.5493283176")</f>
        <v>https://shopee.co.id/SECA-COLLAGEN-1-PEPTIDE-Serum-i.373749700.5493283176</v>
      </c>
      <c r="C942" s="8" t="s">
        <v>985</v>
      </c>
      <c r="D942" s="8" t="s">
        <v>986</v>
      </c>
      <c r="E942" s="8" t="s">
        <v>12</v>
      </c>
      <c r="F942" s="8" t="s">
        <v>13</v>
      </c>
      <c r="G942" s="8" t="s">
        <v>36</v>
      </c>
      <c r="H942" s="16">
        <v>32.0</v>
      </c>
      <c r="I942" s="15" t="str">
        <f>SUBSTITUTE(Sheet1!K942, "Rp", "")</f>
        <v>3335400</v>
      </c>
    </row>
    <row r="943">
      <c r="A943" s="8" t="s">
        <v>1385</v>
      </c>
      <c r="B943" s="13" t="str">
        <f>HYPERLINK("https://shopee.co.id/Secret-Key-Starting-Treatment-Essence-155ml-i.30736001.5488100052", "https://shopee.co.id/Secret-Key-Starting-Treatment-Essence-155ml-i.30736001.5488100052")</f>
        <v>https://shopee.co.id/Secret-Key-Starting-Treatment-Essence-155ml-i.30736001.5488100052</v>
      </c>
      <c r="C943" s="8" t="s">
        <v>1340</v>
      </c>
      <c r="D943" s="8" t="s">
        <v>335</v>
      </c>
      <c r="E943" s="8" t="s">
        <v>12</v>
      </c>
      <c r="F943" s="8" t="s">
        <v>13</v>
      </c>
      <c r="G943" s="8" t="s">
        <v>36</v>
      </c>
      <c r="H943" s="16">
        <v>32.0</v>
      </c>
      <c r="I943" s="15" t="str">
        <f>SUBSTITUTE(Sheet1!K943, "Rp", "")</f>
        <v>9246100</v>
      </c>
    </row>
    <row r="944">
      <c r="A944" s="8" t="s">
        <v>2248</v>
      </c>
      <c r="B944" s="13" t="str">
        <f>HYPERLINK("https://shopee.co.id/Serum-Glass-Skin-for-Anti-Aging-Calming-Whitening-Marwah-Skin-Care-i.357101711.8941246350", "https://shopee.co.id/Serum-Glass-Skin-for-Anti-Aging-Calming-Whitening-Marwah-Skin-Care-i.357101711.8941246350")</f>
        <v>https://shopee.co.id/Serum-Glass-Skin-for-Anti-Aging-Calming-Whitening-Marwah-Skin-Care-i.357101711.8941246350</v>
      </c>
      <c r="C944" s="8" t="s">
        <v>2249</v>
      </c>
      <c r="D944" s="8" t="s">
        <v>2250</v>
      </c>
      <c r="E944" s="8" t="s">
        <v>12</v>
      </c>
      <c r="F944" s="8" t="s">
        <v>13</v>
      </c>
      <c r="G944" s="8" t="s">
        <v>370</v>
      </c>
      <c r="H944" s="16">
        <v>32.0</v>
      </c>
      <c r="I944" s="15" t="str">
        <f>SUBSTITUTE(Sheet1!K944, "Rp", "")</f>
        <v>2400000</v>
      </c>
    </row>
    <row r="945">
      <c r="A945" s="8" t="s">
        <v>1720</v>
      </c>
      <c r="B945" s="13" t="str">
        <f>HYPERLINK("https://shopee.co.id/SOMETHINC-5-Niacinamide-Moisture-Sabi-Beet-Serum-40ml-i.30736001.9935375531", "https://shopee.co.id/SOMETHINC-5-Niacinamide-Moisture-Sabi-Beet-Serum-40ml-i.30736001.9935375531")</f>
        <v>https://shopee.co.id/SOMETHINC-5-Niacinamide-Moisture-Sabi-Beet-Serum-40ml-i.30736001.9935375531</v>
      </c>
      <c r="C945" s="8" t="s">
        <v>45</v>
      </c>
      <c r="D945" s="8" t="s">
        <v>335</v>
      </c>
      <c r="E945" s="8" t="s">
        <v>12</v>
      </c>
      <c r="F945" s="8" t="s">
        <v>13</v>
      </c>
      <c r="G945" s="8" t="s">
        <v>36</v>
      </c>
      <c r="H945" s="16">
        <v>32.0</v>
      </c>
      <c r="I945" s="15" t="str">
        <f>SUBSTITUTE(Sheet1!K945, "Rp", "")</f>
        <v>5244800</v>
      </c>
    </row>
    <row r="946">
      <c r="A946" s="8" t="s">
        <v>2406</v>
      </c>
      <c r="B946" s="13" t="str">
        <f>HYPERLINK("https://shopee.co.id/Scarlett-Whitening-Brightly-Ever-After-Serum-15ml-i.50948181.4343466634", "https://shopee.co.id/Scarlett-Whitening-Brightly-Ever-After-Serum-15ml-i.50948181.4343466634")</f>
        <v>https://shopee.co.id/Scarlett-Whitening-Brightly-Ever-After-Serum-15ml-i.50948181.4343466634</v>
      </c>
      <c r="C946" s="8" t="s">
        <v>19</v>
      </c>
      <c r="D946" s="8" t="s">
        <v>1129</v>
      </c>
      <c r="E946" s="8" t="s">
        <v>12</v>
      </c>
      <c r="F946" s="8" t="s">
        <v>13</v>
      </c>
      <c r="G946" s="8" t="s">
        <v>1130</v>
      </c>
      <c r="H946" s="16">
        <v>31.0</v>
      </c>
      <c r="I946" s="15" t="str">
        <f>SUBSTITUTE(Sheet1!K946, "Rp", "")</f>
        <v>1932242</v>
      </c>
    </row>
    <row r="947">
      <c r="A947" s="8" t="s">
        <v>975</v>
      </c>
      <c r="B947" s="13" t="str">
        <f>HYPERLINK("https://shopee.co.id/Aura-Bright-Signature-Whitening-i.127215672.3362502593", "https://shopee.co.id/Aura-Bright-Signature-Whitening-i.127215672.3362502593")</f>
        <v>https://shopee.co.id/Aura-Bright-Signature-Whitening-i.127215672.3362502593</v>
      </c>
      <c r="C947" s="8" t="s">
        <v>90</v>
      </c>
      <c r="D947" s="8" t="s">
        <v>91</v>
      </c>
      <c r="E947" s="8" t="s">
        <v>12</v>
      </c>
      <c r="F947" s="8" t="s">
        <v>13</v>
      </c>
      <c r="G947" s="8" t="s">
        <v>21</v>
      </c>
      <c r="H947" s="16">
        <v>31.0</v>
      </c>
      <c r="I947" s="15" t="str">
        <f>SUBSTITUTE(Sheet1!K947, "Rp", "")</f>
        <v>19866000</v>
      </c>
    </row>
    <row r="948">
      <c r="A948" s="8" t="s">
        <v>1569</v>
      </c>
      <c r="B948" s="13" t="str">
        <f>HYPERLINK("https://shopee.co.id/AVOSKIN-Miraculous-Refining-Serum-30ml-i.68111.2833773785", "https://shopee.co.id/AVOSKIN-Miraculous-Refining-Serum-30ml-i.68111.2833773785")</f>
        <v>https://shopee.co.id/AVOSKIN-Miraculous-Refining-Serum-30ml-i.68111.2833773785</v>
      </c>
      <c r="C948" s="8" t="s">
        <v>83</v>
      </c>
      <c r="D948" s="8" t="s">
        <v>441</v>
      </c>
      <c r="E948" s="8" t="s">
        <v>12</v>
      </c>
      <c r="F948" s="8" t="s">
        <v>13</v>
      </c>
      <c r="G948" s="8" t="s">
        <v>130</v>
      </c>
      <c r="H948" s="16">
        <v>31.0</v>
      </c>
      <c r="I948" s="15" t="str">
        <f>SUBSTITUTE(Sheet1!K948, "Rp", "")</f>
        <v>6880810</v>
      </c>
    </row>
    <row r="949">
      <c r="A949" s="8" t="s">
        <v>1860</v>
      </c>
      <c r="B949" s="13" t="str">
        <f>HYPERLINK("https://shopee.co.id/Avoskin-Your-Skin-Bae-Alpha-Arbutin-3-Grapeseed-Serum-30ml-i.825870.10018458716", "https://shopee.co.id/Avoskin-Your-Skin-Bae-Alpha-Arbutin-3-Grapeseed-Serum-30ml-i.825870.10018458716")</f>
        <v>https://shopee.co.id/Avoskin-Your-Skin-Bae-Alpha-Arbutin-3-Grapeseed-Serum-30ml-i.825870.10018458716</v>
      </c>
      <c r="C949" s="8" t="s">
        <v>83</v>
      </c>
      <c r="D949" s="8" t="s">
        <v>1184</v>
      </c>
      <c r="E949" s="8" t="s">
        <v>12</v>
      </c>
      <c r="F949" s="8" t="s">
        <v>13</v>
      </c>
      <c r="G949" s="8" t="s">
        <v>21</v>
      </c>
      <c r="H949" s="16">
        <v>31.0</v>
      </c>
      <c r="I949" s="15" t="str">
        <f>SUBSTITUTE(Sheet1!K949, "Rp", "")</f>
        <v>4309000</v>
      </c>
    </row>
    <row r="950">
      <c r="A950" s="8" t="s">
        <v>1699</v>
      </c>
      <c r="B950" s="13" t="str">
        <f>HYPERLINK("https://shopee.co.id/AXIS-Y-Artichoke-Intensive-Skin-Barrier-Ampoule-30ml-i.270965687.9987361014", "https://shopee.co.id/AXIS-Y-Artichoke-Intensive-Skin-Barrier-Ampoule-30ml-i.270965687.9987361014")</f>
        <v>https://shopee.co.id/AXIS-Y-Artichoke-Intensive-Skin-Barrier-Ampoule-30ml-i.270965687.9987361014</v>
      </c>
      <c r="C950" s="8" t="s">
        <v>710</v>
      </c>
      <c r="D950" s="8" t="s">
        <v>379</v>
      </c>
      <c r="E950" s="8" t="s">
        <v>12</v>
      </c>
      <c r="F950" s="8" t="s">
        <v>13</v>
      </c>
      <c r="G950" s="8" t="s">
        <v>380</v>
      </c>
      <c r="H950" s="16">
        <v>31.0</v>
      </c>
      <c r="I950" s="15" t="str">
        <f>SUBSTITUTE(Sheet1!K950, "Rp", "")</f>
        <v>5425000</v>
      </c>
    </row>
    <row r="951">
      <c r="A951" s="8" t="s">
        <v>2175</v>
      </c>
      <c r="B951" s="13" t="str">
        <f>HYPERLINK("https://shopee.co.id/Beautybarme-Somethinc-Niacinamide-40-Ml-20-Ml-i.28781862.7322113338", "https://shopee.co.id/Beautybarme-Somethinc-Niacinamide-40-Ml-20-Ml-i.28781862.7322113338")</f>
        <v>https://shopee.co.id/Beautybarme-Somethinc-Niacinamide-40-Ml-20-Ml-i.28781862.7322113338</v>
      </c>
      <c r="C951" s="8" t="s">
        <v>45</v>
      </c>
      <c r="D951" s="8" t="s">
        <v>1189</v>
      </c>
      <c r="E951" s="8" t="s">
        <v>12</v>
      </c>
      <c r="F951" s="8" t="s">
        <v>13</v>
      </c>
      <c r="G951" s="8" t="s">
        <v>1190</v>
      </c>
      <c r="H951" s="16">
        <v>31.0</v>
      </c>
      <c r="I951" s="15" t="str">
        <f>SUBSTITUTE(Sheet1!K951, "Rp", "")</f>
        <v>2635000</v>
      </c>
    </row>
    <row r="952">
      <c r="A952" s="8" t="s">
        <v>1510</v>
      </c>
      <c r="B952" s="13" t="str">
        <f>HYPERLINK("https://shopee.co.id/COSRX-Galactomyces-95-Tone-Balancing-Essence-100-ml-Esens-untuk-Kulit-Kusam-Skincare-i.224957239.6441124295", "https://shopee.co.id/COSRX-Galactomyces-95-Tone-Balancing-Essence-100-ml-Esens-untuk-Kulit-Kusam-Skincare-i.224957239.6441124295")</f>
        <v>https://shopee.co.id/COSRX-Galactomyces-95-Tone-Balancing-Essence-100-ml-Esens-untuk-Kulit-Kusam-Skincare-i.224957239.6441124295</v>
      </c>
      <c r="C952" s="8" t="s">
        <v>305</v>
      </c>
      <c r="D952" s="8" t="s">
        <v>492</v>
      </c>
      <c r="E952" s="8" t="s">
        <v>12</v>
      </c>
      <c r="F952" s="8" t="s">
        <v>13</v>
      </c>
      <c r="G952" s="8" t="s">
        <v>21</v>
      </c>
      <c r="H952" s="16">
        <v>31.0</v>
      </c>
      <c r="I952" s="15" t="str">
        <f>SUBSTITUTE(Sheet1!K952, "Rp", "")</f>
        <v>7462000</v>
      </c>
    </row>
    <row r="953">
      <c r="A953" s="8" t="s">
        <v>1347</v>
      </c>
      <c r="B953" s="13" t="str">
        <f>HYPERLINK("https://shopee.co.id/COSRX-Pure-Fit-Cica-Serum-Skin-Care-30-ML-Serum-Untuk-Kulit-Sensitif--i.404429429.9657153482", "https://shopee.co.id/COSRX-Pure-Fit-Cica-Serum-Skin-Care-30-ML-Serum-Untuk-Kulit-Sensitif--i.404429429.9657153482")</f>
        <v>https://shopee.co.id/COSRX-Pure-Fit-Cica-Serum-Skin-Care-30-ML-Serum-Untuk-Kulit-Sensitif--i.404429429.9657153482</v>
      </c>
      <c r="C953" s="8" t="s">
        <v>305</v>
      </c>
      <c r="D953" s="8" t="s">
        <v>306</v>
      </c>
      <c r="E953" s="8" t="s">
        <v>12</v>
      </c>
      <c r="F953" s="8" t="s">
        <v>13</v>
      </c>
      <c r="G953" s="8" t="s">
        <v>21</v>
      </c>
      <c r="H953" s="16">
        <v>31.0</v>
      </c>
      <c r="I953" s="15" t="str">
        <f>SUBSTITUTE(Sheet1!K953, "Rp", "")</f>
        <v>9934500</v>
      </c>
    </row>
    <row r="954">
      <c r="A954" s="8" t="s">
        <v>2233</v>
      </c>
      <c r="B954" s="13" t="str">
        <f>HYPERLINK("https://shopee.co.id/Envygreen-Pore-Minimizer-Serum-10gr-i.825870.4150712660", "https://shopee.co.id/Envygreen-Pore-Minimizer-Serum-10gr-i.825870.4150712660")</f>
        <v>https://shopee.co.id/Envygreen-Pore-Minimizer-Serum-10gr-i.825870.4150712660</v>
      </c>
      <c r="C954" s="8" t="s">
        <v>2034</v>
      </c>
      <c r="D954" s="8" t="s">
        <v>1184</v>
      </c>
      <c r="E954" s="8" t="s">
        <v>12</v>
      </c>
      <c r="F954" s="8" t="s">
        <v>13</v>
      </c>
      <c r="G954" s="8" t="s">
        <v>21</v>
      </c>
      <c r="H954" s="16">
        <v>31.0</v>
      </c>
      <c r="I954" s="15" t="str">
        <f>SUBSTITUTE(Sheet1!K954, "Rp", "")</f>
        <v>2480000</v>
      </c>
    </row>
    <row r="955">
      <c r="A955" s="8" t="s">
        <v>1951</v>
      </c>
      <c r="B955" s="13" t="str">
        <f>HYPERLINK("https://shopee.co.id/HISERHA-Booster-Essence-All-In-One-60ml-Serum-Pencerah-Wajah-Pria-i.129153987.4661229888", "https://shopee.co.id/HISERHA-Booster-Essence-All-In-One-60ml-Serum-Pencerah-Wajah-Pria-i.129153987.4661229888")</f>
        <v>https://shopee.co.id/HISERHA-Booster-Essence-All-In-One-60ml-Serum-Pencerah-Wajah-Pria-i.129153987.4661229888</v>
      </c>
      <c r="C955" s="8" t="s">
        <v>1952</v>
      </c>
      <c r="D955" s="8" t="s">
        <v>182</v>
      </c>
      <c r="E955" s="8" t="s">
        <v>12</v>
      </c>
      <c r="F955" s="8" t="s">
        <v>13</v>
      </c>
      <c r="G955" s="8" t="s">
        <v>61</v>
      </c>
      <c r="H955" s="16">
        <v>31.0</v>
      </c>
      <c r="I955" s="15" t="str">
        <f>SUBSTITUTE(Sheet1!K955, "Rp", "")</f>
        <v>3714072</v>
      </c>
    </row>
    <row r="956">
      <c r="A956" s="8" t="s">
        <v>1022</v>
      </c>
      <c r="B956" s="13" t="str">
        <f>HYPERLINK("https://shopee.co.id/Laneige-Water-Bank-Moisture-Essence-70ml-OL21--i.52917348.7717272179", "https://shopee.co.id/Laneige-Water-Bank-Moisture-Essence-70ml-OL21--i.52917348.7717272179")</f>
        <v>https://shopee.co.id/Laneige-Water-Bank-Moisture-Essence-70ml-OL21--i.52917348.7717272179</v>
      </c>
      <c r="C956" s="8" t="s">
        <v>364</v>
      </c>
      <c r="D956" s="8" t="s">
        <v>365</v>
      </c>
      <c r="E956" s="8" t="s">
        <v>12</v>
      </c>
      <c r="F956" s="8" t="s">
        <v>13</v>
      </c>
      <c r="G956" s="8" t="s">
        <v>61</v>
      </c>
      <c r="H956" s="16">
        <v>31.0</v>
      </c>
      <c r="I956" s="15" t="str">
        <f>SUBSTITUTE(Sheet1!K956, "Rp", "")</f>
        <v>18048700</v>
      </c>
    </row>
    <row r="957">
      <c r="A957" s="8" t="s">
        <v>1861</v>
      </c>
      <c r="B957" s="13" t="str">
        <f>HYPERLINK("https://shopee.co.id/MISSHA-All-Around-Essence-Sun-SPF45-PA-50ml-Free-Airy-Fit-Sheet-Mask-2-pcs-Shea-Butter--i.37557990.7703635627", "https://shopee.co.id/MISSHA-All-Around-Essence-Sun-SPF45-PA-50ml-Free-Airy-Fit-Sheet-Mask-2-pcs-Shea-Butter--i.37557990.7703635627")</f>
        <v>https://shopee.co.id/MISSHA-All-Around-Essence-Sun-SPF45-PA-50ml-Free-Airy-Fit-Sheet-Mask-2-pcs-Shea-Butter--i.37557990.7703635627</v>
      </c>
      <c r="C957" s="8" t="s">
        <v>695</v>
      </c>
      <c r="D957" s="8" t="s">
        <v>696</v>
      </c>
      <c r="E957" s="8" t="s">
        <v>12</v>
      </c>
      <c r="F957" s="8" t="s">
        <v>13</v>
      </c>
      <c r="G957" s="8" t="s">
        <v>80</v>
      </c>
      <c r="H957" s="16">
        <v>31.0</v>
      </c>
      <c r="I957" s="15" t="str">
        <f>SUBSTITUTE(Sheet1!K957, "Rp", "")</f>
        <v>4309000</v>
      </c>
    </row>
    <row r="958">
      <c r="A958" s="8" t="s">
        <v>1967</v>
      </c>
      <c r="B958" s="13" t="str">
        <f>HYPERLINK("https://shopee.co.id/NUTRISHE-Intensive-Bright-Glow-Serum-20ml-i.68111.4296783846", "https://shopee.co.id/NUTRISHE-Intensive-Bright-Glow-Serum-20ml-i.68111.4296783846")</f>
        <v>https://shopee.co.id/NUTRISHE-Intensive-Bright-Glow-Serum-20ml-i.68111.4296783846</v>
      </c>
      <c r="C958" s="8" t="s">
        <v>195</v>
      </c>
      <c r="D958" s="8" t="s">
        <v>441</v>
      </c>
      <c r="E958" s="8" t="s">
        <v>12</v>
      </c>
      <c r="F958" s="8" t="s">
        <v>13</v>
      </c>
      <c r="G958" s="8" t="s">
        <v>130</v>
      </c>
      <c r="H958" s="16">
        <v>31.0</v>
      </c>
      <c r="I958" s="15" t="str">
        <f>SUBSTITUTE(Sheet1!K958, "Rp", "")</f>
        <v>3627000</v>
      </c>
    </row>
    <row r="959">
      <c r="A959" s="8" t="s">
        <v>1982</v>
      </c>
      <c r="B959" s="13" t="str">
        <f>HYPERLINK("https://shopee.co.id/SOMETHINC-Hyaluronic-B5-20ml-i.30736001.8735357892", "https://shopee.co.id/SOMETHINC-Hyaluronic-B5-20ml-i.30736001.8735357892")</f>
        <v>https://shopee.co.id/SOMETHINC-Hyaluronic-B5-20ml-i.30736001.8735357892</v>
      </c>
      <c r="C959" s="8" t="s">
        <v>45</v>
      </c>
      <c r="D959" s="8" t="s">
        <v>335</v>
      </c>
      <c r="E959" s="8" t="s">
        <v>12</v>
      </c>
      <c r="F959" s="8" t="s">
        <v>13</v>
      </c>
      <c r="G959" s="8" t="s">
        <v>36</v>
      </c>
      <c r="H959" s="16">
        <v>31.0</v>
      </c>
      <c r="I959" s="15" t="str">
        <f>SUBSTITUTE(Sheet1!K959, "Rp", "")</f>
        <v>3557250</v>
      </c>
    </row>
    <row r="960">
      <c r="A960" s="8" t="s">
        <v>1827</v>
      </c>
      <c r="B960" s="13" t="str">
        <f>HYPERLINK("https://shopee.co.id/Tea-Tree-Serum-20ml-Nadfaskin--i.3087844.197147091", "https://shopee.co.id/Tea-Tree-Serum-20ml-Nadfaskin--i.3087844.197147091")</f>
        <v>https://shopee.co.id/Tea-Tree-Serum-20ml-Nadfaskin--i.3087844.197147091</v>
      </c>
      <c r="C960" s="8" t="s">
        <v>1157</v>
      </c>
      <c r="D960" s="8" t="s">
        <v>1158</v>
      </c>
      <c r="E960" s="8" t="s">
        <v>12</v>
      </c>
      <c r="F960" s="8" t="s">
        <v>13</v>
      </c>
      <c r="G960" s="8" t="s">
        <v>241</v>
      </c>
      <c r="H960" s="16">
        <v>31.0</v>
      </c>
      <c r="I960" s="15" t="str">
        <f>SUBSTITUTE(Sheet1!K960, "Rp", "")</f>
        <v>4554000</v>
      </c>
    </row>
    <row r="961">
      <c r="A961" s="8" t="s">
        <v>1440</v>
      </c>
      <c r="B961" s="13" t="str">
        <f>HYPERLINK("https://shopee.co.id/Tull-Jye-Moisturizing-Essence-i.161178916.3592839397", "https://shopee.co.id/Tull-Jye-Moisturizing-Essence-i.161178916.3592839397")</f>
        <v>https://shopee.co.id/Tull-Jye-Moisturizing-Essence-i.161178916.3592839397</v>
      </c>
      <c r="C961" s="8" t="s">
        <v>1247</v>
      </c>
      <c r="D961" s="8" t="s">
        <v>1248</v>
      </c>
      <c r="E961" s="8" t="s">
        <v>12</v>
      </c>
      <c r="F961" s="8" t="s">
        <v>13</v>
      </c>
      <c r="G961" s="8" t="s">
        <v>61</v>
      </c>
      <c r="H961" s="16">
        <v>31.0</v>
      </c>
      <c r="I961" s="15" t="str">
        <f>SUBSTITUTE(Sheet1!K961, "Rp", "")</f>
        <v>8370000</v>
      </c>
    </row>
    <row r="962">
      <c r="A962" s="8" t="s">
        <v>680</v>
      </c>
      <c r="B962" s="13" t="str">
        <f>HYPERLINK("https://shopee.co.id/Sulwhasoo-Concentrated-Ginseng-Renewing-Serum-Trial-Kit-1-1--i.274949344.7192524376", "https://shopee.co.id/Sulwhasoo-Concentrated-Ginseng-Renewing-Serum-Trial-Kit-1-1--i.274949344.7192524376")</f>
        <v>https://shopee.co.id/Sulwhasoo-Concentrated-Ginseng-Renewing-Serum-Trial-Kit-1-1--i.274949344.7192524376</v>
      </c>
      <c r="C962" s="8" t="s">
        <v>282</v>
      </c>
      <c r="D962" s="8" t="s">
        <v>283</v>
      </c>
      <c r="E962" s="8" t="s">
        <v>12</v>
      </c>
      <c r="F962" s="8" t="s">
        <v>13</v>
      </c>
      <c r="G962" s="8" t="s">
        <v>61</v>
      </c>
      <c r="H962" s="16">
        <v>30.0</v>
      </c>
      <c r="I962" s="15" t="str">
        <f>SUBSTITUTE(Sheet1!K962, "Rp", "")</f>
        <v>42056900</v>
      </c>
    </row>
    <row r="963">
      <c r="A963" s="8" t="s">
        <v>992</v>
      </c>
      <c r="B963" s="13" t="str">
        <f>HYPERLINK("https://shopee.co.id/-innisfree-Black-Tea-Youth-Enhancing-Ampoule-Jumbo-Free-Diffuser-Bundle-i.61504589.7694280121", "https://shopee.co.id/-innisfree-Black-Tea-Youth-Enhancing-Ampoule-Jumbo-Free-Diffuser-Bundle-i.61504589.7694280121")</f>
        <v>https://shopee.co.id/-innisfree-Black-Tea-Youth-Enhancing-Ampoule-Jumbo-Free-Diffuser-Bundle-i.61504589.7694280121</v>
      </c>
      <c r="C963" s="8" t="s">
        <v>294</v>
      </c>
      <c r="D963" s="8" t="s">
        <v>295</v>
      </c>
      <c r="E963" s="8" t="s">
        <v>12</v>
      </c>
      <c r="F963" s="8" t="s">
        <v>13</v>
      </c>
      <c r="G963" s="8" t="s">
        <v>296</v>
      </c>
      <c r="H963" s="16">
        <v>30.0</v>
      </c>
      <c r="I963" s="15" t="str">
        <f>SUBSTITUTE(Sheet1!K963, "Rp", "")</f>
        <v>19460000</v>
      </c>
    </row>
    <row r="964">
      <c r="A964" s="8" t="s">
        <v>1910</v>
      </c>
      <c r="B964" s="13" t="str">
        <f>HYPERLINK("https://shopee.co.id/Avoskin-Your-Skin-Bae-Salicylic-Acid-2-Serum-30ml-i.53887195.3482360589", "https://shopee.co.id/Avoskin-Your-Skin-Bae-Salicylic-Acid-2-Serum-30ml-i.53887195.3482360589")</f>
        <v>https://shopee.co.id/Avoskin-Your-Skin-Bae-Salicylic-Acid-2-Serum-30ml-i.53887195.3482360589</v>
      </c>
      <c r="C964" s="8" t="s">
        <v>83</v>
      </c>
      <c r="D964" s="8" t="s">
        <v>1026</v>
      </c>
      <c r="E964" s="8" t="s">
        <v>12</v>
      </c>
      <c r="F964" s="8" t="s">
        <v>13</v>
      </c>
      <c r="G964" s="8" t="s">
        <v>80</v>
      </c>
      <c r="H964" s="16">
        <v>30.0</v>
      </c>
      <c r="I964" s="15" t="str">
        <f>SUBSTITUTE(Sheet1!K964, "Rp", "")</f>
        <v>3962995</v>
      </c>
    </row>
    <row r="965">
      <c r="A965" s="8" t="s">
        <v>2583</v>
      </c>
      <c r="B965" s="13" t="str">
        <f>HYPERLINK("https://shopee.co.id/AZARINE-C-white-lightening-serum-i.68111.7617921658", "https://shopee.co.id/AZARINE-C-white-lightening-serum-i.68111.7617921658")</f>
        <v>https://shopee.co.id/AZARINE-C-white-lightening-serum-i.68111.7617921658</v>
      </c>
      <c r="C965" s="8" t="s">
        <v>233</v>
      </c>
      <c r="D965" s="8" t="s">
        <v>441</v>
      </c>
      <c r="E965" s="8" t="s">
        <v>12</v>
      </c>
      <c r="F965" s="8" t="s">
        <v>13</v>
      </c>
      <c r="G965" s="8" t="s">
        <v>130</v>
      </c>
      <c r="H965" s="16">
        <v>30.0</v>
      </c>
      <c r="I965" s="15" t="str">
        <f>SUBSTITUTE(Sheet1!K965, "Rp", "")</f>
        <v>1512000</v>
      </c>
    </row>
    <row r="966">
      <c r="A966" s="8" t="s">
        <v>2742</v>
      </c>
      <c r="B966" s="13" t="str">
        <f>HYPERLINK("https://shopee.co.id/Azarine-Refreshing-Essence-Mist-X-Rachel-Goddard-85-ml-i.65323877.8279238758", "https://shopee.co.id/Azarine-Refreshing-Essence-Mist-X-Rachel-Goddard-85-ml-i.65323877.8279238758")</f>
        <v>https://shopee.co.id/Azarine-Refreshing-Essence-Mist-X-Rachel-Goddard-85-ml-i.65323877.8279238758</v>
      </c>
      <c r="C966" s="8" t="s">
        <v>233</v>
      </c>
      <c r="D966" s="8" t="s">
        <v>1600</v>
      </c>
      <c r="E966" s="8" t="s">
        <v>12</v>
      </c>
      <c r="F966" s="8" t="s">
        <v>13</v>
      </c>
      <c r="G966" s="8" t="s">
        <v>296</v>
      </c>
      <c r="H966" s="16">
        <v>30.0</v>
      </c>
      <c r="I966" s="15" t="str">
        <f>SUBSTITUTE(Sheet1!K966, "Rp", "")</f>
        <v>907300</v>
      </c>
    </row>
    <row r="967">
      <c r="A967" s="8" t="s">
        <v>1891</v>
      </c>
      <c r="B967" s="13" t="str">
        <f>HYPERLINK("https://shopee.co.id/Bio-Essence-Bio-White-Advanced-Whitening-Refiner-Toner-100-ml-Wajah-i.63822287.1671468820", "https://shopee.co.id/Bio-Essence-Bio-White-Advanced-Whitening-Refiner-Toner-100-ml-Wajah-i.63822287.1671468820")</f>
        <v>https://shopee.co.id/Bio-Essence-Bio-White-Advanced-Whitening-Refiner-Toner-100-ml-Wajah-i.63822287.1671468820</v>
      </c>
      <c r="C967" s="8" t="s">
        <v>1254</v>
      </c>
      <c r="D967" s="8" t="s">
        <v>835</v>
      </c>
      <c r="E967" s="8" t="s">
        <v>12</v>
      </c>
      <c r="F967" s="8" t="s">
        <v>13</v>
      </c>
      <c r="G967" s="8" t="s">
        <v>61</v>
      </c>
      <c r="H967" s="16">
        <v>30.0</v>
      </c>
      <c r="I967" s="15" t="str">
        <f>SUBSTITUTE(Sheet1!K967, "Rp", "")</f>
        <v>4061900</v>
      </c>
    </row>
    <row r="968">
      <c r="A968" s="8" t="s">
        <v>1455</v>
      </c>
      <c r="B968" s="13" t="str">
        <f>HYPERLINK("https://shopee.co.id/CLINELLE-Caviar-Gold-Firming-Serum-Face-Serum-Wajah-i.173963911.2814299533", "https://shopee.co.id/CLINELLE-Caviar-Gold-Firming-Serum-Face-Serum-Wajah-i.173963911.2814299533")</f>
        <v>https://shopee.co.id/CLINELLE-Caviar-Gold-Firming-Serum-Face-Serum-Wajah-i.173963911.2814299533</v>
      </c>
      <c r="C968" s="8" t="s">
        <v>1456</v>
      </c>
      <c r="D968" s="8" t="s">
        <v>1457</v>
      </c>
      <c r="E968" s="8" t="s">
        <v>12</v>
      </c>
      <c r="F968" s="8" t="s">
        <v>13</v>
      </c>
      <c r="G968" s="8" t="s">
        <v>21</v>
      </c>
      <c r="H968" s="16">
        <v>30.0</v>
      </c>
      <c r="I968" s="15" t="str">
        <f>SUBSTITUTE(Sheet1!K968, "Rp", "")</f>
        <v>8136000</v>
      </c>
    </row>
    <row r="969">
      <c r="A969" s="8" t="s">
        <v>2164</v>
      </c>
      <c r="B969" s="13" t="str">
        <f>HYPERLINK("https://shopee.co.id/DERMALUZ-Facial-Treatment-Power-Essence-with-Galactomyces-i.43690338.3169804932", "https://shopee.co.id/DERMALUZ-Facial-Treatment-Power-Essence-with-Galactomyces-i.43690338.3169804932")</f>
        <v>https://shopee.co.id/DERMALUZ-Facial-Treatment-Power-Essence-with-Galactomyces-i.43690338.3169804932</v>
      </c>
      <c r="C969" s="8" t="s">
        <v>1064</v>
      </c>
      <c r="D969" s="8" t="s">
        <v>1065</v>
      </c>
      <c r="E969" s="8" t="s">
        <v>12</v>
      </c>
      <c r="F969" s="8" t="s">
        <v>13</v>
      </c>
      <c r="G969" s="8" t="s">
        <v>241</v>
      </c>
      <c r="H969" s="16">
        <v>30.0</v>
      </c>
      <c r="I969" s="15" t="str">
        <f>SUBSTITUTE(Sheet1!K969, "Rp", "")</f>
        <v>2670000</v>
      </c>
    </row>
    <row r="970">
      <c r="A970" s="8" t="s">
        <v>1857</v>
      </c>
      <c r="B970" s="13" t="str">
        <f>HYPERLINK("https://shopee.co.id/HAUM-ALPHA-MF-2-Alpha-Arbutin-30-ml-i.214358077.3037506414", "https://shopee.co.id/HAUM-ALPHA-MF-2-Alpha-Arbutin-30-ml-i.214358077.3037506414")</f>
        <v>https://shopee.co.id/HAUM-ALPHA-MF-2-Alpha-Arbutin-30-ml-i.214358077.3037506414</v>
      </c>
      <c r="C970" s="8" t="s">
        <v>1144</v>
      </c>
      <c r="D970" s="8" t="s">
        <v>1259</v>
      </c>
      <c r="E970" s="8" t="s">
        <v>12</v>
      </c>
      <c r="F970" s="8" t="s">
        <v>13</v>
      </c>
      <c r="G970" s="8" t="s">
        <v>469</v>
      </c>
      <c r="H970" s="16">
        <v>30.0</v>
      </c>
      <c r="I970" s="15" t="str">
        <f>SUBSTITUTE(Sheet1!K970, "Rp", "")</f>
        <v>4330000</v>
      </c>
    </row>
    <row r="971">
      <c r="A971" s="8" t="s">
        <v>1843</v>
      </c>
      <c r="B971" s="13" t="str">
        <f>HYPERLINK("https://shopee.co.id/Haum-LCID-Salicylic-Acid-2-Serum-28ml-i.825870.5811001250", "https://shopee.co.id/Haum-LCID-Salicylic-Acid-2-Serum-28ml-i.825870.5811001250")</f>
        <v>https://shopee.co.id/Haum-LCID-Salicylic-Acid-2-Serum-28ml-i.825870.5811001250</v>
      </c>
      <c r="C971" s="8" t="s">
        <v>1144</v>
      </c>
      <c r="D971" s="8" t="s">
        <v>1184</v>
      </c>
      <c r="E971" s="8" t="s">
        <v>12</v>
      </c>
      <c r="F971" s="8" t="s">
        <v>13</v>
      </c>
      <c r="G971" s="8" t="s">
        <v>21</v>
      </c>
      <c r="H971" s="16">
        <v>30.0</v>
      </c>
      <c r="I971" s="15" t="str">
        <f>SUBSTITUTE(Sheet1!K971, "Rp", "")</f>
        <v>4440000</v>
      </c>
    </row>
    <row r="972">
      <c r="A972" s="8" t="s">
        <v>1302</v>
      </c>
      <c r="B972" s="13" t="str">
        <f>HYPERLINK("https://shopee.co.id/Laneige-Glowy-Makeup-Serum-30ml-OL21--i.52917348.2916611610", "https://shopee.co.id/Laneige-Glowy-Makeup-Serum-30ml-OL21--i.52917348.2916611610")</f>
        <v>https://shopee.co.id/Laneige-Glowy-Makeup-Serum-30ml-OL21--i.52917348.2916611610</v>
      </c>
      <c r="C972" s="8" t="s">
        <v>364</v>
      </c>
      <c r="D972" s="8" t="s">
        <v>365</v>
      </c>
      <c r="E972" s="8" t="s">
        <v>12</v>
      </c>
      <c r="F972" s="8" t="s">
        <v>13</v>
      </c>
      <c r="G972" s="8" t="s">
        <v>61</v>
      </c>
      <c r="H972" s="16">
        <v>30.0</v>
      </c>
      <c r="I972" s="15" t="str">
        <f>SUBSTITUTE(Sheet1!K972, "Rp", "")</f>
        <v>10739800</v>
      </c>
    </row>
    <row r="973">
      <c r="A973" s="8" t="s">
        <v>1886</v>
      </c>
      <c r="B973" s="13" t="str">
        <f>HYPERLINK("https://shopee.co.id/Langsre-Hydraluronic-Serum-30ml-i.24099389.7318555507", "https://shopee.co.id/Langsre-Hydraluronic-Serum-30ml-i.24099389.7318555507")</f>
        <v>https://shopee.co.id/Langsre-Hydraluronic-Serum-30ml-i.24099389.7318555507</v>
      </c>
      <c r="C973" s="8" t="s">
        <v>1295</v>
      </c>
      <c r="D973" s="8" t="s">
        <v>1296</v>
      </c>
      <c r="E973" s="8" t="s">
        <v>12</v>
      </c>
      <c r="F973" s="8" t="s">
        <v>13</v>
      </c>
      <c r="G973" s="8" t="s">
        <v>532</v>
      </c>
      <c r="H973" s="16">
        <v>30.0</v>
      </c>
      <c r="I973" s="15" t="str">
        <f>SUBSTITUTE(Sheet1!K973, "Rp", "")</f>
        <v>4149686</v>
      </c>
    </row>
    <row r="974">
      <c r="A974" s="8" t="s">
        <v>2429</v>
      </c>
      <c r="B974" s="13" t="str">
        <f>HYPERLINK("https://shopee.co.id/Mireya-Retinol-Biostine-Anti-Aging-Boost-Serum-i.101578297.6688189539", "https://shopee.co.id/Mireya-Retinol-Biostine-Anti-Aging-Boost-Serum-i.101578297.6688189539")</f>
        <v>https://shopee.co.id/Mireya-Retinol-Biostine-Anti-Aging-Boost-Serum-i.101578297.6688189539</v>
      </c>
      <c r="C974" s="8" t="s">
        <v>2430</v>
      </c>
      <c r="D974" s="8" t="s">
        <v>2431</v>
      </c>
      <c r="E974" s="8" t="s">
        <v>12</v>
      </c>
      <c r="F974" s="8" t="s">
        <v>13</v>
      </c>
      <c r="G974" s="8" t="s">
        <v>21</v>
      </c>
      <c r="H974" s="16">
        <v>30.0</v>
      </c>
      <c r="I974" s="15" t="str">
        <f>SUBSTITUTE(Sheet1!K974, "Rp", "")</f>
        <v>1871100</v>
      </c>
    </row>
    <row r="975">
      <c r="A975" s="8" t="s">
        <v>2297</v>
      </c>
      <c r="B975" s="13" t="str">
        <f>HYPERLINK("https://shopee.co.id/Probeauty-Night-Serum-Glow-Whitening-Glowing-Pearl-Serum-With-Conchiolin-Protein-hyarulonic-acid-i.9171679.11613853440", "https://shopee.co.id/Probeauty-Night-Serum-Glow-Whitening-Glowing-Pearl-Serum-With-Conchiolin-Protein-hyarulonic-acid-i.9171679.11613853440")</f>
        <v>https://shopee.co.id/Probeauty-Night-Serum-Glow-Whitening-Glowing-Pearl-Serum-With-Conchiolin-Protein-hyarulonic-acid-i.9171679.11613853440</v>
      </c>
      <c r="C975" s="8" t="s">
        <v>2207</v>
      </c>
      <c r="D975" s="8" t="s">
        <v>2208</v>
      </c>
      <c r="E975" s="8" t="s">
        <v>12</v>
      </c>
      <c r="F975" s="8" t="s">
        <v>13</v>
      </c>
      <c r="G975" s="8" t="s">
        <v>2209</v>
      </c>
      <c r="H975" s="16">
        <v>30.0</v>
      </c>
      <c r="I975" s="15" t="str">
        <f>SUBSTITUTE(Sheet1!K975, "Rp", "")</f>
        <v>2291700</v>
      </c>
    </row>
    <row r="976">
      <c r="A976" s="8" t="s">
        <v>1753</v>
      </c>
      <c r="B976" s="13" t="str">
        <f>HYPERLINK("https://shopee.co.id/ZUZU-Darkspot-Serum-i.400583963.3481553898", "https://shopee.co.id/ZUZU-Darkspot-Serum-i.400583963.3481553898")</f>
        <v>https://shopee.co.id/ZUZU-Darkspot-Serum-i.400583963.3481553898</v>
      </c>
      <c r="C976" s="8" t="s">
        <v>1661</v>
      </c>
      <c r="D976" s="8" t="s">
        <v>1662</v>
      </c>
      <c r="E976" s="8" t="s">
        <v>12</v>
      </c>
      <c r="F976" s="8" t="s">
        <v>13</v>
      </c>
      <c r="G976" s="8" t="s">
        <v>98</v>
      </c>
      <c r="H976" s="16">
        <v>30.0</v>
      </c>
      <c r="I976" s="15" t="str">
        <f>SUBSTITUTE(Sheet1!K976, "Rp", "")</f>
        <v>4955925</v>
      </c>
    </row>
    <row r="977">
      <c r="A977" s="8" t="s">
        <v>1895</v>
      </c>
      <c r="B977" s="13" t="str">
        <f>HYPERLINK("https://shopee.co.id/Avoskin-Your-Skin-Bae-Marine-Collagen-10-Ginseng-Root-30ml-i.825870.7981314043", "https://shopee.co.id/Avoskin-Your-Skin-Bae-Marine-Collagen-10-Ginseng-Root-30ml-i.825870.7981314043")</f>
        <v>https://shopee.co.id/Avoskin-Your-Skin-Bae-Marine-Collagen-10-Ginseng-Root-30ml-i.825870.7981314043</v>
      </c>
      <c r="C977" s="8" t="s">
        <v>83</v>
      </c>
      <c r="D977" s="8" t="s">
        <v>1184</v>
      </c>
      <c r="E977" s="8" t="s">
        <v>12</v>
      </c>
      <c r="F977" s="8" t="s">
        <v>13</v>
      </c>
      <c r="G977" s="8" t="s">
        <v>21</v>
      </c>
      <c r="H977" s="16">
        <v>29.0</v>
      </c>
      <c r="I977" s="15" t="str">
        <f>SUBSTITUTE(Sheet1!K977, "Rp", "")</f>
        <v>4031000</v>
      </c>
    </row>
    <row r="978">
      <c r="A978" s="8" t="s">
        <v>1896</v>
      </c>
      <c r="B978" s="13" t="str">
        <f>HYPERLINK("https://shopee.co.id/Avoskin-Your-Skin-Bae-Vitamin-C-3-Niacinamide-2-Mandarin-Orange-Fruit-Extract-Serum-30ml-i.825870.6984411148", "https://shopee.co.id/Avoskin-Your-Skin-Bae-Vitamin-C-3-Niacinamide-2-Mandarin-Orange-Fruit-Extract-Serum-30ml-i.825870.6984411148")</f>
        <v>https://shopee.co.id/Avoskin-Your-Skin-Bae-Vitamin-C-3-Niacinamide-2-Mandarin-Orange-Fruit-Extract-Serum-30ml-i.825870.6984411148</v>
      </c>
      <c r="C978" s="8" t="s">
        <v>83</v>
      </c>
      <c r="D978" s="8" t="s">
        <v>1184</v>
      </c>
      <c r="E978" s="8" t="s">
        <v>12</v>
      </c>
      <c r="F978" s="8" t="s">
        <v>13</v>
      </c>
      <c r="G978" s="8" t="s">
        <v>21</v>
      </c>
      <c r="H978" s="16">
        <v>29.0</v>
      </c>
      <c r="I978" s="15" t="str">
        <f>SUBSTITUTE(Sheet1!K978, "Rp", "")</f>
        <v>4031000</v>
      </c>
    </row>
    <row r="979">
      <c r="A979" s="8" t="s">
        <v>2224</v>
      </c>
      <c r="B979" s="13" t="str">
        <f>HYPERLINK("https://shopee.co.id/Bio-Essence-Bio-Water-Soothing-Cleanser-Gel-150-ml-Perawatan-Wajah-i.63822287.5517933391", "https://shopee.co.id/Bio-Essence-Bio-Water-Soothing-Cleanser-Gel-150-ml-Perawatan-Wajah-i.63822287.5517933391")</f>
        <v>https://shopee.co.id/Bio-Essence-Bio-Water-Soothing-Cleanser-Gel-150-ml-Perawatan-Wajah-i.63822287.5517933391</v>
      </c>
      <c r="C979" s="8" t="s">
        <v>1254</v>
      </c>
      <c r="D979" s="8" t="s">
        <v>835</v>
      </c>
      <c r="E979" s="8" t="s">
        <v>12</v>
      </c>
      <c r="F979" s="8" t="s">
        <v>13</v>
      </c>
      <c r="G979" s="8" t="s">
        <v>61</v>
      </c>
      <c r="H979" s="16">
        <v>29.0</v>
      </c>
      <c r="I979" s="15" t="str">
        <f>SUBSTITUTE(Sheet1!K979, "Rp", "")</f>
        <v>2502500</v>
      </c>
    </row>
    <row r="980">
      <c r="A980" s="8" t="s">
        <v>2298</v>
      </c>
      <c r="B980" s="13" t="str">
        <f>HYPERLINK("https://shopee.co.id/Buy-1-Get-1-Bio-Essence-Bio-Renew-Deep-Cleanser-100-gr-i.63822287.13701480505", "https://shopee.co.id/Buy-1-Get-1-Bio-Essence-Bio-Renew-Deep-Cleanser-100-gr-i.63822287.13701480505")</f>
        <v>https://shopee.co.id/Buy-1-Get-1-Bio-Essence-Bio-Renew-Deep-Cleanser-100-gr-i.63822287.13701480505</v>
      </c>
      <c r="C980" s="8" t="s">
        <v>1254</v>
      </c>
      <c r="D980" s="8" t="s">
        <v>835</v>
      </c>
      <c r="E980" s="8" t="s">
        <v>12</v>
      </c>
      <c r="F980" s="8" t="s">
        <v>13</v>
      </c>
      <c r="G980" s="8" t="s">
        <v>61</v>
      </c>
      <c r="H980" s="16">
        <v>29.0</v>
      </c>
      <c r="I980" s="15" t="str">
        <f>SUBSTITUTE(Sheet1!K980, "Rp", "")</f>
        <v>2291000</v>
      </c>
    </row>
    <row r="981">
      <c r="A981" s="8" t="s">
        <v>2124</v>
      </c>
      <c r="B981" s="13" t="str">
        <f>HYPERLINK("https://shopee.co.id/Calysta-Serum-Untuk-Kulit-Berjerawat-i.3188555.1878297056", "https://shopee.co.id/Calysta-Serum-Untuk-Kulit-Berjerawat-i.3188555.1878297056")</f>
        <v>https://shopee.co.id/Calysta-Serum-Untuk-Kulit-Berjerawat-i.3188555.1878297056</v>
      </c>
      <c r="C981" s="8" t="s">
        <v>1954</v>
      </c>
      <c r="D981" s="8" t="s">
        <v>1692</v>
      </c>
      <c r="E981" s="8" t="s">
        <v>12</v>
      </c>
      <c r="F981" s="8" t="s">
        <v>13</v>
      </c>
      <c r="G981" s="8" t="s">
        <v>241</v>
      </c>
      <c r="H981" s="16">
        <v>29.0</v>
      </c>
      <c r="I981" s="15" t="str">
        <f>SUBSTITUTE(Sheet1!K981, "Rp", "")</f>
        <v>2853000</v>
      </c>
    </row>
    <row r="982">
      <c r="A982" s="8" t="s">
        <v>1695</v>
      </c>
      <c r="B982" s="13" t="str">
        <f>HYPERLINK("https://shopee.co.id/Crystallure-Supr-Revital-Oil-Serum-30ml-i.30736001.3736445942", "https://shopee.co.id/Crystallure-Supr-Revital-Oil-Serum-30ml-i.30736001.3736445942")</f>
        <v>https://shopee.co.id/Crystallure-Supr-Revital-Oil-Serum-30ml-i.30736001.3736445942</v>
      </c>
      <c r="C982" s="8" t="s">
        <v>1696</v>
      </c>
      <c r="D982" s="8" t="s">
        <v>335</v>
      </c>
      <c r="E982" s="8" t="s">
        <v>12</v>
      </c>
      <c r="F982" s="8" t="s">
        <v>13</v>
      </c>
      <c r="G982" s="8" t="s">
        <v>36</v>
      </c>
      <c r="H982" s="16">
        <v>29.0</v>
      </c>
      <c r="I982" s="15" t="str">
        <f>SUBSTITUTE(Sheet1!K982, "Rp", "")</f>
        <v>5437500</v>
      </c>
    </row>
    <row r="983">
      <c r="A983" s="8" t="s">
        <v>1404</v>
      </c>
      <c r="B983" s="13" t="str">
        <f>HYPERLINK("https://shopee.co.id/GEUT-BY-DR-T-REVITALIZE-Vitamin-C-Serum-30ml-i.430986274.6890168571", "https://shopee.co.id/GEUT-BY-DR-T-REVITALIZE-Vitamin-C-Serum-30ml-i.430986274.6890168571")</f>
        <v>https://shopee.co.id/GEUT-BY-DR-T-REVITALIZE-Vitamin-C-Serum-30ml-i.430986274.6890168571</v>
      </c>
      <c r="C983" s="8" t="s">
        <v>1167</v>
      </c>
      <c r="D983" s="8" t="s">
        <v>1168</v>
      </c>
      <c r="E983" s="8" t="s">
        <v>12</v>
      </c>
      <c r="F983" s="8" t="s">
        <v>13</v>
      </c>
      <c r="G983" s="8" t="s">
        <v>21</v>
      </c>
      <c r="H983" s="16">
        <v>29.0</v>
      </c>
      <c r="I983" s="15" t="str">
        <f>SUBSTITUTE(Sheet1!K983, "Rp", "")</f>
        <v>8822600</v>
      </c>
    </row>
    <row r="984">
      <c r="A984" s="8" t="s">
        <v>2009</v>
      </c>
      <c r="B984" s="13" t="str">
        <f>HYPERLINK("https://shopee.co.id/HISERHA-Acne-Essence-60-ml-Serum-Wajah-Jerawat-Khusus-Pria-i.129153987.6145412081", "https://shopee.co.id/HISERHA-Acne-Essence-60-ml-Serum-Wajah-Jerawat-Khusus-Pria-i.129153987.6145412081")</f>
        <v>https://shopee.co.id/HISERHA-Acne-Essence-60-ml-Serum-Wajah-Jerawat-Khusus-Pria-i.129153987.6145412081</v>
      </c>
      <c r="C984" s="8" t="s">
        <v>1952</v>
      </c>
      <c r="D984" s="8" t="s">
        <v>182</v>
      </c>
      <c r="E984" s="8" t="s">
        <v>12</v>
      </c>
      <c r="F984" s="8" t="s">
        <v>13</v>
      </c>
      <c r="G984" s="8" t="s">
        <v>61</v>
      </c>
      <c r="H984" s="16">
        <v>29.0</v>
      </c>
      <c r="I984" s="15" t="str">
        <f>SUBSTITUTE(Sheet1!K984, "Rp", "")</f>
        <v>3433703</v>
      </c>
    </row>
    <row r="985">
      <c r="A985" s="8" t="s">
        <v>1970</v>
      </c>
      <c r="B985" s="13" t="str">
        <f>HYPERLINK("https://shopee.co.id/I-m-From-Mugwort-Essence-size-30-ml-Edit-by-Sociolla--i.224957239.11620237635", "https://shopee.co.id/I-m-From-Mugwort-Essence-size-30-ml-Edit-by-Sociolla--i.224957239.11620237635")</f>
        <v>https://shopee.co.id/I-m-From-Mugwort-Essence-size-30-ml-Edit-by-Sociolla--i.224957239.11620237635</v>
      </c>
      <c r="C985" s="8" t="s">
        <v>1544</v>
      </c>
      <c r="D985" s="8" t="s">
        <v>492</v>
      </c>
      <c r="E985" s="8" t="s">
        <v>12</v>
      </c>
      <c r="F985" s="8" t="s">
        <v>13</v>
      </c>
      <c r="G985" s="8" t="s">
        <v>21</v>
      </c>
      <c r="H985" s="16">
        <v>29.0</v>
      </c>
      <c r="I985" s="15" t="str">
        <f>SUBSTITUTE(Sheet1!K985, "Rp", "")</f>
        <v>3625000</v>
      </c>
    </row>
    <row r="986">
      <c r="A986" s="8" t="s">
        <v>1657</v>
      </c>
      <c r="B986" s="13" t="str">
        <f>HYPERLINK("https://shopee.co.id/Iunik-Propolis-Vitamin-Synergy-Serum-50ml-i.270765534.7948917113", "https://shopee.co.id/Iunik-Propolis-Vitamin-Synergy-Serum-50ml-i.270765534.7948917113")</f>
        <v>https://shopee.co.id/Iunik-Propolis-Vitamin-Synergy-Serum-50ml-i.270765534.7948917113</v>
      </c>
      <c r="C986" s="8" t="s">
        <v>1658</v>
      </c>
      <c r="D986" s="8" t="s">
        <v>1659</v>
      </c>
      <c r="E986" s="8" t="s">
        <v>12</v>
      </c>
      <c r="F986" s="8" t="s">
        <v>13</v>
      </c>
      <c r="G986" s="8" t="s">
        <v>21</v>
      </c>
      <c r="H986" s="16">
        <v>29.0</v>
      </c>
      <c r="I986" s="15" t="str">
        <f>SUBSTITUTE(Sheet1!K986, "Rp", "")</f>
        <v>5801600</v>
      </c>
    </row>
    <row r="987">
      <c r="A987" s="8" t="s">
        <v>2077</v>
      </c>
      <c r="B987" s="13" t="str">
        <f>HYPERLINK("https://shopee.co.id/LV-OVERCONCENTRATED-LIFT-SERUM-5ML-TUBE-i.70687187.6371788053", "https://shopee.co.id/LV-OVERCONCENTRATED-LIFT-SERUM-5ML-TUBE-i.70687187.6371788053")</f>
        <v>https://shopee.co.id/LV-OVERCONCENTRATED-LIFT-SERUM-5ML-TUBE-i.70687187.6371788053</v>
      </c>
      <c r="C987" s="8" t="s">
        <v>1672</v>
      </c>
      <c r="D987" s="8" t="s">
        <v>1673</v>
      </c>
      <c r="E987" s="8" t="s">
        <v>12</v>
      </c>
      <c r="F987" s="8" t="s">
        <v>13</v>
      </c>
      <c r="G987" s="8" t="s">
        <v>61</v>
      </c>
      <c r="H987" s="16">
        <v>29.0</v>
      </c>
      <c r="I987" s="15" t="str">
        <f>SUBSTITUTE(Sheet1!K987, "Rp", "")</f>
        <v>3121800</v>
      </c>
    </row>
    <row r="988">
      <c r="A988" s="8" t="s">
        <v>2121</v>
      </c>
      <c r="B988" s="13" t="str">
        <f>HYPERLINK("https://shopee.co.id/Make-Over-Hydration-Serum-i.30736001.7337317450", "https://shopee.co.id/Make-Over-Hydration-Serum-i.30736001.7337317450")</f>
        <v>https://shopee.co.id/Make-Over-Hydration-Serum-i.30736001.7337317450</v>
      </c>
      <c r="C988" s="8" t="s">
        <v>290</v>
      </c>
      <c r="D988" s="8" t="s">
        <v>335</v>
      </c>
      <c r="E988" s="8" t="s">
        <v>12</v>
      </c>
      <c r="F988" s="8" t="s">
        <v>13</v>
      </c>
      <c r="G988" s="8" t="s">
        <v>36</v>
      </c>
      <c r="H988" s="16">
        <v>29.0</v>
      </c>
      <c r="I988" s="15" t="str">
        <f>SUBSTITUTE(Sheet1!K988, "Rp", "")</f>
        <v>2883000</v>
      </c>
    </row>
    <row r="989">
      <c r="A989" s="8" t="s">
        <v>1293</v>
      </c>
      <c r="B989" s="13" t="str">
        <f>HYPERLINK("https://shopee.co.id/Mamonde-Vital-Vitamin-Essence-100ml-Buy-1-Get-1-i.160417197.11846625196", "https://shopee.co.id/Mamonde-Vital-Vitamin-Essence-100ml-Buy-1-Get-1-i.160417197.11846625196")</f>
        <v>https://shopee.co.id/Mamonde-Vital-Vitamin-Essence-100ml-Buy-1-Get-1-i.160417197.11846625196</v>
      </c>
      <c r="C989" s="8" t="s">
        <v>447</v>
      </c>
      <c r="D989" s="8" t="s">
        <v>448</v>
      </c>
      <c r="E989" s="8" t="s">
        <v>12</v>
      </c>
      <c r="F989" s="8" t="s">
        <v>13</v>
      </c>
      <c r="G989" s="8" t="s">
        <v>61</v>
      </c>
      <c r="H989" s="16">
        <v>29.0</v>
      </c>
      <c r="I989" s="15" t="str">
        <f>SUBSTITUTE(Sheet1!K989, "Rp", "")</f>
        <v>10842500</v>
      </c>
    </row>
    <row r="990">
      <c r="A990" s="8" t="s">
        <v>1811</v>
      </c>
      <c r="B990" s="13" t="str">
        <f>HYPERLINK("https://shopee.co.id/MISSHA-Misa-Yei-Hyun-Emulsion-140ml--i.37557990.3882448622", "https://shopee.co.id/MISSHA-Misa-Yei-Hyun-Emulsion-140ml--i.37557990.3882448622")</f>
        <v>https://shopee.co.id/MISSHA-Misa-Yei-Hyun-Emulsion-140ml--i.37557990.3882448622</v>
      </c>
      <c r="C990" s="8" t="s">
        <v>695</v>
      </c>
      <c r="D990" s="8" t="s">
        <v>696</v>
      </c>
      <c r="E990" s="8" t="s">
        <v>12</v>
      </c>
      <c r="F990" s="8" t="s">
        <v>13</v>
      </c>
      <c r="G990" s="8" t="s">
        <v>80</v>
      </c>
      <c r="H990" s="16">
        <v>29.0</v>
      </c>
      <c r="I990" s="15" t="str">
        <f>SUBSTITUTE(Sheet1!K990, "Rp", "")</f>
        <v>4628400</v>
      </c>
    </row>
    <row r="991">
      <c r="A991" s="8" t="s">
        <v>1332</v>
      </c>
      <c r="B991" s="13" t="str">
        <f>HYPERLINK("https://shopee.co.id/MISSHA-Time-Revolution-The-First-Essence-5X-150ml-Free-2-Mascure-Mask-Guaiazulene-Madecasoid--i.37557990.2990487051", "https://shopee.co.id/MISSHA-Time-Revolution-The-First-Essence-5X-150ml-Free-2-Mascure-Mask-Guaiazulene-Madecasoid--i.37557990.2990487051")</f>
        <v>https://shopee.co.id/MISSHA-Time-Revolution-The-First-Essence-5X-150ml-Free-2-Mascure-Mask-Guaiazulene-Madecasoid--i.37557990.2990487051</v>
      </c>
      <c r="C991" s="8" t="s">
        <v>695</v>
      </c>
      <c r="D991" s="8" t="s">
        <v>696</v>
      </c>
      <c r="E991" s="8" t="s">
        <v>12</v>
      </c>
      <c r="F991" s="8" t="s">
        <v>13</v>
      </c>
      <c r="G991" s="8" t="s">
        <v>80</v>
      </c>
      <c r="H991" s="16">
        <v>29.0</v>
      </c>
      <c r="I991" s="15" t="str">
        <f>SUBSTITUTE(Sheet1!K991, "Rp", "")</f>
        <v>10135500</v>
      </c>
    </row>
    <row r="992">
      <c r="A992" s="8" t="s">
        <v>2384</v>
      </c>
      <c r="B992" s="13" t="str">
        <f>HYPERLINK("https://shopee.co.id/Runaskin-Tone-Perfection-Vitamin-C-Serum-i.98054049.2261830955", "https://shopee.co.id/Runaskin-Tone-Perfection-Vitamin-C-Serum-i.98054049.2261830955")</f>
        <v>https://shopee.co.id/Runaskin-Tone-Perfection-Vitamin-C-Serum-i.98054049.2261830955</v>
      </c>
      <c r="C992" s="8" t="s">
        <v>2385</v>
      </c>
      <c r="D992" s="8" t="s">
        <v>2386</v>
      </c>
      <c r="E992" s="8" t="s">
        <v>12</v>
      </c>
      <c r="F992" s="8" t="s">
        <v>13</v>
      </c>
      <c r="G992" s="8" t="s">
        <v>1621</v>
      </c>
      <c r="H992" s="16">
        <v>29.0</v>
      </c>
      <c r="I992" s="15" t="str">
        <f>SUBSTITUTE(Sheet1!K992, "Rp", "")</f>
        <v>2002500</v>
      </c>
    </row>
    <row r="993">
      <c r="A993" s="8" t="s">
        <v>3422</v>
      </c>
      <c r="B993" s="13" t="str">
        <f>HYPERLINK("https://shopee.co.id/Smooto-Egg-Collagen-White-Serum-i.65619901.1086898498", "https://shopee.co.id/Smooto-Egg-Collagen-White-Serum-i.65619901.1086898498")</f>
        <v>https://shopee.co.id/Smooto-Egg-Collagen-White-Serum-i.65619901.1086898498</v>
      </c>
      <c r="C993" s="8" t="s">
        <v>2779</v>
      </c>
      <c r="D993" s="8" t="s">
        <v>2780</v>
      </c>
      <c r="E993" s="8" t="s">
        <v>12</v>
      </c>
      <c r="F993" s="8" t="s">
        <v>13</v>
      </c>
      <c r="G993" s="8" t="s">
        <v>85</v>
      </c>
      <c r="H993" s="16">
        <v>29.0</v>
      </c>
      <c r="I993" s="15" t="str">
        <f>SUBSTITUTE(Sheet1!K993, "Rp", "")</f>
        <v>343100</v>
      </c>
    </row>
    <row r="994">
      <c r="A994" s="8" t="s">
        <v>1835</v>
      </c>
      <c r="B994" s="13" t="str">
        <f>HYPERLINK("https://shopee.co.id/Somethinc-Level-1-Retinol-20ml-i.136011044.3764241259", "https://shopee.co.id/Somethinc-Level-1-Retinol-20ml-i.136011044.3764241259")</f>
        <v>https://shopee.co.id/Somethinc-Level-1-Retinol-20ml-i.136011044.3764241259</v>
      </c>
      <c r="C994" s="8" t="s">
        <v>45</v>
      </c>
      <c r="D994" s="8" t="s">
        <v>632</v>
      </c>
      <c r="E994" s="8" t="s">
        <v>12</v>
      </c>
      <c r="F994" s="8" t="s">
        <v>13</v>
      </c>
      <c r="G994" s="8" t="s">
        <v>21</v>
      </c>
      <c r="H994" s="16">
        <v>29.0</v>
      </c>
      <c r="I994" s="15" t="str">
        <f>SUBSTITUTE(Sheet1!K994, "Rp", "")</f>
        <v>4495000</v>
      </c>
    </row>
    <row r="995">
      <c r="A995" s="8" t="s">
        <v>1836</v>
      </c>
      <c r="B995" s="13" t="str">
        <f>HYPERLINK("https://shopee.co.id/SOMETHINC-Salmon-DNA-Marine-Collagen-Elixir-20ml-i.68111.9351981744", "https://shopee.co.id/SOMETHINC-Salmon-DNA-Marine-Collagen-Elixir-20ml-i.68111.9351981744")</f>
        <v>https://shopee.co.id/SOMETHINC-Salmon-DNA-Marine-Collagen-Elixir-20ml-i.68111.9351981744</v>
      </c>
      <c r="C995" s="8" t="s">
        <v>45</v>
      </c>
      <c r="D995" s="8" t="s">
        <v>441</v>
      </c>
      <c r="E995" s="8" t="s">
        <v>12</v>
      </c>
      <c r="F995" s="8" t="s">
        <v>13</v>
      </c>
      <c r="G995" s="8" t="s">
        <v>130</v>
      </c>
      <c r="H995" s="16">
        <v>29.0</v>
      </c>
      <c r="I995" s="15" t="str">
        <f>SUBSTITUTE(Sheet1!K995, "Rp", "")</f>
        <v>4495000</v>
      </c>
    </row>
    <row r="996">
      <c r="A996" s="8" t="s">
        <v>1934</v>
      </c>
      <c r="B996" s="13" t="str">
        <f>HYPERLINK("https://shopee.co.id/Avoskin-Your-Skin-Bae-Serum-Niacinamide-12-Centella-Asiatica-30ml-i.50948181.11917398025", "https://shopee.co.id/Avoskin-Your-Skin-Bae-Serum-Niacinamide-12-Centella-Asiatica-30ml-i.50948181.11917398025")</f>
        <v>https://shopee.co.id/Avoskin-Your-Skin-Bae-Serum-Niacinamide-12-Centella-Asiatica-30ml-i.50948181.11917398025</v>
      </c>
      <c r="C996" s="8" t="s">
        <v>83</v>
      </c>
      <c r="D996" s="8" t="s">
        <v>1129</v>
      </c>
      <c r="E996" s="8" t="s">
        <v>12</v>
      </c>
      <c r="F996" s="8" t="s">
        <v>13</v>
      </c>
      <c r="G996" s="8" t="s">
        <v>1130</v>
      </c>
      <c r="H996" s="16">
        <v>28.0</v>
      </c>
      <c r="I996" s="15" t="str">
        <f>SUBSTITUTE(Sheet1!K996, "Rp", "")</f>
        <v>3810034</v>
      </c>
    </row>
    <row r="997">
      <c r="A997" s="8" t="s">
        <v>1959</v>
      </c>
      <c r="B997" s="13" t="str">
        <f>HYPERLINK("https://shopee.co.id/Avoskin-YSB-Vitamin-C-3-Niacinamide-2-Mandarin-Orange-Fruit-Extract-Serum-i.110573301.10237453874", "https://shopee.co.id/Avoskin-YSB-Vitamin-C-3-Niacinamide-2-Mandarin-Orange-Fruit-Extract-Serum-i.110573301.10237453874")</f>
        <v>https://shopee.co.id/Avoskin-YSB-Vitamin-C-3-Niacinamide-2-Mandarin-Orange-Fruit-Extract-Serum-i.110573301.10237453874</v>
      </c>
      <c r="C997" s="8" t="s">
        <v>83</v>
      </c>
      <c r="D997" s="8" t="s">
        <v>227</v>
      </c>
      <c r="E997" s="8" t="s">
        <v>12</v>
      </c>
      <c r="F997" s="8" t="s">
        <v>13</v>
      </c>
      <c r="G997" s="8" t="s">
        <v>61</v>
      </c>
      <c r="H997" s="16">
        <v>28.0</v>
      </c>
      <c r="I997" s="15" t="str">
        <f>SUBSTITUTE(Sheet1!K997, "Rp", "")</f>
        <v>3698800</v>
      </c>
    </row>
    <row r="998">
      <c r="A998" s="8" t="s">
        <v>658</v>
      </c>
      <c r="B998" s="13" t="str">
        <f>HYPERLINK("https://shopee.co.id/Azarine-Easy-White-Herbal-Moisturizer-Serum-20ml-i.30736001.9952466842", "https://shopee.co.id/Azarine-Easy-White-Herbal-Moisturizer-Serum-20ml-i.30736001.9952466842")</f>
        <v>https://shopee.co.id/Azarine-Easy-White-Herbal-Moisturizer-Serum-20ml-i.30736001.9952466842</v>
      </c>
      <c r="C998" s="8" t="s">
        <v>233</v>
      </c>
      <c r="D998" s="8" t="s">
        <v>335</v>
      </c>
      <c r="E998" s="8" t="s">
        <v>12</v>
      </c>
      <c r="F998" s="8" t="s">
        <v>13</v>
      </c>
      <c r="G998" s="8" t="s">
        <v>36</v>
      </c>
      <c r="H998" s="16">
        <v>28.0</v>
      </c>
      <c r="I998" s="15" t="str">
        <f>SUBSTITUTE(Sheet1!K998, "Rp", "")</f>
        <v>658000</v>
      </c>
    </row>
    <row r="999">
      <c r="A999" s="8" t="s">
        <v>1839</v>
      </c>
      <c r="B999" s="13" t="str">
        <f>HYPERLINK("https://shopee.co.id/Dr-Jart-Cryo-Rubber-with-Brightening-Vitamin-C-i.126014132.7457921655", "https://shopee.co.id/Dr-Jart-Cryo-Rubber-with-Brightening-Vitamin-C-i.126014132.7457921655")</f>
        <v>https://shopee.co.id/Dr-Jart-Cryo-Rubber-with-Brightening-Vitamin-C-i.126014132.7457921655</v>
      </c>
      <c r="C999" s="8" t="s">
        <v>639</v>
      </c>
      <c r="D999" s="8" t="s">
        <v>640</v>
      </c>
      <c r="E999" s="8" t="s">
        <v>12</v>
      </c>
      <c r="F999" s="8" t="s">
        <v>13</v>
      </c>
      <c r="G999" s="8" t="s">
        <v>61</v>
      </c>
      <c r="H999" s="16">
        <v>28.0</v>
      </c>
      <c r="I999" s="15" t="str">
        <f>SUBSTITUTE(Sheet1!K999, "Rp", "")</f>
        <v>4462500</v>
      </c>
    </row>
    <row r="1000">
      <c r="A1000" s="8" t="s">
        <v>2131</v>
      </c>
      <c r="B1000" s="13" t="str">
        <f>HYPERLINK("https://shopee.co.id/Energy-Serum-MS-GLOW-FOR-MEN-i.218954892.7515978220", "https://shopee.co.id/Energy-Serum-MS-GLOW-FOR-MEN-i.218954892.7515978220")</f>
        <v>https://shopee.co.id/Energy-Serum-MS-GLOW-FOR-MEN-i.218954892.7515978220</v>
      </c>
      <c r="C1000" s="8" t="s">
        <v>96</v>
      </c>
      <c r="D1000" s="8" t="s">
        <v>2132</v>
      </c>
      <c r="E1000" s="8" t="s">
        <v>12</v>
      </c>
      <c r="F1000" s="8" t="s">
        <v>13</v>
      </c>
      <c r="G1000" s="8" t="s">
        <v>532</v>
      </c>
      <c r="H1000" s="16">
        <v>28.0</v>
      </c>
      <c r="I1000" s="15" t="str">
        <f>SUBSTITUTE(Sheet1!K1000, "Rp", "")</f>
        <v>2800000</v>
      </c>
    </row>
    <row r="1001">
      <c r="A1001" s="8" t="s">
        <v>2320</v>
      </c>
      <c r="B1001" s="13" t="str">
        <f>HYPERLINK("https://shopee.co.id/Glamore-Skincare-Premium-Serum-Alpha-Arbutin-15-ml-i.214654119.10007349758", "https://shopee.co.id/Glamore-Skincare-Premium-Serum-Alpha-Arbutin-15-ml-i.214654119.10007349758")</f>
        <v>https://shopee.co.id/Glamore-Skincare-Premium-Serum-Alpha-Arbutin-15-ml-i.214654119.10007349758</v>
      </c>
      <c r="C1001" s="8" t="s">
        <v>1359</v>
      </c>
      <c r="D1001" s="8" t="s">
        <v>2321</v>
      </c>
      <c r="E1001" s="8" t="s">
        <v>12</v>
      </c>
      <c r="F1001" s="8" t="s">
        <v>13</v>
      </c>
      <c r="G1001" s="8" t="s">
        <v>98</v>
      </c>
      <c r="H1001" s="16">
        <v>28.0</v>
      </c>
      <c r="I1001" s="15" t="str">
        <f>SUBSTITUTE(Sheet1!K1001, "Rp", "")</f>
        <v>2214240</v>
      </c>
    </row>
    <row r="1002">
      <c r="A1002" s="8" t="s">
        <v>2471</v>
      </c>
      <c r="B1002" s="13" t="str">
        <f>HYPERLINK("https://shopee.co.id/La-Tulipe-Collagen-serum-i.131133483.5591849459", "https://shopee.co.id/La-Tulipe-Collagen-serum-i.131133483.5591849459")</f>
        <v>https://shopee.co.id/La-Tulipe-Collagen-serum-i.131133483.5591849459</v>
      </c>
      <c r="C1002" s="8" t="s">
        <v>1761</v>
      </c>
      <c r="D1002" s="8" t="s">
        <v>1762</v>
      </c>
      <c r="E1002" s="8" t="s">
        <v>12</v>
      </c>
      <c r="F1002" s="8" t="s">
        <v>13</v>
      </c>
      <c r="G1002" s="8" t="s">
        <v>61</v>
      </c>
      <c r="H1002" s="16">
        <v>28.0</v>
      </c>
      <c r="I1002" s="15" t="str">
        <f>SUBSTITUTE(Sheet1!K1002, "Rp", "")</f>
        <v>1768200</v>
      </c>
    </row>
    <row r="1003">
      <c r="A1003" s="8" t="s">
        <v>1287</v>
      </c>
      <c r="B1003" s="13" t="str">
        <f>HYPERLINK("https://shopee.co.id/Laneige-Essential-Balancing-Emulsion-Light-120ml-OL21--i.52917348.1447290661", "https://shopee.co.id/Laneige-Essential-Balancing-Emulsion-Light-120ml-OL21--i.52917348.1447290661")</f>
        <v>https://shopee.co.id/Laneige-Essential-Balancing-Emulsion-Light-120ml-OL21--i.52917348.1447290661</v>
      </c>
      <c r="C1003" s="8" t="s">
        <v>364</v>
      </c>
      <c r="D1003" s="8" t="s">
        <v>365</v>
      </c>
      <c r="E1003" s="8" t="s">
        <v>12</v>
      </c>
      <c r="F1003" s="8" t="s">
        <v>13</v>
      </c>
      <c r="G1003" s="8" t="s">
        <v>61</v>
      </c>
      <c r="H1003" s="16">
        <v>28.0</v>
      </c>
      <c r="I1003" s="15" t="str">
        <f>SUBSTITUTE(Sheet1!K1003, "Rp", "")</f>
        <v>10989800</v>
      </c>
    </row>
    <row r="1004">
      <c r="A1004" s="8" t="s">
        <v>2019</v>
      </c>
      <c r="B1004" s="13" t="str">
        <f>HYPERLINK("https://shopee.co.id/MD-Glowing-Acne-Serum-Serum-Wajah-Serum-Muka-Meratakan-Bekas-Jerawat--i.98061713.6295722175", "https://shopee.co.id/MD-Glowing-Acne-Serum-Serum-Wajah-Serum-Muka-Meratakan-Bekas-Jerawat--i.98061713.6295722175")</f>
        <v>https://shopee.co.id/MD-Glowing-Acne-Serum-Serum-Wajah-Serum-Muka-Meratakan-Bekas-Jerawat--i.98061713.6295722175</v>
      </c>
      <c r="C1004" s="8" t="s">
        <v>1353</v>
      </c>
      <c r="D1004" s="8" t="s">
        <v>1354</v>
      </c>
      <c r="E1004" s="8" t="s">
        <v>12</v>
      </c>
      <c r="F1004" s="8" t="s">
        <v>13</v>
      </c>
      <c r="G1004" s="8" t="s">
        <v>370</v>
      </c>
      <c r="H1004" s="16">
        <v>28.0</v>
      </c>
      <c r="I1004" s="15" t="str">
        <f>SUBSTITUTE(Sheet1!K1004, "Rp", "")</f>
        <v>3388000</v>
      </c>
    </row>
    <row r="1005">
      <c r="A1005" s="8" t="s">
        <v>1877</v>
      </c>
      <c r="B1005" s="13" t="str">
        <f>HYPERLINK("https://shopee.co.id/Olay-White-Radiance-Light-Perfecting-Essence-30ml-i.30736001.7937350821", "https://shopee.co.id/Olay-White-Radiance-Light-Perfecting-Essence-30ml-i.30736001.7937350821")</f>
        <v>https://shopee.co.id/Olay-White-Radiance-Light-Perfecting-Essence-30ml-i.30736001.7937350821</v>
      </c>
      <c r="C1005" s="8" t="s">
        <v>317</v>
      </c>
      <c r="D1005" s="8" t="s">
        <v>335</v>
      </c>
      <c r="E1005" s="8" t="s">
        <v>12</v>
      </c>
      <c r="F1005" s="8" t="s">
        <v>13</v>
      </c>
      <c r="G1005" s="8" t="s">
        <v>36</v>
      </c>
      <c r="H1005" s="16">
        <v>28.0</v>
      </c>
      <c r="I1005" s="15" t="str">
        <f>SUBSTITUTE(Sheet1!K1005, "Rp", "")</f>
        <v>4197200</v>
      </c>
    </row>
    <row r="1006">
      <c r="A1006" s="8" t="s">
        <v>1644</v>
      </c>
      <c r="B1006" s="13" t="str">
        <f>HYPERLINK("https://shopee.co.id/Olay-White-Radiance-Niacinamide-Cica-Super-Serum-Brightening-Skincare-30ML-i.11487927.6679004503", "https://shopee.co.id/Olay-White-Radiance-Niacinamide-Cica-Super-Serum-Brightening-Skincare-30ML-i.11487927.6679004503")</f>
        <v>https://shopee.co.id/Olay-White-Radiance-Niacinamide-Cica-Super-Serum-Brightening-Skincare-30ML-i.11487927.6679004503</v>
      </c>
      <c r="C1006" s="8" t="s">
        <v>317</v>
      </c>
      <c r="D1006" s="8" t="s">
        <v>318</v>
      </c>
      <c r="E1006" s="8" t="s">
        <v>12</v>
      </c>
      <c r="F1006" s="8" t="s">
        <v>13</v>
      </c>
      <c r="G1006" s="8" t="s">
        <v>296</v>
      </c>
      <c r="H1006" s="16">
        <v>28.0</v>
      </c>
      <c r="I1006" s="15" t="str">
        <f>SUBSTITUTE(Sheet1!K1006, "Rp", "")</f>
        <v>5866800</v>
      </c>
    </row>
    <row r="1007">
      <c r="A1007" s="8" t="s">
        <v>2002</v>
      </c>
      <c r="B1007" s="13" t="str">
        <f>HYPERLINK("https://shopee.co.id/SECA-VITAMIN-C-4-Serum-i.373749700.11615135610", "https://shopee.co.id/SECA-VITAMIN-C-4-Serum-i.373749700.11615135610")</f>
        <v>https://shopee.co.id/SECA-VITAMIN-C-4-Serum-i.373749700.11615135610</v>
      </c>
      <c r="C1007" s="8" t="s">
        <v>985</v>
      </c>
      <c r="D1007" s="8" t="s">
        <v>986</v>
      </c>
      <c r="E1007" s="8" t="s">
        <v>12</v>
      </c>
      <c r="F1007" s="8" t="s">
        <v>13</v>
      </c>
      <c r="G1007" s="8" t="s">
        <v>36</v>
      </c>
      <c r="H1007" s="16">
        <v>28.0</v>
      </c>
      <c r="I1007" s="15" t="str">
        <f>SUBSTITUTE(Sheet1!K1007, "Rp", "")</f>
        <v>3470100</v>
      </c>
    </row>
    <row r="1008">
      <c r="A1008" s="8" t="s">
        <v>1721</v>
      </c>
      <c r="B1008" s="13" t="str">
        <f>HYPERLINK("https://shopee.co.id/Skinmee-Dualmee-Series-Youthful-i.426361756.11222025524", "https://shopee.co.id/Skinmee-Dualmee-Series-Youthful-i.426361756.11222025524")</f>
        <v>https://shopee.co.id/Skinmee-Dualmee-Series-Youthful-i.426361756.11222025524</v>
      </c>
      <c r="C1008" s="8" t="s">
        <v>1141</v>
      </c>
      <c r="D1008" s="8" t="s">
        <v>1142</v>
      </c>
      <c r="E1008" s="8" t="s">
        <v>12</v>
      </c>
      <c r="F1008" s="8" t="s">
        <v>13</v>
      </c>
      <c r="G1008" s="8" t="s">
        <v>98</v>
      </c>
      <c r="H1008" s="16">
        <v>28.0</v>
      </c>
      <c r="I1008" s="15" t="str">
        <f>SUBSTITUTE(Sheet1!K1008, "Rp", "")</f>
        <v>5223750</v>
      </c>
    </row>
    <row r="1009">
      <c r="A1009" s="8" t="s">
        <v>2057</v>
      </c>
      <c r="B1009" s="13" t="str">
        <f>HYPERLINK("https://shopee.co.id/Somethinc-10-Niacinamide-Moisture-Sabi-Beet-Max-Brightening-Serum-20ml-i.825870.8326260388", "https://shopee.co.id/Somethinc-10-Niacinamide-Moisture-Sabi-Beet-Max-Brightening-Serum-20ml-i.825870.8326260388")</f>
        <v>https://shopee.co.id/Somethinc-10-Niacinamide-Moisture-Sabi-Beet-Max-Brightening-Serum-20ml-i.825870.8326260388</v>
      </c>
      <c r="C1009" s="8" t="s">
        <v>45</v>
      </c>
      <c r="D1009" s="8" t="s">
        <v>1184</v>
      </c>
      <c r="E1009" s="8" t="s">
        <v>12</v>
      </c>
      <c r="F1009" s="8" t="s">
        <v>13</v>
      </c>
      <c r="G1009" s="8" t="s">
        <v>21</v>
      </c>
      <c r="H1009" s="16">
        <v>28.0</v>
      </c>
      <c r="I1009" s="15" t="str">
        <f>SUBSTITUTE(Sheet1!K1009, "Rp", "")</f>
        <v>3234000</v>
      </c>
    </row>
    <row r="1010">
      <c r="A1010" s="8" t="s">
        <v>3074</v>
      </c>
      <c r="B1010" s="13" t="str">
        <f>HYPERLINK("https://shopee.co.id/Azarine-AHA-BHA-Miraclear-Herbal-Peeling-Serum-20ml-i.50948181.3682563862", "https://shopee.co.id/Azarine-AHA-BHA-Miraclear-Herbal-Peeling-Serum-20ml-i.50948181.3682563862")</f>
        <v>https://shopee.co.id/Azarine-AHA-BHA-Miraclear-Herbal-Peeling-Serum-20ml-i.50948181.3682563862</v>
      </c>
      <c r="C1010" s="8" t="s">
        <v>233</v>
      </c>
      <c r="D1010" s="8" t="s">
        <v>1129</v>
      </c>
      <c r="E1010" s="8" t="s">
        <v>12</v>
      </c>
      <c r="F1010" s="8" t="s">
        <v>13</v>
      </c>
      <c r="G1010" s="8" t="s">
        <v>1130</v>
      </c>
      <c r="H1010" s="16">
        <v>27.0</v>
      </c>
      <c r="I1010" s="15" t="str">
        <f>SUBSTITUTE(Sheet1!K1010, "Rp", "")</f>
        <v>653200</v>
      </c>
    </row>
    <row r="1011">
      <c r="A1011" s="8" t="s">
        <v>2742</v>
      </c>
      <c r="B1011" s="13" t="str">
        <f>HYPERLINK("https://shopee.co.id/Azarine-Refreshing-Essence-Mist-X-Rachel-Goddard-85-ml-i.110573301.8042622756", "https://shopee.co.id/Azarine-Refreshing-Essence-Mist-X-Rachel-Goddard-85-ml-i.110573301.8042622756")</f>
        <v>https://shopee.co.id/Azarine-Refreshing-Essence-Mist-X-Rachel-Goddard-85-ml-i.110573301.8042622756</v>
      </c>
      <c r="C1011" s="8" t="s">
        <v>233</v>
      </c>
      <c r="D1011" s="8" t="s">
        <v>227</v>
      </c>
      <c r="E1011" s="8" t="s">
        <v>12</v>
      </c>
      <c r="F1011" s="8" t="s">
        <v>13</v>
      </c>
      <c r="G1011" s="8" t="s">
        <v>61</v>
      </c>
      <c r="H1011" s="16">
        <v>27.0</v>
      </c>
      <c r="I1011" s="15" t="str">
        <f>SUBSTITUTE(Sheet1!K1011, "Rp", "")</f>
        <v>1157200</v>
      </c>
    </row>
    <row r="1012">
      <c r="A1012" s="8" t="s">
        <v>1778</v>
      </c>
      <c r="B1012" s="13" t="str">
        <f>HYPERLINK("https://shopee.co.id/Benton-Fermentation-Essence-100ml-i.180415888.6503961567", "https://shopee.co.id/Benton-Fermentation-Essence-100ml-i.180415888.6503961567")</f>
        <v>https://shopee.co.id/Benton-Fermentation-Essence-100ml-i.180415888.6503961567</v>
      </c>
      <c r="C1012" s="8" t="s">
        <v>456</v>
      </c>
      <c r="D1012" s="8" t="s">
        <v>457</v>
      </c>
      <c r="E1012" s="8" t="s">
        <v>12</v>
      </c>
      <c r="F1012" s="8" t="s">
        <v>13</v>
      </c>
      <c r="G1012" s="8" t="s">
        <v>80</v>
      </c>
      <c r="H1012" s="16">
        <v>27.0</v>
      </c>
      <c r="I1012" s="15" t="str">
        <f>SUBSTITUTE(Sheet1!K1012, "Rp", "")</f>
        <v>4847500</v>
      </c>
    </row>
    <row r="1013">
      <c r="A1013" s="8" t="s">
        <v>1407</v>
      </c>
      <c r="B1013" s="13" t="str">
        <f>HYPERLINK("https://shopee.co.id/Bio-Essence-Bio-Gold-Double-Serum-36ml-Perawatan-Wajah-Anti-Aging-i.63822287.1671468795", "https://shopee.co.id/Bio-Essence-Bio-Gold-Double-Serum-36ml-Perawatan-Wajah-Anti-Aging-i.63822287.1671468795")</f>
        <v>https://shopee.co.id/Bio-Essence-Bio-Gold-Double-Serum-36ml-Perawatan-Wajah-Anti-Aging-i.63822287.1671468795</v>
      </c>
      <c r="C1013" s="8" t="s">
        <v>834</v>
      </c>
      <c r="D1013" s="8" t="s">
        <v>835</v>
      </c>
      <c r="E1013" s="8" t="s">
        <v>12</v>
      </c>
      <c r="F1013" s="8" t="s">
        <v>13</v>
      </c>
      <c r="G1013" s="8" t="s">
        <v>61</v>
      </c>
      <c r="H1013" s="16">
        <v>27.0</v>
      </c>
      <c r="I1013" s="15" t="str">
        <f>SUBSTITUTE(Sheet1!K1013, "Rp", "")</f>
        <v>8799300</v>
      </c>
    </row>
    <row r="1014">
      <c r="A1014" s="8" t="s">
        <v>1561</v>
      </c>
      <c r="B1014" s="13" t="str">
        <f>HYPERLINK("https://shopee.co.id/Bio-Essence-Bio-Gold-Night-Cream-40-gr-Perawatan-Wajah-Anti-Aging-i.63822287.1671468813", "https://shopee.co.id/Bio-Essence-Bio-Gold-Night-Cream-40-gr-Perawatan-Wajah-Anti-Aging-i.63822287.1671468813")</f>
        <v>https://shopee.co.id/Bio-Essence-Bio-Gold-Night-Cream-40-gr-Perawatan-Wajah-Anti-Aging-i.63822287.1671468813</v>
      </c>
      <c r="C1014" s="8" t="s">
        <v>834</v>
      </c>
      <c r="D1014" s="8" t="s">
        <v>835</v>
      </c>
      <c r="E1014" s="8" t="s">
        <v>12</v>
      </c>
      <c r="F1014" s="8" t="s">
        <v>13</v>
      </c>
      <c r="G1014" s="8" t="s">
        <v>61</v>
      </c>
      <c r="H1014" s="16">
        <v>27.0</v>
      </c>
      <c r="I1014" s="15" t="str">
        <f>SUBSTITUTE(Sheet1!K1014, "Rp", "")</f>
        <v>6976400</v>
      </c>
    </row>
    <row r="1015">
      <c r="A1015" s="8" t="s">
        <v>1471</v>
      </c>
      <c r="B1015" s="13" t="str">
        <f>HYPERLINK("https://shopee.co.id/Bioderma-Hydrabio-Serum-40ml-Moisturizing-Concentrate-untuk-Kulit-Dehidrasi-i.134089202.2076495994", "https://shopee.co.id/Bioderma-Hydrabio-Serum-40ml-Moisturizing-Concentrate-untuk-Kulit-Dehidrasi-i.134089202.2076495994")</f>
        <v>https://shopee.co.id/Bioderma-Hydrabio-Serum-40ml-Moisturizing-Concentrate-untuk-Kulit-Dehidrasi-i.134089202.2076495994</v>
      </c>
      <c r="C1015" s="8" t="s">
        <v>1387</v>
      </c>
      <c r="D1015" s="8" t="s">
        <v>1388</v>
      </c>
      <c r="E1015" s="8" t="s">
        <v>12</v>
      </c>
      <c r="F1015" s="8" t="s">
        <v>13</v>
      </c>
      <c r="G1015" s="8" t="s">
        <v>130</v>
      </c>
      <c r="H1015" s="16">
        <v>27.0</v>
      </c>
      <c r="I1015" s="15" t="str">
        <f>SUBSTITUTE(Sheet1!K1015, "Rp", "")</f>
        <v>7968092</v>
      </c>
    </row>
    <row r="1016">
      <c r="A1016" s="8" t="s">
        <v>2394</v>
      </c>
      <c r="B1016" s="13" t="str">
        <f>HYPERLINK("https://shopee.co.id/Bless-Anti-Wrinkle-Revitalizing-Serum-20ml-i.3299033.6987496514", "https://shopee.co.id/Bless-Anti-Wrinkle-Revitalizing-Serum-20ml-i.3299033.6987496514")</f>
        <v>https://shopee.co.id/Bless-Anti-Wrinkle-Revitalizing-Serum-20ml-i.3299033.6987496514</v>
      </c>
      <c r="C1016" s="8" t="s">
        <v>1512</v>
      </c>
      <c r="D1016" s="8" t="s">
        <v>1513</v>
      </c>
      <c r="E1016" s="8" t="s">
        <v>12</v>
      </c>
      <c r="F1016" s="8" t="s">
        <v>13</v>
      </c>
      <c r="G1016" s="8" t="s">
        <v>532</v>
      </c>
      <c r="H1016" s="16">
        <v>27.0</v>
      </c>
      <c r="I1016" s="15" t="str">
        <f>SUBSTITUTE(Sheet1!K1016, "Rp", "")</f>
        <v>1988000</v>
      </c>
    </row>
    <row r="1017">
      <c r="A1017" s="8" t="s">
        <v>1930</v>
      </c>
      <c r="B1017" s="13" t="str">
        <f>HYPERLINK("https://shopee.co.id/COLLAGEN-BY-WATSONS-Youth-Secret-Supreme-Serum-35ml-i.30736001.9389095938", "https://shopee.co.id/COLLAGEN-BY-WATSONS-Youth-Secret-Supreme-Serum-35ml-i.30736001.9389095938")</f>
        <v>https://shopee.co.id/COLLAGEN-BY-WATSONS-Youth-Secret-Supreme-Serum-35ml-i.30736001.9389095938</v>
      </c>
      <c r="C1017" s="8" t="s">
        <v>1931</v>
      </c>
      <c r="D1017" s="8" t="s">
        <v>335</v>
      </c>
      <c r="E1017" s="8" t="s">
        <v>12</v>
      </c>
      <c r="F1017" s="8" t="s">
        <v>13</v>
      </c>
      <c r="G1017" s="8" t="s">
        <v>36</v>
      </c>
      <c r="H1017" s="16">
        <v>27.0</v>
      </c>
      <c r="I1017" s="15" t="str">
        <f>SUBSTITUTE(Sheet1!K1017, "Rp", "")</f>
        <v>3831450</v>
      </c>
    </row>
    <row r="1018">
      <c r="A1018" s="8" t="s">
        <v>1486</v>
      </c>
      <c r="B1018" s="13" t="str">
        <f>HYPERLINK("https://shopee.co.id/dr-Ekle-s-Skincare-Glowing-Serum-Essence-i.294944553.4146519210", "https://shopee.co.id/dr-Ekle-s-Skincare-Glowing-Serum-Essence-i.294944553.4146519210")</f>
        <v>https://shopee.co.id/dr-Ekle-s-Skincare-Glowing-Serum-Essence-i.294944553.4146519210</v>
      </c>
      <c r="C1018" s="8" t="s">
        <v>1487</v>
      </c>
      <c r="D1018" s="8" t="s">
        <v>1488</v>
      </c>
      <c r="E1018" s="8" t="s">
        <v>12</v>
      </c>
      <c r="F1018" s="8" t="s">
        <v>13</v>
      </c>
      <c r="G1018" s="8" t="s">
        <v>61</v>
      </c>
      <c r="H1018" s="16">
        <v>27.0</v>
      </c>
      <c r="I1018" s="15" t="str">
        <f>SUBSTITUTE(Sheet1!K1018, "Rp", "")</f>
        <v>7830000</v>
      </c>
    </row>
    <row r="1019">
      <c r="A1019" s="8" t="s">
        <v>1232</v>
      </c>
      <c r="B1019" s="13" t="str">
        <f>HYPERLINK("https://shopee.co.id/Dr-Jart-New-Ceramidin-Serum-i.126014132.1909344080", "https://shopee.co.id/Dr-Jart-New-Ceramidin-Serum-i.126014132.1909344080")</f>
        <v>https://shopee.co.id/Dr-Jart-New-Ceramidin-Serum-i.126014132.1909344080</v>
      </c>
      <c r="C1019" s="8" t="s">
        <v>639</v>
      </c>
      <c r="D1019" s="8" t="s">
        <v>640</v>
      </c>
      <c r="E1019" s="8" t="s">
        <v>12</v>
      </c>
      <c r="F1019" s="8" t="s">
        <v>13</v>
      </c>
      <c r="G1019" s="8" t="s">
        <v>61</v>
      </c>
      <c r="H1019" s="16">
        <v>27.0</v>
      </c>
      <c r="I1019" s="15" t="str">
        <f>SUBSTITUTE(Sheet1!K1019, "Rp", "")</f>
        <v>12090000</v>
      </c>
    </row>
    <row r="1020">
      <c r="A1020" s="8" t="s">
        <v>2450</v>
      </c>
      <c r="B1020" s="13" t="str">
        <f>HYPERLINK("https://shopee.co.id/Estetiderma-Serum-Wajah-Skin-Refining-Serum-i.61653681.7343954864", "https://shopee.co.id/Estetiderma-Serum-Wajah-Skin-Refining-Serum-i.61653681.7343954864")</f>
        <v>https://shopee.co.id/Estetiderma-Serum-Wajah-Skin-Refining-Serum-i.61653681.7343954864</v>
      </c>
      <c r="C1020" s="8" t="s">
        <v>2451</v>
      </c>
      <c r="D1020" s="8" t="s">
        <v>2452</v>
      </c>
      <c r="E1020" s="8" t="s">
        <v>12</v>
      </c>
      <c r="F1020" s="8" t="s">
        <v>13</v>
      </c>
      <c r="G1020" s="8" t="s">
        <v>98</v>
      </c>
      <c r="H1020" s="16">
        <v>27.0</v>
      </c>
      <c r="I1020" s="15" t="str">
        <f>SUBSTITUTE(Sheet1!K1020, "Rp", "")</f>
        <v>1811700</v>
      </c>
    </row>
    <row r="1021">
      <c r="A1021" s="8" t="s">
        <v>1609</v>
      </c>
      <c r="B1021" s="13" t="str">
        <f>HYPERLINK("https://shopee.co.id/Glowlabs-Retinol-Cica-Night-Serum-Peptide-Moist-Powerful-Anti-Aging-Acne-Prone-Skincare--i.336869851.4179943970", "https://shopee.co.id/Glowlabs-Retinol-Cica-Night-Serum-Peptide-Moist-Powerful-Anti-Aging-Acne-Prone-Skincare--i.336869851.4179943970")</f>
        <v>https://shopee.co.id/Glowlabs-Retinol-Cica-Night-Serum-Peptide-Moist-Powerful-Anti-Aging-Acne-Prone-Skincare--i.336869851.4179943970</v>
      </c>
      <c r="C1021" s="8" t="s">
        <v>407</v>
      </c>
      <c r="D1021" s="8" t="s">
        <v>408</v>
      </c>
      <c r="E1021" s="8" t="s">
        <v>12</v>
      </c>
      <c r="F1021" s="8" t="s">
        <v>13</v>
      </c>
      <c r="G1021" s="8" t="s">
        <v>409</v>
      </c>
      <c r="H1021" s="16">
        <v>27.0</v>
      </c>
      <c r="I1021" s="15" t="str">
        <f>SUBSTITUTE(Sheet1!K1021, "Rp", "")</f>
        <v>6274800</v>
      </c>
    </row>
    <row r="1022">
      <c r="A1022" s="8" t="s">
        <v>2189</v>
      </c>
      <c r="B1022" s="13" t="str">
        <f>HYPERLINK("https://shopee.co.id/Keybysa-Clearly-Gold-Serum-i.161217472.3864844008", "https://shopee.co.id/Keybysa-Clearly-Gold-Serum-i.161217472.3864844008")</f>
        <v>https://shopee.co.id/Keybysa-Clearly-Gold-Serum-i.161217472.3864844008</v>
      </c>
      <c r="C1022" s="8" t="s">
        <v>2190</v>
      </c>
      <c r="D1022" s="8" t="s">
        <v>2191</v>
      </c>
      <c r="E1022" s="8" t="s">
        <v>12</v>
      </c>
      <c r="F1022" s="8" t="s">
        <v>13</v>
      </c>
      <c r="G1022" s="8" t="s">
        <v>1314</v>
      </c>
      <c r="H1022" s="16">
        <v>27.0</v>
      </c>
      <c r="I1022" s="15" t="str">
        <f>SUBSTITUTE(Sheet1!K1022, "Rp", "")</f>
        <v>2583000</v>
      </c>
    </row>
    <row r="1023">
      <c r="A1023" s="8" t="s">
        <v>1793</v>
      </c>
      <c r="B1023" s="13" t="str">
        <f>HYPERLINK("https://shopee.co.id/L-OREAL-Revitalift-Micro-Essence-Water-Skin-Care-130ml-i.30736001.5859034854", "https://shopee.co.id/L-OREAL-Revitalift-Micro-Essence-Water-Skin-Care-130ml-i.30736001.5859034854")</f>
        <v>https://shopee.co.id/L-OREAL-Revitalift-Micro-Essence-Water-Skin-Care-130ml-i.30736001.5859034854</v>
      </c>
      <c r="C1023" s="8" t="s">
        <v>105</v>
      </c>
      <c r="D1023" s="8" t="s">
        <v>335</v>
      </c>
      <c r="E1023" s="8" t="s">
        <v>12</v>
      </c>
      <c r="F1023" s="8" t="s">
        <v>13</v>
      </c>
      <c r="G1023" s="8" t="s">
        <v>36</v>
      </c>
      <c r="H1023" s="16">
        <v>27.0</v>
      </c>
      <c r="I1023" s="15" t="str">
        <f>SUBSTITUTE(Sheet1!K1023, "Rp", "")</f>
        <v>4740200</v>
      </c>
    </row>
    <row r="1024">
      <c r="A1024" s="8" t="s">
        <v>1817</v>
      </c>
      <c r="B1024" s="13" t="str">
        <f>HYPERLINK("https://shopee.co.id/MD-Glowing-Brightening-Face-Serum-Pencerah-Wajah-Muka--i.98061713.1738185494", "https://shopee.co.id/MD-Glowing-Brightening-Face-Serum-Pencerah-Wajah-Muka--i.98061713.1738185494")</f>
        <v>https://shopee.co.id/MD-Glowing-Brightening-Face-Serum-Pencerah-Wajah-Muka--i.98061713.1738185494</v>
      </c>
      <c r="C1024" s="8" t="s">
        <v>1353</v>
      </c>
      <c r="D1024" s="8" t="s">
        <v>1354</v>
      </c>
      <c r="E1024" s="8" t="s">
        <v>12</v>
      </c>
      <c r="F1024" s="8" t="s">
        <v>13</v>
      </c>
      <c r="G1024" s="8" t="s">
        <v>370</v>
      </c>
      <c r="H1024" s="16">
        <v>27.0</v>
      </c>
      <c r="I1024" s="15" t="str">
        <f>SUBSTITUTE(Sheet1!K1024, "Rp", "")</f>
        <v>4590000</v>
      </c>
    </row>
    <row r="1025">
      <c r="A1025" s="8" t="s">
        <v>1706</v>
      </c>
      <c r="B1025" s="13" t="str">
        <f>HYPERLINK("https://shopee.co.id/MSBB-Somethinc-10-Niacinamide-Moisture-Sabi-Beet-Max-Brightening-Serum-40Ml-i.288588702.8455094336", "https://shopee.co.id/MSBB-Somethinc-10-Niacinamide-Moisture-Sabi-Beet-Max-Brightening-Serum-40Ml-i.288588702.8455094336")</f>
        <v>https://shopee.co.id/MSBB-Somethinc-10-Niacinamide-Moisture-Sabi-Beet-Max-Brightening-Serum-40Ml-i.288588702.8455094336</v>
      </c>
      <c r="C1025" s="8" t="s">
        <v>45</v>
      </c>
      <c r="D1025" s="8" t="s">
        <v>79</v>
      </c>
      <c r="E1025" s="8" t="s">
        <v>12</v>
      </c>
      <c r="F1025" s="8" t="s">
        <v>13</v>
      </c>
      <c r="G1025" s="8" t="s">
        <v>80</v>
      </c>
      <c r="H1025" s="16">
        <v>27.0</v>
      </c>
      <c r="I1025" s="15" t="str">
        <f>SUBSTITUTE(Sheet1!K1025, "Rp", "")</f>
        <v>5373000</v>
      </c>
    </row>
    <row r="1026">
      <c r="A1026" s="8" t="s">
        <v>1722</v>
      </c>
      <c r="B1026" s="13" t="str">
        <f>HYPERLINK("https://shopee.co.id/Nacific-Phyto-Niacin-Whitening-Essence-i.125116082.2753917429", "https://shopee.co.id/Nacific-Phyto-Niacin-Whitening-Essence-i.125116082.2753917429")</f>
        <v>https://shopee.co.id/Nacific-Phyto-Niacin-Whitening-Essence-i.125116082.2753917429</v>
      </c>
      <c r="C1026" s="8" t="s">
        <v>344</v>
      </c>
      <c r="D1026" s="8" t="s">
        <v>713</v>
      </c>
      <c r="E1026" s="8" t="s">
        <v>12</v>
      </c>
      <c r="F1026" s="8" t="s">
        <v>13</v>
      </c>
      <c r="G1026" s="8" t="s">
        <v>61</v>
      </c>
      <c r="H1026" s="16">
        <v>27.0</v>
      </c>
      <c r="I1026" s="15" t="str">
        <f>SUBSTITUTE(Sheet1!K1026, "Rp", "")</f>
        <v>5221450</v>
      </c>
    </row>
    <row r="1027">
      <c r="A1027" s="8" t="s">
        <v>1850</v>
      </c>
      <c r="B1027" s="13" t="str">
        <f>HYPERLINK("https://shopee.co.id/Nutrishe-Intensive-Bright-Glow-Serum-30ml-i.136011044.8834396358", "https://shopee.co.id/Nutrishe-Intensive-Bright-Glow-Serum-30ml-i.136011044.8834396358")</f>
        <v>https://shopee.co.id/Nutrishe-Intensive-Bright-Glow-Serum-30ml-i.136011044.8834396358</v>
      </c>
      <c r="C1027" s="8" t="s">
        <v>195</v>
      </c>
      <c r="D1027" s="8" t="s">
        <v>632</v>
      </c>
      <c r="E1027" s="8" t="s">
        <v>12</v>
      </c>
      <c r="F1027" s="8" t="s">
        <v>13</v>
      </c>
      <c r="G1027" s="8" t="s">
        <v>21</v>
      </c>
      <c r="H1027" s="16">
        <v>27.0</v>
      </c>
      <c r="I1027" s="15" t="str">
        <f>SUBSTITUTE(Sheet1!K1027, "Rp", "")</f>
        <v>3575000</v>
      </c>
    </row>
    <row r="1028">
      <c r="A1028" s="8" t="s">
        <v>1310</v>
      </c>
      <c r="B1028" s="13" t="str">
        <f>HYPERLINK("https://shopee.co.id/Olay-Powerful-Duo-Pencerah-Whip-Anti-Aging-Krim-Pelembab-Essence-Wajah-i.11487927.3653192684", "https://shopee.co.id/Olay-Powerful-Duo-Pencerah-Whip-Anti-Aging-Krim-Pelembab-Essence-Wajah-i.11487927.3653192684")</f>
        <v>https://shopee.co.id/Olay-Powerful-Duo-Pencerah-Whip-Anti-Aging-Krim-Pelembab-Essence-Wajah-i.11487927.3653192684</v>
      </c>
      <c r="C1028" s="8" t="s">
        <v>317</v>
      </c>
      <c r="D1028" s="8" t="s">
        <v>318</v>
      </c>
      <c r="E1028" s="8" t="s">
        <v>12</v>
      </c>
      <c r="F1028" s="8" t="s">
        <v>13</v>
      </c>
      <c r="G1028" s="8" t="s">
        <v>296</v>
      </c>
      <c r="H1028" s="16">
        <v>27.0</v>
      </c>
      <c r="I1028" s="15" t="str">
        <f>SUBSTITUTE(Sheet1!K1028, "Rp", "")</f>
        <v>10453600</v>
      </c>
    </row>
    <row r="1029">
      <c r="A1029" s="8" t="s">
        <v>1039</v>
      </c>
      <c r="B1029" s="13" t="str">
        <f>HYPERLINK("https://shopee.co.id/Sulwhasoo-First-Care-Activating-Serum-30ml-i.274949344.4178795257", "https://shopee.co.id/Sulwhasoo-First-Care-Activating-Serum-30ml-i.274949344.4178795257")</f>
        <v>https://shopee.co.id/Sulwhasoo-First-Care-Activating-Serum-30ml-i.274949344.4178795257</v>
      </c>
      <c r="C1029" s="8" t="s">
        <v>282</v>
      </c>
      <c r="D1029" s="8" t="s">
        <v>283</v>
      </c>
      <c r="E1029" s="8" t="s">
        <v>12</v>
      </c>
      <c r="F1029" s="8" t="s">
        <v>13</v>
      </c>
      <c r="G1029" s="8" t="s">
        <v>61</v>
      </c>
      <c r="H1029" s="16">
        <v>27.0</v>
      </c>
      <c r="I1029" s="15" t="str">
        <f>SUBSTITUTE(Sheet1!K1029, "Rp", "")</f>
        <v>17619100</v>
      </c>
    </row>
    <row r="1030">
      <c r="A1030" s="8" t="s">
        <v>1977</v>
      </c>
      <c r="B1030" s="13" t="str">
        <f>HYPERLINK("https://shopee.co.id/THE-ORDINARY-Niacinamide-10-Zinc-1-30ml-i.47255270.11645678505", "https://shopee.co.id/THE-ORDINARY-Niacinamide-10-Zinc-1-30ml-i.47255270.11645678505")</f>
        <v>https://shopee.co.id/THE-ORDINARY-Niacinamide-10-Zinc-1-30ml-i.47255270.11645678505</v>
      </c>
      <c r="C1030" s="8" t="s">
        <v>1245</v>
      </c>
      <c r="D1030" s="8" t="s">
        <v>1978</v>
      </c>
      <c r="E1030" s="8" t="s">
        <v>12</v>
      </c>
      <c r="F1030" s="8" t="s">
        <v>13</v>
      </c>
      <c r="G1030" s="8" t="s">
        <v>241</v>
      </c>
      <c r="H1030" s="16">
        <v>27.0</v>
      </c>
      <c r="I1030" s="15" t="str">
        <f>SUBSTITUTE(Sheet1!K1030, "Rp", "")</f>
        <v>3566000</v>
      </c>
    </row>
    <row r="1031">
      <c r="A1031" s="8" t="s">
        <v>1798</v>
      </c>
      <c r="B1031" s="13" t="str">
        <f>HYPERLINK("https://shopee.co.id/TRUEVE-Vitamin-C-Ceramide-Brightening-Serum-30ml-i.270965687.9422970518", "https://shopee.co.id/TRUEVE-Vitamin-C-Ceramide-Brightening-Serum-30ml-i.270965687.9422970518")</f>
        <v>https://shopee.co.id/TRUEVE-Vitamin-C-Ceramide-Brightening-Serum-30ml-i.270965687.9422970518</v>
      </c>
      <c r="C1031" s="8" t="s">
        <v>34</v>
      </c>
      <c r="D1031" s="8" t="s">
        <v>379</v>
      </c>
      <c r="E1031" s="8" t="s">
        <v>12</v>
      </c>
      <c r="F1031" s="8" t="s">
        <v>13</v>
      </c>
      <c r="G1031" s="8" t="s">
        <v>380</v>
      </c>
      <c r="H1031" s="16">
        <v>27.0</v>
      </c>
      <c r="I1031" s="15" t="str">
        <f>SUBSTITUTE(Sheet1!K1031, "Rp", "")</f>
        <v>4725000</v>
      </c>
    </row>
    <row r="1032">
      <c r="A1032" s="8" t="s">
        <v>2525</v>
      </c>
      <c r="B1032" s="13" t="str">
        <f>HYPERLINK("https://shopee.co.id/Bio-Essence-Bio-Renew-Deep-Cleanser-100-gr-Foam-Cleanser-i.63822287.1222599282", "https://shopee.co.id/Bio-Essence-Bio-Renew-Deep-Cleanser-100-gr-Foam-Cleanser-i.63822287.1222599282")</f>
        <v>https://shopee.co.id/Bio-Essence-Bio-Renew-Deep-Cleanser-100-gr-Foam-Cleanser-i.63822287.1222599282</v>
      </c>
      <c r="C1032" s="8" t="s">
        <v>1254</v>
      </c>
      <c r="D1032" s="8" t="s">
        <v>835</v>
      </c>
      <c r="E1032" s="8" t="s">
        <v>12</v>
      </c>
      <c r="F1032" s="8" t="s">
        <v>13</v>
      </c>
      <c r="G1032" s="8" t="s">
        <v>61</v>
      </c>
      <c r="H1032" s="16">
        <v>26.0</v>
      </c>
      <c r="I1032" s="15" t="str">
        <f>SUBSTITUTE(Sheet1!K1032, "Rp", "")</f>
        <v>1641400</v>
      </c>
    </row>
    <row r="1033">
      <c r="A1033" s="8" t="s">
        <v>1592</v>
      </c>
      <c r="B1033" s="13" t="str">
        <f>HYPERLINK("https://shopee.co.id/Bioderma-Hydrabio-Essence-Lotion-200ml-Moisturizing-and-Radiance-Booster-untuk-Kulit-Dehidrasi-i.134089202.2076451588", "https://shopee.co.id/Bioderma-Hydrabio-Essence-Lotion-200ml-Moisturizing-and-Radiance-Booster-untuk-Kulit-Dehidrasi-i.134089202.2076451588")</f>
        <v>https://shopee.co.id/Bioderma-Hydrabio-Essence-Lotion-200ml-Moisturizing-and-Radiance-Booster-untuk-Kulit-Dehidrasi-i.134089202.2076451588</v>
      </c>
      <c r="C1033" s="8" t="s">
        <v>1387</v>
      </c>
      <c r="D1033" s="8" t="s">
        <v>1388</v>
      </c>
      <c r="E1033" s="8" t="s">
        <v>12</v>
      </c>
      <c r="F1033" s="8" t="s">
        <v>13</v>
      </c>
      <c r="G1033" s="8" t="s">
        <v>130</v>
      </c>
      <c r="H1033" s="16">
        <v>26.0</v>
      </c>
      <c r="I1033" s="15" t="str">
        <f>SUBSTITUTE(Sheet1!K1033, "Rp", "")</f>
        <v>6477570</v>
      </c>
    </row>
    <row r="1034">
      <c r="A1034" s="8" t="s">
        <v>1953</v>
      </c>
      <c r="B1034" s="13" t="str">
        <f>HYPERLINK("https://shopee.co.id/Calysta-Tranexamic-Niacin-Serum-i.3188555.8227774199", "https://shopee.co.id/Calysta-Tranexamic-Niacin-Serum-i.3188555.8227774199")</f>
        <v>https://shopee.co.id/Calysta-Tranexamic-Niacin-Serum-i.3188555.8227774199</v>
      </c>
      <c r="C1034" s="8" t="s">
        <v>1954</v>
      </c>
      <c r="D1034" s="8" t="s">
        <v>1692</v>
      </c>
      <c r="E1034" s="8" t="s">
        <v>12</v>
      </c>
      <c r="F1034" s="8" t="s">
        <v>13</v>
      </c>
      <c r="G1034" s="8" t="s">
        <v>241</v>
      </c>
      <c r="H1034" s="16">
        <v>26.0</v>
      </c>
      <c r="I1034" s="15" t="str">
        <f>SUBSTITUTE(Sheet1!K1034, "Rp", "")</f>
        <v>3713000</v>
      </c>
    </row>
    <row r="1035">
      <c r="A1035" s="8" t="s">
        <v>2521</v>
      </c>
      <c r="B1035" s="13" t="str">
        <f>HYPERLINK("https://shopee.co.id/Dermies-Clear-Me-Acne-Control-Serum-15-ml-Serum-untuk-kulit-berminyak-dan-acne-prone-i.260681089.11332611812", "https://shopee.co.id/Dermies-Clear-Me-Acne-Control-Serum-15-ml-Serum-untuk-kulit-berminyak-dan-acne-prone-i.260681089.11332611812")</f>
        <v>https://shopee.co.id/Dermies-Clear-Me-Acne-Control-Serum-15-ml-Serum-untuk-kulit-berminyak-dan-acne-prone-i.260681089.11332611812</v>
      </c>
      <c r="C1035" s="8" t="s">
        <v>2456</v>
      </c>
      <c r="D1035" s="8" t="s">
        <v>2457</v>
      </c>
      <c r="E1035" s="8" t="s">
        <v>12</v>
      </c>
      <c r="F1035" s="8" t="s">
        <v>13</v>
      </c>
      <c r="G1035" s="8" t="s">
        <v>241</v>
      </c>
      <c r="H1035" s="16">
        <v>26.0</v>
      </c>
      <c r="I1035" s="15" t="str">
        <f>SUBSTITUTE(Sheet1!K1035, "Rp", "")</f>
        <v>1651000</v>
      </c>
    </row>
    <row r="1036">
      <c r="A1036" s="8" t="s">
        <v>2089</v>
      </c>
      <c r="B1036" s="13" t="str">
        <f>HYPERLINK("https://shopee.co.id/Hada-Labo-Shirojyun-ULT-Whit-Essence-30-gr-i.78713320.3214677669", "https://shopee.co.id/Hada-Labo-Shirojyun-ULT-Whit-Essence-30-gr-i.78713320.3214677669")</f>
        <v>https://shopee.co.id/Hada-Labo-Shirojyun-ULT-Whit-Essence-30-gr-i.78713320.3214677669</v>
      </c>
      <c r="C1036" s="8" t="s">
        <v>2090</v>
      </c>
      <c r="D1036" s="8" t="s">
        <v>831</v>
      </c>
      <c r="E1036" s="8" t="s">
        <v>12</v>
      </c>
      <c r="F1036" s="8" t="s">
        <v>13</v>
      </c>
      <c r="G1036" s="8" t="s">
        <v>61</v>
      </c>
      <c r="H1036" s="16">
        <v>26.0</v>
      </c>
      <c r="I1036" s="15" t="str">
        <f>SUBSTITUTE(Sheet1!K1036, "Rp", "")</f>
        <v>3039200</v>
      </c>
    </row>
    <row r="1037">
      <c r="A1037" s="8" t="s">
        <v>2080</v>
      </c>
      <c r="B1037" s="13" t="str">
        <f>HYPERLINK("https://shopee.co.id/KF-Skin-Serum-Darkspot-i.298365554.5452071931", "https://shopee.co.id/KF-Skin-Serum-Darkspot-i.298365554.5452071931")</f>
        <v>https://shopee.co.id/KF-Skin-Serum-Darkspot-i.298365554.5452071931</v>
      </c>
      <c r="C1037" s="8" t="s">
        <v>1290</v>
      </c>
      <c r="D1037" s="8" t="s">
        <v>1291</v>
      </c>
      <c r="E1037" s="8" t="s">
        <v>12</v>
      </c>
      <c r="F1037" s="8" t="s">
        <v>13</v>
      </c>
      <c r="G1037" s="8" t="s">
        <v>1292</v>
      </c>
      <c r="H1037" s="16">
        <v>26.0</v>
      </c>
      <c r="I1037" s="15" t="str">
        <f>SUBSTITUTE(Sheet1!K1037, "Rp", "")</f>
        <v>3100000</v>
      </c>
    </row>
    <row r="1038">
      <c r="A1038" s="8" t="s">
        <v>1675</v>
      </c>
      <c r="B1038" s="13" t="str">
        <f>HYPERLINK("https://shopee.co.id/Nacific-Real-Floral-Calendula-Essence-50g--i.238379974.8670034410", "https://shopee.co.id/Nacific-Real-Floral-Calendula-Essence-50g--i.238379974.8670034410")</f>
        <v>https://shopee.co.id/Nacific-Real-Floral-Calendula-Essence-50g--i.238379974.8670034410</v>
      </c>
      <c r="C1038" s="8" t="s">
        <v>344</v>
      </c>
      <c r="D1038" s="8" t="s">
        <v>345</v>
      </c>
      <c r="E1038" s="8" t="s">
        <v>12</v>
      </c>
      <c r="F1038" s="8" t="s">
        <v>13</v>
      </c>
      <c r="G1038" s="8" t="s">
        <v>130</v>
      </c>
      <c r="H1038" s="16">
        <v>26.0</v>
      </c>
      <c r="I1038" s="15" t="str">
        <f>SUBSTITUTE(Sheet1!K1038, "Rp", "")</f>
        <v>5720000</v>
      </c>
    </row>
    <row r="1039">
      <c r="A1039" s="8" t="s">
        <v>2071</v>
      </c>
      <c r="B1039" s="13" t="str">
        <f>HYPERLINK("https://shopee.co.id/NPURE-Face-Essence-Centella-Asiatica-Cica-series-20ml-i.270965687.3468006174", "https://shopee.co.id/NPURE-Face-Essence-Centella-Asiatica-Cica-series-20ml-i.270965687.3468006174")</f>
        <v>https://shopee.co.id/NPURE-Face-Essence-Centella-Asiatica-Cica-series-20ml-i.270965687.3468006174</v>
      </c>
      <c r="C1039" s="8" t="s">
        <v>266</v>
      </c>
      <c r="D1039" s="8" t="s">
        <v>379</v>
      </c>
      <c r="E1039" s="8" t="s">
        <v>12</v>
      </c>
      <c r="F1039" s="8" t="s">
        <v>13</v>
      </c>
      <c r="G1039" s="8" t="s">
        <v>380</v>
      </c>
      <c r="H1039" s="16">
        <v>26.0</v>
      </c>
      <c r="I1039" s="15" t="str">
        <f>SUBSTITUTE(Sheet1!K1039, "Rp", "")</f>
        <v>3159000</v>
      </c>
    </row>
    <row r="1040">
      <c r="A1040" s="8" t="s">
        <v>1850</v>
      </c>
      <c r="B1040" s="13" t="str">
        <f>HYPERLINK("https://shopee.co.id/Nutrishe-Intensive-Bright-Glow-Serum-30ml-i.68111.5556142272", "https://shopee.co.id/Nutrishe-Intensive-Bright-Glow-Serum-30ml-i.68111.5556142272")</f>
        <v>https://shopee.co.id/Nutrishe-Intensive-Bright-Glow-Serum-30ml-i.68111.5556142272</v>
      </c>
      <c r="C1040" s="8" t="s">
        <v>195</v>
      </c>
      <c r="D1040" s="8" t="s">
        <v>441</v>
      </c>
      <c r="E1040" s="8" t="s">
        <v>12</v>
      </c>
      <c r="F1040" s="8" t="s">
        <v>13</v>
      </c>
      <c r="G1040" s="8" t="s">
        <v>130</v>
      </c>
      <c r="H1040" s="16">
        <v>26.0</v>
      </c>
      <c r="I1040" s="15" t="str">
        <f>SUBSTITUTE(Sheet1!K1040, "Rp", "")</f>
        <v>4394000</v>
      </c>
    </row>
    <row r="1041">
      <c r="A1041" s="8" t="s">
        <v>2276</v>
      </c>
      <c r="B1041" s="13" t="str">
        <f>HYPERLINK("https://shopee.co.id/PROMO-Seger-Snow-Serum-Moisturizing-Skin-Lightening-Cream-Limited-Edition-GRATIS-Totebag-i.221165466.6976109940", "https://shopee.co.id/PROMO-Seger-Snow-Serum-Moisturizing-Skin-Lightening-Cream-Limited-Edition-GRATIS-Totebag-i.221165466.6976109940")</f>
        <v>https://shopee.co.id/PROMO-Seger-Snow-Serum-Moisturizing-Skin-Lightening-Cream-Limited-Edition-GRATIS-Totebag-i.221165466.6976109940</v>
      </c>
      <c r="C1041" s="8" t="s">
        <v>2005</v>
      </c>
      <c r="D1041" s="8" t="s">
        <v>2006</v>
      </c>
      <c r="E1041" s="8" t="s">
        <v>12</v>
      </c>
      <c r="F1041" s="8" t="s">
        <v>13</v>
      </c>
      <c r="G1041" s="8" t="s">
        <v>241</v>
      </c>
      <c r="H1041" s="16">
        <v>26.0</v>
      </c>
      <c r="I1041" s="15" t="str">
        <f>SUBSTITUTE(Sheet1!K1041, "Rp", "")</f>
        <v>2348000</v>
      </c>
    </row>
    <row r="1042">
      <c r="A1042" s="8" t="s">
        <v>1774</v>
      </c>
      <c r="B1042" s="13" t="str">
        <f>HYPERLINK("https://shopee.co.id/Sbcskin-Vit-C-15-Skin-Booster-And-Antioxidant-Serum-i.229435322.6644664616", "https://shopee.co.id/Sbcskin-Vit-C-15-Skin-Booster-And-Antioxidant-Serum-i.229435322.6644664616")</f>
        <v>https://shopee.co.id/Sbcskin-Vit-C-15-Skin-Booster-And-Antioxidant-Serum-i.229435322.6644664616</v>
      </c>
      <c r="C1042" s="8" t="s">
        <v>1775</v>
      </c>
      <c r="D1042" s="8" t="s">
        <v>1776</v>
      </c>
      <c r="E1042" s="8" t="s">
        <v>12</v>
      </c>
      <c r="F1042" s="8" t="s">
        <v>13</v>
      </c>
      <c r="G1042" s="8" t="s">
        <v>1777</v>
      </c>
      <c r="H1042" s="16">
        <v>26.0</v>
      </c>
      <c r="I1042" s="15" t="str">
        <f>SUBSTITUTE(Sheet1!K1042, "Rp", "")</f>
        <v>4850700</v>
      </c>
    </row>
    <row r="1043">
      <c r="A1043" s="8" t="s">
        <v>2778</v>
      </c>
      <c r="B1043" s="13" t="str">
        <f>HYPERLINK("https://shopee.co.id/Smooto-Egg-Collagen-White-Serum-1-Box-isi-6pcs-i.65619901.3275558312", "https://shopee.co.id/Smooto-Egg-Collagen-White-Serum-1-Box-isi-6pcs-i.65619901.3275558312")</f>
        <v>https://shopee.co.id/Smooto-Egg-Collagen-White-Serum-1-Box-isi-6pcs-i.65619901.3275558312</v>
      </c>
      <c r="C1043" s="8" t="s">
        <v>2779</v>
      </c>
      <c r="D1043" s="8" t="s">
        <v>2780</v>
      </c>
      <c r="E1043" s="8" t="s">
        <v>12</v>
      </c>
      <c r="F1043" s="8" t="s">
        <v>13</v>
      </c>
      <c r="G1043" s="8" t="s">
        <v>85</v>
      </c>
      <c r="H1043" s="16">
        <v>26.0</v>
      </c>
      <c r="I1043" s="15" t="str">
        <f>SUBSTITUTE(Sheet1!K1043, "Rp", "")</f>
        <v>1092000</v>
      </c>
    </row>
    <row r="1044">
      <c r="A1044" s="8" t="s">
        <v>3913</v>
      </c>
      <c r="B1044" s="13" t="str">
        <f>HYPERLINK("https://shopee.co.id/THE-POTIONS-Sample-Size-Azulene-Ampoule-1ml-Individual-Pack-Maksimal-Checkout-3-pcs--i.379239733.9034316014", "https://shopee.co.id/THE-POTIONS-Sample-Size-Azulene-Ampoule-1ml-Individual-Pack-Maksimal-Checkout-3-pcs--i.379239733.9034316014")</f>
        <v>https://shopee.co.id/THE-POTIONS-Sample-Size-Azulene-Ampoule-1ml-Individual-Pack-Maksimal-Checkout-3-pcs--i.379239733.9034316014</v>
      </c>
      <c r="C1044" s="8" t="s">
        <v>2245</v>
      </c>
      <c r="D1044" s="8" t="s">
        <v>2246</v>
      </c>
      <c r="E1044" s="8" t="s">
        <v>12</v>
      </c>
      <c r="F1044" s="8" t="s">
        <v>13</v>
      </c>
      <c r="G1044" s="8" t="s">
        <v>130</v>
      </c>
      <c r="H1044" s="16">
        <v>26.0</v>
      </c>
      <c r="I1044" s="15" t="str">
        <f>SUBSTITUTE(Sheet1!K1044, "Rp", "")</f>
        <v>73500</v>
      </c>
    </row>
    <row r="1045">
      <c r="A1045" s="8" t="s">
        <v>2786</v>
      </c>
      <c r="B1045" s="13" t="str">
        <f>HYPERLINK("https://shopee.co.id/Wardah-White-Secret-Intense-Brightening-Essence-17-ml-i.186214521.4004533150", "https://shopee.co.id/Wardah-White-Secret-Intense-Brightening-Essence-17-ml-i.186214521.4004533150")</f>
        <v>https://shopee.co.id/Wardah-White-Secret-Intense-Brightening-Essence-17-ml-i.186214521.4004533150</v>
      </c>
      <c r="C1045" s="8" t="s">
        <v>169</v>
      </c>
      <c r="D1045" s="8" t="s">
        <v>2293</v>
      </c>
      <c r="E1045" s="8" t="s">
        <v>12</v>
      </c>
      <c r="F1045" s="8" t="s">
        <v>13</v>
      </c>
      <c r="G1045" s="8" t="s">
        <v>61</v>
      </c>
      <c r="H1045" s="16">
        <v>26.0</v>
      </c>
      <c r="I1045" s="15" t="str">
        <f>SUBSTITUTE(Sheet1!K1045, "Rp", "")</f>
        <v>1079000</v>
      </c>
    </row>
    <row r="1046">
      <c r="A1046" s="8" t="s">
        <v>2404</v>
      </c>
      <c r="B1046" s="13" t="str">
        <f>HYPERLINK("https://shopee.co.id/WHITELAB-ACNE-CALMING-SERUM-20-ML-i.50972887.10341980200", "https://shopee.co.id/WHITELAB-ACNE-CALMING-SERUM-20-ML-i.50972887.10341980200")</f>
        <v>https://shopee.co.id/WHITELAB-ACNE-CALMING-SERUM-20-ML-i.50972887.10341980200</v>
      </c>
      <c r="C1046" s="8" t="s">
        <v>59</v>
      </c>
      <c r="D1046" s="8" t="s">
        <v>552</v>
      </c>
      <c r="E1046" s="8" t="s">
        <v>12</v>
      </c>
      <c r="F1046" s="8" t="s">
        <v>13</v>
      </c>
      <c r="G1046" s="8" t="s">
        <v>61</v>
      </c>
      <c r="H1046" s="16">
        <v>26.0</v>
      </c>
      <c r="I1046" s="15" t="str">
        <f>SUBSTITUTE(Sheet1!K1046, "Rp", "")</f>
        <v>1944800</v>
      </c>
    </row>
    <row r="1047">
      <c r="A1047" s="8" t="s">
        <v>2403</v>
      </c>
      <c r="B1047" s="13" t="str">
        <f>HYPERLINK("https://shopee.co.id/Whitelab-Acne-Calming-Serum-20ml-i.136011044.3576754773", "https://shopee.co.id/Whitelab-Acne-Calming-Serum-20ml-i.136011044.3576754773")</f>
        <v>https://shopee.co.id/Whitelab-Acne-Calming-Serum-20ml-i.136011044.3576754773</v>
      </c>
      <c r="C1047" s="8" t="s">
        <v>59</v>
      </c>
      <c r="D1047" s="8" t="s">
        <v>632</v>
      </c>
      <c r="E1047" s="8" t="s">
        <v>12</v>
      </c>
      <c r="F1047" s="8" t="s">
        <v>13</v>
      </c>
      <c r="G1047" s="8" t="s">
        <v>21</v>
      </c>
      <c r="H1047" s="16">
        <v>26.0</v>
      </c>
      <c r="I1047" s="15" t="str">
        <f>SUBSTITUTE(Sheet1!K1047, "Rp", "")</f>
        <v>1950000</v>
      </c>
    </row>
    <row r="1048">
      <c r="A1048" s="8" t="s">
        <v>1476</v>
      </c>
      <c r="B1048" s="13" t="str">
        <f>HYPERLINK("https://shopee.co.id/-Official-Distributor-Klairs-Rich-Moist-Soothing-Serum-80ml-i.63803418.1188737625", "https://shopee.co.id/-Official-Distributor-Klairs-Rich-Moist-Soothing-Serum-80ml-i.63803418.1188737625")</f>
        <v>https://shopee.co.id/-Official-Distributor-Klairs-Rich-Moist-Soothing-Serum-80ml-i.63803418.1188737625</v>
      </c>
      <c r="C1048" s="8" t="s">
        <v>432</v>
      </c>
      <c r="D1048" s="8" t="s">
        <v>433</v>
      </c>
      <c r="E1048" s="8" t="s">
        <v>12</v>
      </c>
      <c r="F1048" s="8" t="s">
        <v>13</v>
      </c>
      <c r="G1048" s="8" t="s">
        <v>21</v>
      </c>
      <c r="H1048" s="16">
        <v>25.0</v>
      </c>
      <c r="I1048" s="15" t="str">
        <f>SUBSTITUTE(Sheet1!K1048, "Rp", "")</f>
        <v>7946025</v>
      </c>
    </row>
    <row r="1049">
      <c r="A1049" s="8" t="s">
        <v>1435</v>
      </c>
      <c r="B1049" s="13" t="str">
        <f>HYPERLINK("https://shopee.co.id/Bio-Essence-Bio-White-Day-and-Night-Cream-i.63822287.7655936237", "https://shopee.co.id/Bio-Essence-Bio-White-Day-and-Night-Cream-i.63822287.7655936237")</f>
        <v>https://shopee.co.id/Bio-Essence-Bio-White-Day-and-Night-Cream-i.63822287.7655936237</v>
      </c>
      <c r="C1049" s="8" t="s">
        <v>1254</v>
      </c>
      <c r="D1049" s="8" t="s">
        <v>835</v>
      </c>
      <c r="E1049" s="8" t="s">
        <v>12</v>
      </c>
      <c r="F1049" s="8" t="s">
        <v>13</v>
      </c>
      <c r="G1049" s="8" t="s">
        <v>61</v>
      </c>
      <c r="H1049" s="16">
        <v>25.0</v>
      </c>
      <c r="I1049" s="15" t="str">
        <f>SUBSTITUTE(Sheet1!K1049, "Rp", "")</f>
        <v>8499700</v>
      </c>
    </row>
    <row r="1050">
      <c r="A1050" s="8" t="s">
        <v>2526</v>
      </c>
      <c r="B1050" s="13" t="str">
        <f>HYPERLINK("https://shopee.co.id/Dear-Me-Beauty-10-Niacinamide-Watermelon-Extract-Face-Serum-i.270965687.11706237257", "https://shopee.co.id/Dear-Me-Beauty-10-Niacinamide-Watermelon-Extract-Face-Serum-i.270965687.11706237257")</f>
        <v>https://shopee.co.id/Dear-Me-Beauty-10-Niacinamide-Watermelon-Extract-Face-Serum-i.270965687.11706237257</v>
      </c>
      <c r="C1050" s="8" t="s">
        <v>70</v>
      </c>
      <c r="D1050" s="8" t="s">
        <v>379</v>
      </c>
      <c r="E1050" s="8" t="s">
        <v>12</v>
      </c>
      <c r="F1050" s="8" t="s">
        <v>13</v>
      </c>
      <c r="G1050" s="8" t="s">
        <v>380</v>
      </c>
      <c r="H1050" s="16">
        <v>25.0</v>
      </c>
      <c r="I1050" s="15" t="str">
        <f>SUBSTITUTE(Sheet1!K1050, "Rp", "")</f>
        <v>1637400</v>
      </c>
    </row>
    <row r="1051">
      <c r="A1051" s="8" t="s">
        <v>1616</v>
      </c>
      <c r="B1051" s="13" t="str">
        <f>HYPERLINK("https://shopee.co.id/FIRST-LAB-FIRST-LAB-Probiotic-Skin-Essence-SIGNATURE-150ml-i.68111.2258664520", "https://shopee.co.id/FIRST-LAB-FIRST-LAB-Probiotic-Skin-Essence-SIGNATURE-150ml-i.68111.2258664520")</f>
        <v>https://shopee.co.id/FIRST-LAB-FIRST-LAB-Probiotic-Skin-Essence-SIGNATURE-150ml-i.68111.2258664520</v>
      </c>
      <c r="C1051" s="8" t="s">
        <v>1617</v>
      </c>
      <c r="D1051" s="8" t="s">
        <v>441</v>
      </c>
      <c r="E1051" s="8" t="s">
        <v>12</v>
      </c>
      <c r="F1051" s="8" t="s">
        <v>13</v>
      </c>
      <c r="G1051" s="8" t="s">
        <v>130</v>
      </c>
      <c r="H1051" s="16">
        <v>25.0</v>
      </c>
      <c r="I1051" s="15" t="str">
        <f>SUBSTITUTE(Sheet1!K1051, "Rp", "")</f>
        <v>6204000</v>
      </c>
    </row>
    <row r="1052">
      <c r="A1052" s="8" t="s">
        <v>2186</v>
      </c>
      <c r="B1052" s="13" t="str">
        <f>HYPERLINK("https://shopee.co.id/Garnier-Light-Complete-Booster-Serum-15ml-Micellar-Water-Pink-400ml-Untuk-Kulit-Bersih-Cerah--i.62583853.8114565380", "https://shopee.co.id/Garnier-Light-Complete-Booster-Serum-15ml-Micellar-Water-Pink-400ml-Untuk-Kulit-Bersih-Cerah--i.62583853.8114565380")</f>
        <v>https://shopee.co.id/Garnier-Light-Complete-Booster-Serum-15ml-Micellar-Water-Pink-400ml-Untuk-Kulit-Bersih-Cerah--i.62583853.8114565380</v>
      </c>
      <c r="C1052" s="8" t="s">
        <v>74</v>
      </c>
      <c r="D1052" s="8" t="s">
        <v>75</v>
      </c>
      <c r="E1052" s="8" t="s">
        <v>12</v>
      </c>
      <c r="F1052" s="8" t="s">
        <v>13</v>
      </c>
      <c r="G1052" s="8" t="s">
        <v>61</v>
      </c>
      <c r="H1052" s="16">
        <v>25.0</v>
      </c>
      <c r="I1052" s="15" t="str">
        <f>SUBSTITUTE(Sheet1!K1052, "Rp", "")</f>
        <v>2587000</v>
      </c>
    </row>
    <row r="1053">
      <c r="A1053" s="8" t="s">
        <v>2008</v>
      </c>
      <c r="B1053" s="13" t="str">
        <f>HYPERLINK("https://shopee.co.id/Iunik-Propolis-Vitamin-Synergy-Serum-15ml-i.270765534.3753357965", "https://shopee.co.id/Iunik-Propolis-Vitamin-Synergy-Serum-15ml-i.270765534.3753357965")</f>
        <v>https://shopee.co.id/Iunik-Propolis-Vitamin-Synergy-Serum-15ml-i.270765534.3753357965</v>
      </c>
      <c r="C1053" s="8" t="s">
        <v>1658</v>
      </c>
      <c r="D1053" s="8" t="s">
        <v>1659</v>
      </c>
      <c r="E1053" s="8" t="s">
        <v>12</v>
      </c>
      <c r="F1053" s="8" t="s">
        <v>13</v>
      </c>
      <c r="G1053" s="8" t="s">
        <v>21</v>
      </c>
      <c r="H1053" s="16">
        <v>25.0</v>
      </c>
      <c r="I1053" s="15" t="str">
        <f>SUBSTITUTE(Sheet1!K1053, "Rp", "")</f>
        <v>2504600</v>
      </c>
    </row>
    <row r="1054">
      <c r="A1054" s="8" t="s">
        <v>1137</v>
      </c>
      <c r="B1054" s="13" t="str">
        <f>HYPERLINK("https://shopee.co.id/Laneige-Water-Bank-Hydro-Essence-70ml-i.52917348.8334178538", "https://shopee.co.id/Laneige-Water-Bank-Hydro-Essence-70ml-i.52917348.8334178538")</f>
        <v>https://shopee.co.id/Laneige-Water-Bank-Hydro-Essence-70ml-i.52917348.8334178538</v>
      </c>
      <c r="C1054" s="8" t="s">
        <v>364</v>
      </c>
      <c r="D1054" s="8" t="s">
        <v>365</v>
      </c>
      <c r="E1054" s="8" t="s">
        <v>12</v>
      </c>
      <c r="F1054" s="8" t="s">
        <v>13</v>
      </c>
      <c r="G1054" s="8" t="s">
        <v>61</v>
      </c>
      <c r="H1054" s="16">
        <v>25.0</v>
      </c>
      <c r="I1054" s="15" t="str">
        <f>SUBSTITUTE(Sheet1!K1054, "Rp", "")</f>
        <v>14346000</v>
      </c>
    </row>
    <row r="1055">
      <c r="A1055" s="8" t="s">
        <v>1547</v>
      </c>
      <c r="B1055" s="13" t="str">
        <f>HYPERLINK("https://shopee.co.id/LUNICA-Bundle-Aqua-Blossom-Serum-Cream-i.298959895.9487564452", "https://shopee.co.id/LUNICA-Bundle-Aqua-Blossom-Serum-Cream-i.298959895.9487564452")</f>
        <v>https://shopee.co.id/LUNICA-Bundle-Aqua-Blossom-Serum-Cream-i.298959895.9487564452</v>
      </c>
      <c r="C1055" s="8" t="s">
        <v>510</v>
      </c>
      <c r="D1055" s="8" t="s">
        <v>511</v>
      </c>
      <c r="E1055" s="8" t="s">
        <v>12</v>
      </c>
      <c r="F1055" s="8" t="s">
        <v>13</v>
      </c>
      <c r="G1055" s="8" t="s">
        <v>36</v>
      </c>
      <c r="H1055" s="16">
        <v>25.0</v>
      </c>
      <c r="I1055" s="15" t="str">
        <f>SUBSTITUTE(Sheet1!K1055, "Rp", "")</f>
        <v>7104700</v>
      </c>
    </row>
    <row r="1056">
      <c r="A1056" s="8" t="s">
        <v>2356</v>
      </c>
      <c r="B1056" s="13" t="str">
        <f>HYPERLINK("https://shopee.co.id/Mazaya-Dermo-Whitening-Serum-with-Astaxanthin-15ml-i.111075825.7207899508", "https://shopee.co.id/Mazaya-Dermo-Whitening-Serum-with-Astaxanthin-15ml-i.111075825.7207899508")</f>
        <v>https://shopee.co.id/Mazaya-Dermo-Whitening-Serum-with-Astaxanthin-15ml-i.111075825.7207899508</v>
      </c>
      <c r="C1056" s="8" t="s">
        <v>2196</v>
      </c>
      <c r="D1056" s="8" t="s">
        <v>2197</v>
      </c>
      <c r="E1056" s="8" t="s">
        <v>12</v>
      </c>
      <c r="F1056" s="8" t="s">
        <v>13</v>
      </c>
      <c r="G1056" s="8" t="s">
        <v>1048</v>
      </c>
      <c r="H1056" s="16">
        <v>25.0</v>
      </c>
      <c r="I1056" s="15" t="str">
        <f>SUBSTITUTE(Sheet1!K1056, "Rp", "")</f>
        <v>2097000</v>
      </c>
    </row>
    <row r="1057">
      <c r="A1057" s="8" t="s">
        <v>2588</v>
      </c>
      <c r="B1057" s="13" t="str">
        <f>HYPERLINK("https://shopee.co.id/Mireya-Bright-Boost-Serum-Niacinamide-10-3M3-Whiteris-i.101578297.8316946140", "https://shopee.co.id/Mireya-Bright-Boost-Serum-Niacinamide-10-3M3-Whiteris-i.101578297.8316946140")</f>
        <v>https://shopee.co.id/Mireya-Bright-Boost-Serum-Niacinamide-10-3M3-Whiteris-i.101578297.8316946140</v>
      </c>
      <c r="C1057" s="8" t="s">
        <v>2430</v>
      </c>
      <c r="D1057" s="8" t="s">
        <v>2431</v>
      </c>
      <c r="E1057" s="8" t="s">
        <v>12</v>
      </c>
      <c r="F1057" s="8" t="s">
        <v>13</v>
      </c>
      <c r="G1057" s="8" t="s">
        <v>21</v>
      </c>
      <c r="H1057" s="16">
        <v>25.0</v>
      </c>
      <c r="I1057" s="15" t="str">
        <f>SUBSTITUTE(Sheet1!K1057, "Rp", "")</f>
        <v>1499400</v>
      </c>
    </row>
    <row r="1058">
      <c r="A1058" s="8" t="s">
        <v>1705</v>
      </c>
      <c r="B1058" s="13" t="str">
        <f>HYPERLINK("https://shopee.co.id/Nacific-Pink-Ahabha-Serum-50ml--i.238379974.11513353075", "https://shopee.co.id/Nacific-Pink-Ahabha-Serum-50ml--i.238379974.11513353075")</f>
        <v>https://shopee.co.id/Nacific-Pink-Ahabha-Serum-50ml--i.238379974.11513353075</v>
      </c>
      <c r="C1058" s="8" t="s">
        <v>344</v>
      </c>
      <c r="D1058" s="8" t="s">
        <v>345</v>
      </c>
      <c r="E1058" s="8" t="s">
        <v>12</v>
      </c>
      <c r="F1058" s="8" t="s">
        <v>13</v>
      </c>
      <c r="G1058" s="8" t="s">
        <v>130</v>
      </c>
      <c r="H1058" s="16">
        <v>25.0</v>
      </c>
      <c r="I1058" s="15" t="str">
        <f>SUBSTITUTE(Sheet1!K1058, "Rp", "")</f>
        <v>5375000</v>
      </c>
    </row>
    <row r="1059">
      <c r="A1059" s="8" t="s">
        <v>2324</v>
      </c>
      <c r="B1059" s="13" t="str">
        <f>HYPERLINK("https://shopee.co.id/Natasha-by-dr-Fredi-Setyawan-First-Serum-i.40121814.8535319592", "https://shopee.co.id/Natasha-by-dr-Fredi-Setyawan-First-Serum-i.40121814.8535319592")</f>
        <v>https://shopee.co.id/Natasha-by-dr-Fredi-Setyawan-First-Serum-i.40121814.8535319592</v>
      </c>
      <c r="C1059" s="8" t="s">
        <v>1752</v>
      </c>
      <c r="D1059" s="8" t="s">
        <v>794</v>
      </c>
      <c r="E1059" s="8" t="s">
        <v>12</v>
      </c>
      <c r="F1059" s="8" t="s">
        <v>13</v>
      </c>
      <c r="G1059" s="8" t="s">
        <v>380</v>
      </c>
      <c r="H1059" s="16">
        <v>25.0</v>
      </c>
      <c r="I1059" s="15" t="str">
        <f>SUBSTITUTE(Sheet1!K1059, "Rp", "")</f>
        <v>2198200</v>
      </c>
    </row>
    <row r="1060">
      <c r="A1060" s="8" t="s">
        <v>2509</v>
      </c>
      <c r="B1060" s="13" t="str">
        <f>HYPERLINK("https://shopee.co.id/Safi-Age-Defy-Gold-Water-Essence-30-ml-Naturals-Micellar-Water-with-Yuzu-100-ml-i.63823668.5043854650", "https://shopee.co.id/Safi-Age-Defy-Gold-Water-Essence-30-ml-Naturals-Micellar-Water-with-Yuzu-100-ml-i.63823668.5043854650")</f>
        <v>https://shopee.co.id/Safi-Age-Defy-Gold-Water-Essence-30-ml-Naturals-Micellar-Water-with-Yuzu-100-ml-i.63823668.5043854650</v>
      </c>
      <c r="C1060" s="8" t="s">
        <v>2510</v>
      </c>
      <c r="D1060" s="8" t="s">
        <v>279</v>
      </c>
      <c r="E1060" s="8" t="s">
        <v>12</v>
      </c>
      <c r="F1060" s="8" t="s">
        <v>13</v>
      </c>
      <c r="G1060" s="8" t="s">
        <v>61</v>
      </c>
      <c r="H1060" s="16">
        <v>25.0</v>
      </c>
      <c r="I1060" s="15" t="str">
        <f>SUBSTITUTE(Sheet1!K1060, "Rp", "")</f>
        <v>1681600</v>
      </c>
    </row>
    <row r="1061">
      <c r="A1061" s="8" t="s">
        <v>2315</v>
      </c>
      <c r="B1061" s="13" t="str">
        <f>HYPERLINK("https://shopee.co.id/Somethinc-5-Niacinamide-Moisture-Sabi-Beet-Serum-20ml-i.825870.3582091945", "https://shopee.co.id/Somethinc-5-Niacinamide-Moisture-Sabi-Beet-Serum-20ml-i.825870.3582091945")</f>
        <v>https://shopee.co.id/Somethinc-5-Niacinamide-Moisture-Sabi-Beet-Serum-20ml-i.825870.3582091945</v>
      </c>
      <c r="C1061" s="8" t="s">
        <v>45</v>
      </c>
      <c r="D1061" s="8" t="s">
        <v>1184</v>
      </c>
      <c r="E1061" s="8" t="s">
        <v>12</v>
      </c>
      <c r="F1061" s="8" t="s">
        <v>13</v>
      </c>
      <c r="G1061" s="8" t="s">
        <v>21</v>
      </c>
      <c r="H1061" s="16">
        <v>25.0</v>
      </c>
      <c r="I1061" s="15" t="str">
        <f>SUBSTITUTE(Sheet1!K1061, "Rp", "")</f>
        <v>2225000</v>
      </c>
    </row>
    <row r="1062">
      <c r="A1062" s="8" t="s">
        <v>2907</v>
      </c>
      <c r="B1062" s="13" t="str">
        <f>HYPERLINK("https://shopee.co.id/THE-LAB-BY-BLANC-DOUX-Oligo-Hyaluronic-Acid-Midnight-Capsule-2ml-i.385039113.11220616147", "https://shopee.co.id/THE-LAB-BY-BLANC-DOUX-Oligo-Hyaluronic-Acid-Midnight-Capsule-2ml-i.385039113.11220616147")</f>
        <v>https://shopee.co.id/THE-LAB-BY-BLANC-DOUX-Oligo-Hyaluronic-Acid-Midnight-Capsule-2ml-i.385039113.11220616147</v>
      </c>
      <c r="C1062" s="8" t="s">
        <v>2835</v>
      </c>
      <c r="D1062" s="8" t="s">
        <v>2836</v>
      </c>
      <c r="E1062" s="8" t="s">
        <v>12</v>
      </c>
      <c r="F1062" s="8" t="s">
        <v>13</v>
      </c>
      <c r="G1062" s="8" t="s">
        <v>98</v>
      </c>
      <c r="H1062" s="16">
        <v>25.0</v>
      </c>
      <c r="I1062" s="15" t="str">
        <f>SUBSTITUTE(Sheet1!K1062, "Rp", "")</f>
        <v>891000</v>
      </c>
    </row>
    <row r="1063">
      <c r="A1063" s="8" t="s">
        <v>2755</v>
      </c>
      <c r="B1063" s="13" t="str">
        <f>HYPERLINK("https://shopee.co.id/VT-COSMETICS-CICA-X-CARE-Spot-Patch-i.240557409.8847871591", "https://shopee.co.id/VT-COSMETICS-CICA-X-CARE-Spot-Patch-i.240557409.8847871591")</f>
        <v>https://shopee.co.id/VT-COSMETICS-CICA-X-CARE-Spot-Patch-i.240557409.8847871591</v>
      </c>
      <c r="C1063" s="8" t="s">
        <v>2756</v>
      </c>
      <c r="D1063" s="8" t="s">
        <v>2757</v>
      </c>
      <c r="E1063" s="8" t="s">
        <v>12</v>
      </c>
      <c r="F1063" s="8" t="s">
        <v>13</v>
      </c>
      <c r="G1063" s="8" t="s">
        <v>98</v>
      </c>
      <c r="H1063" s="16">
        <v>25.0</v>
      </c>
      <c r="I1063" s="15" t="str">
        <f>SUBSTITUTE(Sheet1!K1063, "Rp", "")</f>
        <v>1129000</v>
      </c>
    </row>
    <row r="1064">
      <c r="A1064" s="8" t="s">
        <v>2051</v>
      </c>
      <c r="B1064" s="13" t="str">
        <f>HYPERLINK("https://shopee.co.id/Avoskin-Your-Skin-Bae-Serum-Marine-Collagen-10-Ginseng-Root-30ml-i.50948181.7094152309", "https://shopee.co.id/Avoskin-Your-Skin-Bae-Serum-Marine-Collagen-10-Ginseng-Root-30ml-i.50948181.7094152309")</f>
        <v>https://shopee.co.id/Avoskin-Your-Skin-Bae-Serum-Marine-Collagen-10-Ginseng-Root-30ml-i.50948181.7094152309</v>
      </c>
      <c r="C1064" s="8" t="s">
        <v>83</v>
      </c>
      <c r="D1064" s="8" t="s">
        <v>1129</v>
      </c>
      <c r="E1064" s="8" t="s">
        <v>12</v>
      </c>
      <c r="F1064" s="8" t="s">
        <v>13</v>
      </c>
      <c r="G1064" s="8" t="s">
        <v>1130</v>
      </c>
      <c r="H1064" s="16">
        <v>24.0</v>
      </c>
      <c r="I1064" s="15" t="str">
        <f>SUBSTITUTE(Sheet1!K1064, "Rp", "")</f>
        <v>3265938</v>
      </c>
    </row>
    <row r="1065">
      <c r="A1065" s="8" t="s">
        <v>1307</v>
      </c>
      <c r="B1065" s="13" t="str">
        <f>HYPERLINK("https://shopee.co.id/-Bundle-Olay-White-Radiance-Niacinamide-Vit-C-30-ml-Hyaluronic-30-ml-Super-Serum-i.11487927.8515829681", "https://shopee.co.id/-Bundle-Olay-White-Radiance-Niacinamide-Vit-C-30-ml-Hyaluronic-30-ml-Super-Serum-i.11487927.8515829681")</f>
        <v>https://shopee.co.id/-Bundle-Olay-White-Radiance-Niacinamide-Vit-C-30-ml-Hyaluronic-30-ml-Super-Serum-i.11487927.8515829681</v>
      </c>
      <c r="C1065" s="8" t="s">
        <v>317</v>
      </c>
      <c r="D1065" s="8" t="s">
        <v>318</v>
      </c>
      <c r="E1065" s="8" t="s">
        <v>12</v>
      </c>
      <c r="F1065" s="8" t="s">
        <v>13</v>
      </c>
      <c r="G1065" s="8" t="s">
        <v>296</v>
      </c>
      <c r="H1065" s="16">
        <v>24.0</v>
      </c>
      <c r="I1065" s="15" t="str">
        <f>SUBSTITUTE(Sheet1!K1065, "Rp", "")</f>
        <v>10538400</v>
      </c>
    </row>
    <row r="1066">
      <c r="A1066" s="8" t="s">
        <v>1191</v>
      </c>
      <c r="B1066" s="13" t="str">
        <f>HYPERLINK("https://shopee.co.id/-RAMADHAN-PACKAGE-Around-The-Nature-Brightening-Set-i.78838801.5832127691", "https://shopee.co.id/-RAMADHAN-PACKAGE-Around-The-Nature-Brightening-Set-i.78838801.5832127691")</f>
        <v>https://shopee.co.id/-RAMADHAN-PACKAGE-Around-The-Nature-Brightening-Set-i.78838801.5832127691</v>
      </c>
      <c r="C1066" s="8" t="s">
        <v>1079</v>
      </c>
      <c r="D1066" s="8" t="s">
        <v>1080</v>
      </c>
      <c r="E1066" s="8" t="s">
        <v>12</v>
      </c>
      <c r="F1066" s="8" t="s">
        <v>13</v>
      </c>
      <c r="G1066" s="8" t="s">
        <v>532</v>
      </c>
      <c r="H1066" s="16">
        <v>24.0</v>
      </c>
      <c r="I1066" s="15" t="str">
        <f>SUBSTITUTE(Sheet1!K1066, "Rp", "")</f>
        <v>13176000</v>
      </c>
    </row>
    <row r="1067">
      <c r="A1067" s="8" t="s">
        <v>1748</v>
      </c>
      <c r="B1067" s="13" t="str">
        <f>HYPERLINK("https://shopee.co.id/Adleeva-BUNDLING-2-pcs-Serum-Flawless-Brightening-Serum-Acne-Fighter-Serum--i.180408602.13008416669", "https://shopee.co.id/Adleeva-BUNDLING-2-pcs-Serum-Flawless-Brightening-Serum-Acne-Fighter-Serum--i.180408602.13008416669")</f>
        <v>https://shopee.co.id/Adleeva-BUNDLING-2-pcs-Serum-Flawless-Brightening-Serum-Acne-Fighter-Serum--i.180408602.13008416669</v>
      </c>
      <c r="C1067" s="8" t="s">
        <v>539</v>
      </c>
      <c r="D1067" s="8" t="s">
        <v>540</v>
      </c>
      <c r="E1067" s="8" t="s">
        <v>12</v>
      </c>
      <c r="F1067" s="8" t="s">
        <v>13</v>
      </c>
      <c r="G1067" s="8" t="s">
        <v>541</v>
      </c>
      <c r="H1067" s="16">
        <v>24.0</v>
      </c>
      <c r="I1067" s="15" t="str">
        <f>SUBSTITUTE(Sheet1!K1067, "Rp", "")</f>
        <v>4992000</v>
      </c>
    </row>
    <row r="1068">
      <c r="A1068" s="8" t="s">
        <v>2038</v>
      </c>
      <c r="B1068" s="13" t="str">
        <f>HYPERLINK("https://shopee.co.id/Avoskin-Your-Skin-Bae-Salicylic-Acid-2-Zinc-30ml-i.825870.5481325869", "https://shopee.co.id/Avoskin-Your-Skin-Bae-Salicylic-Acid-2-Zinc-30ml-i.825870.5481325869")</f>
        <v>https://shopee.co.id/Avoskin-Your-Skin-Bae-Salicylic-Acid-2-Zinc-30ml-i.825870.5481325869</v>
      </c>
      <c r="C1068" s="8" t="s">
        <v>83</v>
      </c>
      <c r="D1068" s="8" t="s">
        <v>1184</v>
      </c>
      <c r="E1068" s="8" t="s">
        <v>12</v>
      </c>
      <c r="F1068" s="8" t="s">
        <v>13</v>
      </c>
      <c r="G1068" s="8" t="s">
        <v>21</v>
      </c>
      <c r="H1068" s="16">
        <v>24.0</v>
      </c>
      <c r="I1068" s="15" t="str">
        <f>SUBSTITUTE(Sheet1!K1068, "Rp", "")</f>
        <v>3336000</v>
      </c>
    </row>
    <row r="1069">
      <c r="A1069" s="8" t="s">
        <v>2162</v>
      </c>
      <c r="B1069" s="13" t="str">
        <f>HYPERLINK("https://shopee.co.id/Bio-Essence-Bio-White-Starter-Pack-Perawatan-Wajah-i.63822287.9739321485", "https://shopee.co.id/Bio-Essence-Bio-White-Starter-Pack-Perawatan-Wajah-i.63822287.9739321485")</f>
        <v>https://shopee.co.id/Bio-Essence-Bio-White-Starter-Pack-Perawatan-Wajah-i.63822287.9739321485</v>
      </c>
      <c r="C1069" s="8" t="s">
        <v>1254</v>
      </c>
      <c r="D1069" s="8" t="s">
        <v>835</v>
      </c>
      <c r="E1069" s="8" t="s">
        <v>12</v>
      </c>
      <c r="F1069" s="8" t="s">
        <v>13</v>
      </c>
      <c r="G1069" s="8" t="s">
        <v>61</v>
      </c>
      <c r="H1069" s="16">
        <v>24.0</v>
      </c>
      <c r="I1069" s="15" t="str">
        <f>SUBSTITUTE(Sheet1!K1069, "Rp", "")</f>
        <v>2682700</v>
      </c>
    </row>
    <row r="1070">
      <c r="A1070" s="8" t="s">
        <v>2076</v>
      </c>
      <c r="B1070" s="13" t="str">
        <f>HYPERLINK("https://shopee.co.id/Bio-Essence-Bio-Bounce-Collagen-Skin-Enhancer-100-ml-i.63822287.1671468812", "https://shopee.co.id/Bio-Essence-Bio-Bounce-Collagen-Skin-Enhancer-100-ml-i.63822287.1671468812")</f>
        <v>https://shopee.co.id/Bio-Essence-Bio-Bounce-Collagen-Skin-Enhancer-100-ml-i.63822287.1671468812</v>
      </c>
      <c r="C1070" s="8" t="s">
        <v>1254</v>
      </c>
      <c r="D1070" s="8" t="s">
        <v>835</v>
      </c>
      <c r="E1070" s="8" t="s">
        <v>12</v>
      </c>
      <c r="F1070" s="8" t="s">
        <v>13</v>
      </c>
      <c r="G1070" s="8" t="s">
        <v>61</v>
      </c>
      <c r="H1070" s="16">
        <v>24.0</v>
      </c>
      <c r="I1070" s="15" t="str">
        <f>SUBSTITUTE(Sheet1!K1070, "Rp", "")</f>
        <v>3140000</v>
      </c>
    </row>
    <row r="1071">
      <c r="A1071" s="8" t="s">
        <v>1597</v>
      </c>
      <c r="B1071" s="13" t="str">
        <f>HYPERLINK("https://shopee.co.id/Bio-Essence-Bio-Gold-Day-Cream-SPF24-40gr-Perawatan-Wajah-Anti-Aging-i.63822287.1671468792", "https://shopee.co.id/Bio-Essence-Bio-Gold-Day-Cream-SPF24-40gr-Perawatan-Wajah-Anti-Aging-i.63822287.1671468792")</f>
        <v>https://shopee.co.id/Bio-Essence-Bio-Gold-Day-Cream-SPF24-40gr-Perawatan-Wajah-Anti-Aging-i.63822287.1671468792</v>
      </c>
      <c r="C1071" s="8" t="s">
        <v>834</v>
      </c>
      <c r="D1071" s="8" t="s">
        <v>835</v>
      </c>
      <c r="E1071" s="8" t="s">
        <v>12</v>
      </c>
      <c r="F1071" s="8" t="s">
        <v>13</v>
      </c>
      <c r="G1071" s="8" t="s">
        <v>61</v>
      </c>
      <c r="H1071" s="16">
        <v>24.0</v>
      </c>
      <c r="I1071" s="15" t="str">
        <f>SUBSTITUTE(Sheet1!K1071, "Rp", "")</f>
        <v>6397500</v>
      </c>
    </row>
    <row r="1072">
      <c r="A1072" s="8" t="s">
        <v>1562</v>
      </c>
      <c r="B1072" s="13" t="str">
        <f>HYPERLINK("https://shopee.co.id/Bio-Essence-Bio-Vlift-Face-Lifting-Cream-45gr-Wajah-Anti-Aging-i.63822287.1222617046", "https://shopee.co.id/Bio-Essence-Bio-Vlift-Face-Lifting-Cream-45gr-Wajah-Anti-Aging-i.63822287.1222617046")</f>
        <v>https://shopee.co.id/Bio-Essence-Bio-Vlift-Face-Lifting-Cream-45gr-Wajah-Anti-Aging-i.63822287.1222617046</v>
      </c>
      <c r="C1072" s="8" t="s">
        <v>1254</v>
      </c>
      <c r="D1072" s="8" t="s">
        <v>835</v>
      </c>
      <c r="E1072" s="8" t="s">
        <v>12</v>
      </c>
      <c r="F1072" s="8" t="s">
        <v>13</v>
      </c>
      <c r="G1072" s="8" t="s">
        <v>61</v>
      </c>
      <c r="H1072" s="16">
        <v>24.0</v>
      </c>
      <c r="I1072" s="15" t="str">
        <f>SUBSTITUTE(Sheet1!K1072, "Rp", "")</f>
        <v>6940200</v>
      </c>
    </row>
    <row r="1073">
      <c r="A1073" s="8" t="s">
        <v>2047</v>
      </c>
      <c r="B1073" s="13" t="str">
        <f>HYPERLINK("https://shopee.co.id/Dear-Me-Beauty-10-Lactic-Acid-AHA-Pineapple-Extract-Face-Serum-32ml-i.45495764.9048397064", "https://shopee.co.id/Dear-Me-Beauty-10-Lactic-Acid-AHA-Pineapple-Extract-Face-Serum-32ml-i.45495764.9048397064")</f>
        <v>https://shopee.co.id/Dear-Me-Beauty-10-Lactic-Acid-AHA-Pineapple-Extract-Face-Serum-32ml-i.45495764.9048397064</v>
      </c>
      <c r="C1073" s="8" t="s">
        <v>70</v>
      </c>
      <c r="D1073" s="8" t="s">
        <v>71</v>
      </c>
      <c r="E1073" s="8" t="s">
        <v>12</v>
      </c>
      <c r="F1073" s="8" t="s">
        <v>13</v>
      </c>
      <c r="G1073" s="8" t="s">
        <v>61</v>
      </c>
      <c r="H1073" s="16">
        <v>24.0</v>
      </c>
      <c r="I1073" s="15" t="str">
        <f>SUBSTITUTE(Sheet1!K1073, "Rp", "")</f>
        <v>3294300</v>
      </c>
    </row>
    <row r="1074">
      <c r="A1074" s="8" t="s">
        <v>1657</v>
      </c>
      <c r="B1074" s="13" t="str">
        <f>HYPERLINK("https://shopee.co.id/Iunik-Propolis-Vitamin-Synergy-Serum-50ml-i.110573301.4518679208", "https://shopee.co.id/Iunik-Propolis-Vitamin-Synergy-Serum-50ml-i.110573301.4518679208")</f>
        <v>https://shopee.co.id/Iunik-Propolis-Vitamin-Synergy-Serum-50ml-i.110573301.4518679208</v>
      </c>
      <c r="C1074" s="8" t="s">
        <v>1658</v>
      </c>
      <c r="D1074" s="8" t="s">
        <v>227</v>
      </c>
      <c r="E1074" s="8" t="s">
        <v>12</v>
      </c>
      <c r="F1074" s="8" t="s">
        <v>13</v>
      </c>
      <c r="G1074" s="8" t="s">
        <v>61</v>
      </c>
      <c r="H1074" s="16">
        <v>24.0</v>
      </c>
      <c r="I1074" s="15" t="str">
        <f>SUBSTITUTE(Sheet1!K1074, "Rp", "")</f>
        <v>4552900</v>
      </c>
    </row>
    <row r="1075">
      <c r="A1075" s="8" t="s">
        <v>1976</v>
      </c>
      <c r="B1075" s="13" t="str">
        <f>HYPERLINK("https://shopee.co.id/MSBB-Somethinc-5-Niacinamide-Moisture-Sabi-Beet-Serum-40Ml-i.288588702.9348838301", "https://shopee.co.id/MSBB-Somethinc-5-Niacinamide-Moisture-Sabi-Beet-Serum-40Ml-i.288588702.9348838301")</f>
        <v>https://shopee.co.id/MSBB-Somethinc-5-Niacinamide-Moisture-Sabi-Beet-Serum-40Ml-i.288588702.9348838301</v>
      </c>
      <c r="C1075" s="8" t="s">
        <v>45</v>
      </c>
      <c r="D1075" s="8" t="s">
        <v>79</v>
      </c>
      <c r="E1075" s="8" t="s">
        <v>12</v>
      </c>
      <c r="F1075" s="8" t="s">
        <v>13</v>
      </c>
      <c r="G1075" s="8" t="s">
        <v>80</v>
      </c>
      <c r="H1075" s="16">
        <v>24.0</v>
      </c>
      <c r="I1075" s="15" t="str">
        <f>SUBSTITUTE(Sheet1!K1075, "Rp", "")</f>
        <v>3576000</v>
      </c>
    </row>
    <row r="1076">
      <c r="A1076" s="8" t="s">
        <v>1656</v>
      </c>
      <c r="B1076" s="13" t="str">
        <f>HYPERLINK("https://shopee.co.id/NEUTROGENA-Hydro-Boost-Capsule-in-Serum-Perawatan-Wajah-30ml-i.50708029.6242963632", "https://shopee.co.id/NEUTROGENA-Hydro-Boost-Capsule-in-Serum-Perawatan-Wajah-30ml-i.50708029.6242963632")</f>
        <v>https://shopee.co.id/NEUTROGENA-Hydro-Boost-Capsule-in-Serum-Perawatan-Wajah-30ml-i.50708029.6242963632</v>
      </c>
      <c r="C1076" s="8" t="s">
        <v>1499</v>
      </c>
      <c r="D1076" s="8" t="s">
        <v>1500</v>
      </c>
      <c r="E1076" s="8" t="s">
        <v>12</v>
      </c>
      <c r="F1076" s="8" t="s">
        <v>13</v>
      </c>
      <c r="G1076" s="8" t="s">
        <v>296</v>
      </c>
      <c r="H1076" s="16">
        <v>24.0</v>
      </c>
      <c r="I1076" s="15" t="str">
        <f>SUBSTITUTE(Sheet1!K1076, "Rp", "")</f>
        <v>5807100</v>
      </c>
    </row>
    <row r="1077">
      <c r="A1077" s="8" t="s">
        <v>2107</v>
      </c>
      <c r="B1077" s="13" t="str">
        <f>HYPERLINK("https://shopee.co.id/NPURE-Cica-Face-Essence-i.68111.5835620153", "https://shopee.co.id/NPURE-Cica-Face-Essence-i.68111.5835620153")</f>
        <v>https://shopee.co.id/NPURE-Cica-Face-Essence-i.68111.5835620153</v>
      </c>
      <c r="C1077" s="8" t="s">
        <v>266</v>
      </c>
      <c r="D1077" s="8" t="s">
        <v>441</v>
      </c>
      <c r="E1077" s="8" t="s">
        <v>12</v>
      </c>
      <c r="F1077" s="8" t="s">
        <v>13</v>
      </c>
      <c r="G1077" s="8" t="s">
        <v>130</v>
      </c>
      <c r="H1077" s="16">
        <v>24.0</v>
      </c>
      <c r="I1077" s="15" t="str">
        <f>SUBSTITUTE(Sheet1!K1077, "Rp", "")</f>
        <v>2943000</v>
      </c>
    </row>
    <row r="1078">
      <c r="A1078" s="8" t="s">
        <v>2862</v>
      </c>
      <c r="B1078" s="13" t="str">
        <f>HYPERLINK("https://shopee.co.id/Nu-Aroma-Sweet-Almond-Oil-Natural-Serum-Wajah-Serum-Rambut--i.262175945.7955681247", "https://shopee.co.id/Nu-Aroma-Sweet-Almond-Oil-Natural-Serum-Wajah-Serum-Rambut--i.262175945.7955681247")</f>
        <v>https://shopee.co.id/Nu-Aroma-Sweet-Almond-Oil-Natural-Serum-Wajah-Serum-Rambut--i.262175945.7955681247</v>
      </c>
      <c r="C1078" s="8" t="s">
        <v>2863</v>
      </c>
      <c r="D1078" s="8" t="s">
        <v>2864</v>
      </c>
      <c r="E1078" s="8" t="s">
        <v>12</v>
      </c>
      <c r="F1078" s="8" t="s">
        <v>13</v>
      </c>
      <c r="G1078" s="8" t="s">
        <v>945</v>
      </c>
      <c r="H1078" s="16">
        <v>24.0</v>
      </c>
      <c r="I1078" s="15" t="str">
        <f>SUBSTITUTE(Sheet1!K1078, "Rp", "")</f>
        <v>949875</v>
      </c>
    </row>
    <row r="1079">
      <c r="A1079" s="8" t="s">
        <v>2710</v>
      </c>
      <c r="B1079" s="13" t="str">
        <f>HYPERLINK("https://shopee.co.id/Optimal-Serum-Acne-Marwah-Skincare-i.357101711.9645018136", "https://shopee.co.id/Optimal-Serum-Acne-Marwah-Skincare-i.357101711.9645018136")</f>
        <v>https://shopee.co.id/Optimal-Serum-Acne-Marwah-Skincare-i.357101711.9645018136</v>
      </c>
      <c r="C1079" s="8" t="s">
        <v>2249</v>
      </c>
      <c r="D1079" s="8" t="s">
        <v>2250</v>
      </c>
      <c r="E1079" s="8" t="s">
        <v>12</v>
      </c>
      <c r="F1079" s="8" t="s">
        <v>13</v>
      </c>
      <c r="G1079" s="8" t="s">
        <v>370</v>
      </c>
      <c r="H1079" s="16">
        <v>24.0</v>
      </c>
      <c r="I1079" s="15" t="str">
        <f>SUBSTITUTE(Sheet1!K1079, "Rp", "")</f>
        <v>1200000</v>
      </c>
    </row>
    <row r="1080">
      <c r="A1080" s="8" t="s">
        <v>2066</v>
      </c>
      <c r="B1080" s="13" t="str">
        <f>HYPERLINK("https://shopee.co.id/Radi-Skin-Hyaluronic-Acid-Moist-Serum-i.147850476.2272948581", "https://shopee.co.id/Radi-Skin-Hyaluronic-Acid-Moist-Serum-i.147850476.2272948581")</f>
        <v>https://shopee.co.id/Radi-Skin-Hyaluronic-Acid-Moist-Serum-i.147850476.2272948581</v>
      </c>
      <c r="C1080" s="8" t="s">
        <v>1879</v>
      </c>
      <c r="D1080" s="8" t="s">
        <v>1880</v>
      </c>
      <c r="E1080" s="8" t="s">
        <v>12</v>
      </c>
      <c r="F1080" s="8" t="s">
        <v>13</v>
      </c>
      <c r="G1080" s="8" t="s">
        <v>61</v>
      </c>
      <c r="H1080" s="16">
        <v>24.0</v>
      </c>
      <c r="I1080" s="15" t="str">
        <f>SUBSTITUTE(Sheet1!K1080, "Rp", "")</f>
        <v>3176150</v>
      </c>
    </row>
    <row r="1081">
      <c r="A1081" s="8" t="s">
        <v>2280</v>
      </c>
      <c r="B1081" s="13" t="str">
        <f>HYPERLINK("https://shopee.co.id/Raiku-Brightening-Serum-30ml-i.82041605.1467702968", "https://shopee.co.id/Raiku-Brightening-Serum-30ml-i.82041605.1467702968")</f>
        <v>https://shopee.co.id/Raiku-Brightening-Serum-30ml-i.82041605.1467702968</v>
      </c>
      <c r="C1081" s="8" t="s">
        <v>2281</v>
      </c>
      <c r="D1081" s="8" t="s">
        <v>2282</v>
      </c>
      <c r="E1081" s="8" t="s">
        <v>12</v>
      </c>
      <c r="F1081" s="8" t="s">
        <v>13</v>
      </c>
      <c r="G1081" s="8" t="s">
        <v>21</v>
      </c>
      <c r="H1081" s="16">
        <v>24.0</v>
      </c>
      <c r="I1081" s="15" t="str">
        <f>SUBSTITUTE(Sheet1!K1081, "Rp", "")</f>
        <v>2338688</v>
      </c>
    </row>
    <row r="1082">
      <c r="A1082" s="8" t="s">
        <v>2445</v>
      </c>
      <c r="B1082" s="13" t="str">
        <f>HYPERLINK("https://shopee.co.id/Roro-Mendut-Sea-Cucumber-Gamat-Collagen-Serum-i.87869551.4567755677", "https://shopee.co.id/Roro-Mendut-Sea-Cucumber-Gamat-Collagen-Serum-i.87869551.4567755677")</f>
        <v>https://shopee.co.id/Roro-Mendut-Sea-Cucumber-Gamat-Collagen-Serum-i.87869551.4567755677</v>
      </c>
      <c r="C1082" s="8" t="s">
        <v>1526</v>
      </c>
      <c r="D1082" s="8" t="s">
        <v>1527</v>
      </c>
      <c r="E1082" s="8" t="s">
        <v>12</v>
      </c>
      <c r="F1082" s="8" t="s">
        <v>13</v>
      </c>
      <c r="G1082" s="8" t="s">
        <v>380</v>
      </c>
      <c r="H1082" s="16">
        <v>24.0</v>
      </c>
      <c r="I1082" s="15" t="str">
        <f>SUBSTITUTE(Sheet1!K1082, "Rp", "")</f>
        <v>1827630</v>
      </c>
    </row>
    <row r="1083">
      <c r="A1083" s="8" t="s">
        <v>1950</v>
      </c>
      <c r="B1083" s="13" t="str">
        <f>HYPERLINK("https://shopee.co.id/Somethinc-Salmon-DNA-Marine-Colagen-Elixir-20-ml-i.110573301.6689241202", "https://shopee.co.id/Somethinc-Salmon-DNA-Marine-Colagen-Elixir-20-ml-i.110573301.6689241202")</f>
        <v>https://shopee.co.id/Somethinc-Salmon-DNA-Marine-Colagen-Elixir-20-ml-i.110573301.6689241202</v>
      </c>
      <c r="C1083" s="8" t="s">
        <v>45</v>
      </c>
      <c r="D1083" s="8" t="s">
        <v>227</v>
      </c>
      <c r="E1083" s="8" t="s">
        <v>12</v>
      </c>
      <c r="F1083" s="8" t="s">
        <v>13</v>
      </c>
      <c r="G1083" s="8" t="s">
        <v>61</v>
      </c>
      <c r="H1083" s="16">
        <v>24.0</v>
      </c>
      <c r="I1083" s="15" t="str">
        <f>SUBSTITUTE(Sheet1!K1083, "Rp", "")</f>
        <v>3720000</v>
      </c>
    </row>
    <row r="1084">
      <c r="A1084" s="8" t="s">
        <v>2483</v>
      </c>
      <c r="B1084" s="13" t="str">
        <f>HYPERLINK("https://shopee.co.id/YU-CHUN-MEI-Cordyceps-Pure-Gold-24k-Serum-Perfect-Bright-30ml-i.230677444.9311538241", "https://shopee.co.id/YU-CHUN-MEI-Cordyceps-Pure-Gold-24k-Serum-Perfect-Bright-30ml-i.230677444.9311538241")</f>
        <v>https://shopee.co.id/YU-CHUN-MEI-Cordyceps-Pure-Gold-24k-Serum-Perfect-Bright-30ml-i.230677444.9311538241</v>
      </c>
      <c r="C1084" s="8" t="s">
        <v>1669</v>
      </c>
      <c r="D1084" s="8" t="s">
        <v>1670</v>
      </c>
      <c r="E1084" s="8" t="s">
        <v>12</v>
      </c>
      <c r="F1084" s="8" t="s">
        <v>13</v>
      </c>
      <c r="G1084" s="8" t="s">
        <v>61</v>
      </c>
      <c r="H1084" s="16">
        <v>24.0</v>
      </c>
      <c r="I1084" s="15" t="str">
        <f>SUBSTITUTE(Sheet1!K1084, "Rp", "")</f>
        <v>1754127</v>
      </c>
    </row>
    <row r="1085">
      <c r="A1085" s="8" t="s">
        <v>1582</v>
      </c>
      <c r="B1085" s="13" t="str">
        <f>HYPERLINK("https://shopee.co.id/-SPECIAL-SET-Nacific-Lip-Tint-Fresh-Herb-Origin-Serum-i.238379974.8073243964", "https://shopee.co.id/-SPECIAL-SET-Nacific-Lip-Tint-Fresh-Herb-Origin-Serum-i.238379974.8073243964")</f>
        <v>https://shopee.co.id/-SPECIAL-SET-Nacific-Lip-Tint-Fresh-Herb-Origin-Serum-i.238379974.8073243964</v>
      </c>
      <c r="C1085" s="8" t="s">
        <v>344</v>
      </c>
      <c r="D1085" s="8" t="s">
        <v>345</v>
      </c>
      <c r="E1085" s="8" t="s">
        <v>12</v>
      </c>
      <c r="F1085" s="8" t="s">
        <v>13</v>
      </c>
      <c r="G1085" s="8" t="s">
        <v>130</v>
      </c>
      <c r="H1085" s="16">
        <v>23.0</v>
      </c>
      <c r="I1085" s="15" t="str">
        <f>SUBSTITUTE(Sheet1!K1085, "Rp", "")</f>
        <v>6627000</v>
      </c>
    </row>
    <row r="1086">
      <c r="A1086" s="8" t="s">
        <v>2143</v>
      </c>
      <c r="B1086" s="13" t="str">
        <f>HYPERLINK("https://shopee.co.id/All-In-One-Serum-Booster-FREE-THR--i.132898967.10040553204", "https://shopee.co.id/All-In-One-Serum-Booster-FREE-THR--i.132898967.10040553204")</f>
        <v>https://shopee.co.id/All-In-One-Serum-Booster-FREE-THR--i.132898967.10040553204</v>
      </c>
      <c r="C1086" s="8" t="s">
        <v>244</v>
      </c>
      <c r="D1086" s="8" t="s">
        <v>2144</v>
      </c>
      <c r="E1086" s="8" t="s">
        <v>12</v>
      </c>
      <c r="F1086" s="8" t="s">
        <v>13</v>
      </c>
      <c r="G1086" s="8" t="s">
        <v>2145</v>
      </c>
      <c r="H1086" s="16">
        <v>23.0</v>
      </c>
      <c r="I1086" s="15" t="str">
        <f>SUBSTITUTE(Sheet1!K1086, "Rp", "")</f>
        <v>2740800</v>
      </c>
    </row>
    <row r="1087">
      <c r="A1087" s="8" t="s">
        <v>302</v>
      </c>
      <c r="B1087" s="13" t="str">
        <f>HYPERLINK("https://shopee.co.id/Azarine-Anti-Acne-Brightening-Serum-20ml-i.136011044.10919891457", "https://shopee.co.id/Azarine-Anti-Acne-Brightening-Serum-20ml-i.136011044.10919891457")</f>
        <v>https://shopee.co.id/Azarine-Anti-Acne-Brightening-Serum-20ml-i.136011044.10919891457</v>
      </c>
      <c r="C1087" s="8" t="s">
        <v>233</v>
      </c>
      <c r="D1087" s="8" t="s">
        <v>632</v>
      </c>
      <c r="E1087" s="8" t="s">
        <v>12</v>
      </c>
      <c r="F1087" s="8" t="s">
        <v>13</v>
      </c>
      <c r="G1087" s="8" t="s">
        <v>21</v>
      </c>
      <c r="H1087" s="16">
        <v>23.0</v>
      </c>
      <c r="I1087" s="15" t="str">
        <f>SUBSTITUTE(Sheet1!K1087, "Rp", "")</f>
        <v>687000</v>
      </c>
    </row>
    <row r="1088">
      <c r="A1088" s="8" t="s">
        <v>232</v>
      </c>
      <c r="B1088" s="13" t="str">
        <f>HYPERLINK("https://shopee.co.id/Azarine-C-White-Lightening-Serum-20ml-i.30736001.8952469837", "https://shopee.co.id/Azarine-C-White-Lightening-Serum-20ml-i.30736001.8952469837")</f>
        <v>https://shopee.co.id/Azarine-C-White-Lightening-Serum-20ml-i.30736001.8952469837</v>
      </c>
      <c r="C1088" s="8" t="s">
        <v>233</v>
      </c>
      <c r="D1088" s="8" t="s">
        <v>335</v>
      </c>
      <c r="E1088" s="8" t="s">
        <v>12</v>
      </c>
      <c r="F1088" s="8" t="s">
        <v>13</v>
      </c>
      <c r="G1088" s="8" t="s">
        <v>36</v>
      </c>
      <c r="H1088" s="16">
        <v>23.0</v>
      </c>
      <c r="I1088" s="15" t="str">
        <f>SUBSTITUTE(Sheet1!K1088, "Rp", "")</f>
        <v>1045000</v>
      </c>
    </row>
    <row r="1089">
      <c r="A1089" s="8" t="s">
        <v>1724</v>
      </c>
      <c r="B1089" s="13" t="str">
        <f>HYPERLINK("https://shopee.co.id/Bioderma-Sebium-Global-30ml-i.30736001.6637205157", "https://shopee.co.id/Bioderma-Sebium-Global-30ml-i.30736001.6637205157")</f>
        <v>https://shopee.co.id/Bioderma-Sebium-Global-30ml-i.30736001.6637205157</v>
      </c>
      <c r="C1089" s="8" t="s">
        <v>1387</v>
      </c>
      <c r="D1089" s="8" t="s">
        <v>335</v>
      </c>
      <c r="E1089" s="8" t="s">
        <v>12</v>
      </c>
      <c r="F1089" s="8" t="s">
        <v>13</v>
      </c>
      <c r="G1089" s="8" t="s">
        <v>36</v>
      </c>
      <c r="H1089" s="16">
        <v>23.0</v>
      </c>
      <c r="I1089" s="15" t="str">
        <f>SUBSTITUTE(Sheet1!K1089, "Rp", "")</f>
        <v>5205200</v>
      </c>
    </row>
    <row r="1090">
      <c r="A1090" s="8" t="s">
        <v>2062</v>
      </c>
      <c r="B1090" s="13" t="str">
        <f>HYPERLINK("https://shopee.co.id/DREAMY-by-Nikita-Willy-Acne-Serum-i.120519530.1838179090", "https://shopee.co.id/DREAMY-by-Nikita-Willy-Acne-Serum-i.120519530.1838179090")</f>
        <v>https://shopee.co.id/DREAMY-by-Nikita-Willy-Acne-Serum-i.120519530.1838179090</v>
      </c>
      <c r="C1090" s="8" t="s">
        <v>2063</v>
      </c>
      <c r="D1090" s="8" t="s">
        <v>2064</v>
      </c>
      <c r="E1090" s="8" t="s">
        <v>12</v>
      </c>
      <c r="F1090" s="8" t="s">
        <v>13</v>
      </c>
      <c r="G1090" s="8" t="s">
        <v>296</v>
      </c>
      <c r="H1090" s="16">
        <v>23.0</v>
      </c>
      <c r="I1090" s="15" t="str">
        <f>SUBSTITUTE(Sheet1!K1090, "Rp", "")</f>
        <v>3203500</v>
      </c>
    </row>
    <row r="1091">
      <c r="A1091" s="8" t="s">
        <v>1948</v>
      </c>
      <c r="B1091" s="13" t="str">
        <f>HYPERLINK("https://shopee.co.id/ERHA-TRUWHITE-VIT-C-AND-PEPTIDES-SERUM-20ML-Membuat-Kulit-Wajah-lebih-cerah-dan-glowing-i.50972887.9919012660", "https://shopee.co.id/ERHA-TRUWHITE-VIT-C-AND-PEPTIDES-SERUM-20ML-Membuat-Kulit-Wajah-lebih-cerah-dan-glowing-i.50972887.9919012660")</f>
        <v>https://shopee.co.id/ERHA-TRUWHITE-VIT-C-AND-PEPTIDES-SERUM-20ML-Membuat-Kulit-Wajah-lebih-cerah-dan-glowing-i.50972887.9919012660</v>
      </c>
      <c r="C1091" s="8" t="s">
        <v>181</v>
      </c>
      <c r="D1091" s="8" t="s">
        <v>552</v>
      </c>
      <c r="E1091" s="8" t="s">
        <v>12</v>
      </c>
      <c r="F1091" s="8" t="s">
        <v>13</v>
      </c>
      <c r="G1091" s="8" t="s">
        <v>61</v>
      </c>
      <c r="H1091" s="16">
        <v>23.0</v>
      </c>
      <c r="I1091" s="15" t="str">
        <f>SUBSTITUTE(Sheet1!K1091, "Rp", "")</f>
        <v>3728036</v>
      </c>
    </row>
    <row r="1092">
      <c r="A1092" s="8" t="s">
        <v>2154</v>
      </c>
      <c r="B1092" s="13" t="str">
        <f>HYPERLINK("https://shopee.co.id/Garnier-Sakura-White-Booster-Serum-15ml-Micellar-Water-Rose-400ml-Untuk-Kulit-Glowing-Merona--i.62583853.5979248147", "https://shopee.co.id/Garnier-Sakura-White-Booster-Serum-15ml-Micellar-Water-Rose-400ml-Untuk-Kulit-Glowing-Merona--i.62583853.5979248147")</f>
        <v>https://shopee.co.id/Garnier-Sakura-White-Booster-Serum-15ml-Micellar-Water-Rose-400ml-Untuk-Kulit-Glowing-Merona--i.62583853.5979248147</v>
      </c>
      <c r="C1092" s="8" t="s">
        <v>74</v>
      </c>
      <c r="D1092" s="8" t="s">
        <v>75</v>
      </c>
      <c r="E1092" s="8" t="s">
        <v>12</v>
      </c>
      <c r="F1092" s="8" t="s">
        <v>13</v>
      </c>
      <c r="G1092" s="8" t="s">
        <v>61</v>
      </c>
      <c r="H1092" s="16">
        <v>23.0</v>
      </c>
      <c r="I1092" s="15" t="str">
        <f>SUBSTITUTE(Sheet1!K1092, "Rp", "")</f>
        <v>2700000</v>
      </c>
    </row>
    <row r="1093">
      <c r="A1093" s="8" t="s">
        <v>1166</v>
      </c>
      <c r="B1093" s="13" t="str">
        <f>HYPERLINK("https://shopee.co.id/GEUT-BY-DR-T-GEUT-BRILLIANCE-Serum-Duo-i.430986274.3072437965", "https://shopee.co.id/GEUT-BY-DR-T-GEUT-BRILLIANCE-Serum-Duo-i.430986274.3072437965")</f>
        <v>https://shopee.co.id/GEUT-BY-DR-T-GEUT-BRILLIANCE-Serum-Duo-i.430986274.3072437965</v>
      </c>
      <c r="C1093" s="8" t="s">
        <v>1167</v>
      </c>
      <c r="D1093" s="8" t="s">
        <v>1168</v>
      </c>
      <c r="E1093" s="8" t="s">
        <v>12</v>
      </c>
      <c r="F1093" s="8" t="s">
        <v>13</v>
      </c>
      <c r="G1093" s="8" t="s">
        <v>21</v>
      </c>
      <c r="H1093" s="16">
        <v>23.0</v>
      </c>
      <c r="I1093" s="15" t="str">
        <f>SUBSTITUTE(Sheet1!K1093, "Rp", "")</f>
        <v>13560000</v>
      </c>
    </row>
    <row r="1094">
      <c r="A1094" s="8" t="s">
        <v>2393</v>
      </c>
      <c r="B1094" s="13" t="str">
        <f>HYPERLINK("https://shopee.co.id/HERSALL-Moon-Fairy-Serum-Bakuchiol-Hyaluronic-i.329847628.10924490961", "https://shopee.co.id/HERSALL-Moon-Fairy-Serum-Bakuchiol-Hyaluronic-i.329847628.10924490961")</f>
        <v>https://shopee.co.id/HERSALL-Moon-Fairy-Serum-Bakuchiol-Hyaluronic-i.329847628.10924490961</v>
      </c>
      <c r="C1094" s="8" t="s">
        <v>2000</v>
      </c>
      <c r="D1094" s="8" t="s">
        <v>2001</v>
      </c>
      <c r="E1094" s="8" t="s">
        <v>12</v>
      </c>
      <c r="F1094" s="8" t="s">
        <v>13</v>
      </c>
      <c r="G1094" s="8" t="s">
        <v>61</v>
      </c>
      <c r="H1094" s="16">
        <v>23.0</v>
      </c>
      <c r="I1094" s="15" t="str">
        <f>SUBSTITUTE(Sheet1!K1094, "Rp", "")</f>
        <v>1989100</v>
      </c>
    </row>
    <row r="1095">
      <c r="A1095" s="8" t="s">
        <v>1779</v>
      </c>
      <c r="B1095" s="13" t="str">
        <f>HYPERLINK("https://shopee.co.id/KKV-GET-VOUCHER-Avoskin-Miraculous-Refining-Serum-AHA-BHA-Niacinamide-i.313431312.8986463533", "https://shopee.co.id/KKV-GET-VOUCHER-Avoskin-Miraculous-Refining-Serum-AHA-BHA-Niacinamide-i.313431312.8986463533")</f>
        <v>https://shopee.co.id/KKV-GET-VOUCHER-Avoskin-Miraculous-Refining-Serum-AHA-BHA-Niacinamide-i.313431312.8986463533</v>
      </c>
      <c r="C1095" s="8" t="s">
        <v>83</v>
      </c>
      <c r="D1095" s="8" t="s">
        <v>1524</v>
      </c>
      <c r="E1095" s="8" t="s">
        <v>12</v>
      </c>
      <c r="F1095" s="8" t="s">
        <v>13</v>
      </c>
      <c r="G1095" s="8" t="s">
        <v>21</v>
      </c>
      <c r="H1095" s="16">
        <v>23.0</v>
      </c>
      <c r="I1095" s="15" t="str">
        <f>SUBSTITUTE(Sheet1!K1095, "Rp", "")</f>
        <v>4837000</v>
      </c>
    </row>
    <row r="1096">
      <c r="A1096" s="8" t="s">
        <v>1983</v>
      </c>
      <c r="B1096" s="13" t="str">
        <f>HYPERLINK("https://shopee.co.id/Mineral-Botanica-Niacinamide-Ceramide-Serum-Beauty-Package-i.124549994.7296119583", "https://shopee.co.id/Mineral-Botanica-Niacinamide-Ceramide-Serum-Beauty-Package-i.124549994.7296119583")</f>
        <v>https://shopee.co.id/Mineral-Botanica-Niacinamide-Ceramide-Serum-Beauty-Package-i.124549994.7296119583</v>
      </c>
      <c r="C1096" s="8" t="s">
        <v>807</v>
      </c>
      <c r="D1096" s="8" t="s">
        <v>808</v>
      </c>
      <c r="E1096" s="8" t="s">
        <v>12</v>
      </c>
      <c r="F1096" s="8" t="s">
        <v>13</v>
      </c>
      <c r="G1096" s="8" t="s">
        <v>80</v>
      </c>
      <c r="H1096" s="16">
        <v>23.0</v>
      </c>
      <c r="I1096" s="15" t="str">
        <f>SUBSTITUTE(Sheet1!K1096, "Rp", "")</f>
        <v>3552000</v>
      </c>
    </row>
    <row r="1097">
      <c r="A1097" s="8" t="s">
        <v>1979</v>
      </c>
      <c r="B1097" s="13" t="str">
        <f>HYPERLINK("https://shopee.co.id/MSBB-Somethinc-Salmon-DNA-Marine-Collagen-Elixir-20ml-i.288588702.3988578125", "https://shopee.co.id/MSBB-Somethinc-Salmon-DNA-Marine-Collagen-Elixir-20ml-i.288588702.3988578125")</f>
        <v>https://shopee.co.id/MSBB-Somethinc-Salmon-DNA-Marine-Collagen-Elixir-20ml-i.288588702.3988578125</v>
      </c>
      <c r="C1097" s="8" t="s">
        <v>45</v>
      </c>
      <c r="D1097" s="8" t="s">
        <v>79</v>
      </c>
      <c r="E1097" s="8" t="s">
        <v>12</v>
      </c>
      <c r="F1097" s="8" t="s">
        <v>13</v>
      </c>
      <c r="G1097" s="8" t="s">
        <v>80</v>
      </c>
      <c r="H1097" s="16">
        <v>23.0</v>
      </c>
      <c r="I1097" s="15" t="str">
        <f>SUBSTITUTE(Sheet1!K1097, "Rp", "")</f>
        <v>3565000</v>
      </c>
    </row>
    <row r="1098">
      <c r="A1098" s="8" t="s">
        <v>1781</v>
      </c>
      <c r="B1098" s="13" t="str">
        <f>HYPERLINK("https://shopee.co.id/Purivera-Double-Treat-Whitening-Chromabright-Niacinamide-5-As-Kojic-Acid-Vitamin-C-Alternative-i.43724442.8518738150", "https://shopee.co.id/Purivera-Double-Treat-Whitening-Chromabright-Niacinamide-5-As-Kojic-Acid-Vitamin-C-Alternative-i.43724442.8518738150")</f>
        <v>https://shopee.co.id/Purivera-Double-Treat-Whitening-Chromabright-Niacinamide-5-As-Kojic-Acid-Vitamin-C-Alternative-i.43724442.8518738150</v>
      </c>
      <c r="C1098" s="8" t="s">
        <v>428</v>
      </c>
      <c r="D1098" s="8" t="s">
        <v>429</v>
      </c>
      <c r="E1098" s="8" t="s">
        <v>12</v>
      </c>
      <c r="F1098" s="8" t="s">
        <v>13</v>
      </c>
      <c r="G1098" s="8" t="s">
        <v>61</v>
      </c>
      <c r="H1098" s="16">
        <v>23.0</v>
      </c>
      <c r="I1098" s="15" t="str">
        <f>SUBSTITUTE(Sheet1!K1098, "Rp", "")</f>
        <v>4818500</v>
      </c>
    </row>
    <row r="1099">
      <c r="A1099" s="8" t="s">
        <v>2589</v>
      </c>
      <c r="B1099" s="13" t="str">
        <f>HYPERLINK("https://shopee.co.id/Scarlett-Whitening-Acne-to-Glow-Mini-Series-5mlx2-i.136011044.5896690877", "https://shopee.co.id/Scarlett-Whitening-Acne-to-Glow-Mini-Series-5mlx2-i.136011044.5896690877")</f>
        <v>https://shopee.co.id/Scarlett-Whitening-Acne-to-Glow-Mini-Series-5mlx2-i.136011044.5896690877</v>
      </c>
      <c r="C1099" s="8" t="s">
        <v>19</v>
      </c>
      <c r="D1099" s="8" t="s">
        <v>632</v>
      </c>
      <c r="E1099" s="8" t="s">
        <v>12</v>
      </c>
      <c r="F1099" s="8" t="s">
        <v>13</v>
      </c>
      <c r="G1099" s="8" t="s">
        <v>21</v>
      </c>
      <c r="H1099" s="16">
        <v>23.0</v>
      </c>
      <c r="I1099" s="15" t="str">
        <f>SUBSTITUTE(Sheet1!K1099, "Rp", "")</f>
        <v>1495000</v>
      </c>
    </row>
    <row r="1100">
      <c r="A1100" s="8" t="s">
        <v>2073</v>
      </c>
      <c r="B1100" s="13" t="str">
        <f>HYPERLINK("https://shopee.co.id/Serum-NR-Serum-Wajah-Glowing-Nature-Reaction-Crystal-Bright-i.375565670.4197447800", "https://shopee.co.id/Serum-NR-Serum-Wajah-Glowing-Nature-Reaction-Crystal-Bright-i.375565670.4197447800")</f>
        <v>https://shopee.co.id/Serum-NR-Serum-Wajah-Glowing-Nature-Reaction-Crystal-Bright-i.375565670.4197447800</v>
      </c>
      <c r="C1100" s="8" t="s">
        <v>530</v>
      </c>
      <c r="D1100" s="8" t="s">
        <v>531</v>
      </c>
      <c r="E1100" s="8" t="s">
        <v>12</v>
      </c>
      <c r="F1100" s="8" t="s">
        <v>13</v>
      </c>
      <c r="G1100" s="8" t="s">
        <v>532</v>
      </c>
      <c r="H1100" s="16">
        <v>23.0</v>
      </c>
      <c r="I1100" s="15" t="str">
        <f>SUBSTITUTE(Sheet1!K1100, "Rp", "")</f>
        <v>3151000</v>
      </c>
    </row>
    <row r="1101">
      <c r="A1101" s="8" t="s">
        <v>2168</v>
      </c>
      <c r="B1101" s="13" t="str">
        <f>HYPERLINK("https://shopee.co.id/Somethinc-HYALuronic9-Advanced-B5-Serum-i.10689.3713016626", "https://shopee.co.id/Somethinc-HYALuronic9-Advanced-B5-Serum-i.10689.3713016626")</f>
        <v>https://shopee.co.id/Somethinc-HYALuronic9-Advanced-B5-Serum-i.10689.3713016626</v>
      </c>
      <c r="C1101" s="8" t="s">
        <v>45</v>
      </c>
      <c r="D1101" s="8" t="s">
        <v>745</v>
      </c>
      <c r="E1101" s="8" t="s">
        <v>12</v>
      </c>
      <c r="F1101" s="8" t="s">
        <v>13</v>
      </c>
      <c r="G1101" s="8" t="s">
        <v>61</v>
      </c>
      <c r="H1101" s="16">
        <v>23.0</v>
      </c>
      <c r="I1101" s="15" t="str">
        <f>SUBSTITUTE(Sheet1!K1101, "Rp", "")</f>
        <v>2656500</v>
      </c>
    </row>
    <row r="1102">
      <c r="A1102" s="8" t="s">
        <v>771</v>
      </c>
      <c r="B1102" s="13" t="str">
        <f>HYPERLINK("https://shopee.co.id/The-Aubree-Niacinamide-Skin-Booster-30-ml-i.110573301.3023102186", "https://shopee.co.id/The-Aubree-Niacinamide-Skin-Booster-30-ml-i.110573301.3023102186")</f>
        <v>https://shopee.co.id/The-Aubree-Niacinamide-Skin-Booster-30-ml-i.110573301.3023102186</v>
      </c>
      <c r="C1102" s="8" t="s">
        <v>772</v>
      </c>
      <c r="D1102" s="8" t="s">
        <v>227</v>
      </c>
      <c r="E1102" s="8" t="s">
        <v>12</v>
      </c>
      <c r="F1102" s="8" t="s">
        <v>13</v>
      </c>
      <c r="G1102" s="8" t="s">
        <v>61</v>
      </c>
      <c r="H1102" s="16">
        <v>23.0</v>
      </c>
      <c r="I1102" s="15" t="str">
        <f>SUBSTITUTE(Sheet1!K1102, "Rp", "")</f>
        <v>2066700</v>
      </c>
    </row>
    <row r="1103">
      <c r="A1103" s="8" t="s">
        <v>1159</v>
      </c>
      <c r="B1103" s="13" t="str">
        <f>HYPERLINK("https://shopee.co.id/The-Body-Shop-New-Drops-Of-Youth-Youth-Concentrate-Serum-30ml-i.28053737.6717597756", "https://shopee.co.id/The-Body-Shop-New-Drops-Of-Youth-Youth-Concentrate-Serum-30ml-i.28053737.6717597756")</f>
        <v>https://shopee.co.id/The-Body-Shop-New-Drops-Of-Youth-Youth-Concentrate-Serum-30ml-i.28053737.6717597756</v>
      </c>
      <c r="C1103" s="8" t="s">
        <v>221</v>
      </c>
      <c r="D1103" s="8" t="s">
        <v>222</v>
      </c>
      <c r="E1103" s="8" t="s">
        <v>12</v>
      </c>
      <c r="F1103" s="8" t="s">
        <v>13</v>
      </c>
      <c r="G1103" s="8" t="s">
        <v>80</v>
      </c>
      <c r="H1103" s="16">
        <v>23.0</v>
      </c>
      <c r="I1103" s="15" t="str">
        <f>SUBSTITUTE(Sheet1!K1103, "Rp", "")</f>
        <v>13777000</v>
      </c>
    </row>
    <row r="1104">
      <c r="A1104" s="8" t="s">
        <v>1546</v>
      </c>
      <c r="B1104" s="13" t="str">
        <f>HYPERLINK("https://shopee.co.id/The-Body-Shop-Vitamin-E-Overnight-Serum-In-Oil-28ml-i.28053737.1468075559", "https://shopee.co.id/The-Body-Shop-Vitamin-E-Overnight-Serum-In-Oil-28ml-i.28053737.1468075559")</f>
        <v>https://shopee.co.id/The-Body-Shop-Vitamin-E-Overnight-Serum-In-Oil-28ml-i.28053737.1468075559</v>
      </c>
      <c r="C1104" s="8" t="s">
        <v>221</v>
      </c>
      <c r="D1104" s="8" t="s">
        <v>222</v>
      </c>
      <c r="E1104" s="8" t="s">
        <v>12</v>
      </c>
      <c r="F1104" s="8" t="s">
        <v>13</v>
      </c>
      <c r="G1104" s="8" t="s">
        <v>80</v>
      </c>
      <c r="H1104" s="16">
        <v>23.0</v>
      </c>
      <c r="I1104" s="15" t="str">
        <f>SUBSTITUTE(Sheet1!K1104, "Rp", "")</f>
        <v>7107000</v>
      </c>
    </row>
    <row r="1105">
      <c r="A1105" s="8" t="s">
        <v>1710</v>
      </c>
      <c r="B1105" s="13" t="str">
        <f>HYPERLINK("https://shopee.co.id/Avoskin-Miraculous-Retinol-Ampoule-30ml-i.825870.6557100757", "https://shopee.co.id/Avoskin-Miraculous-Retinol-Ampoule-30ml-i.825870.6557100757")</f>
        <v>https://shopee.co.id/Avoskin-Miraculous-Retinol-Ampoule-30ml-i.825870.6557100757</v>
      </c>
      <c r="C1105" s="8" t="s">
        <v>83</v>
      </c>
      <c r="D1105" s="8" t="s">
        <v>1184</v>
      </c>
      <c r="E1105" s="8" t="s">
        <v>12</v>
      </c>
      <c r="F1105" s="8" t="s">
        <v>13</v>
      </c>
      <c r="G1105" s="8" t="s">
        <v>21</v>
      </c>
      <c r="H1105" s="16">
        <v>22.0</v>
      </c>
      <c r="I1105" s="15" t="str">
        <f>SUBSTITUTE(Sheet1!K1105, "Rp", "")</f>
        <v>5328600</v>
      </c>
    </row>
    <row r="1106">
      <c r="A1106" s="8" t="s">
        <v>2058</v>
      </c>
      <c r="B1106" s="13" t="str">
        <f>HYPERLINK("https://shopee.co.id/AVOSKIN-YOUR-SKIN-BAE-SERIES-Azeclair-10-Kombucha-3-Niacinamide-2-5-Vaccine-Serum-i.68111.9774985016", "https://shopee.co.id/AVOSKIN-YOUR-SKIN-BAE-SERIES-Azeclair-10-Kombucha-3-Niacinamide-2-5-Vaccine-Serum-i.68111.9774985016")</f>
        <v>https://shopee.co.id/AVOSKIN-YOUR-SKIN-BAE-SERIES-Azeclair-10-Kombucha-3-Niacinamide-2-5-Vaccine-Serum-i.68111.9774985016</v>
      </c>
      <c r="C1106" s="8" t="s">
        <v>83</v>
      </c>
      <c r="D1106" s="8" t="s">
        <v>441</v>
      </c>
      <c r="E1106" s="8" t="s">
        <v>12</v>
      </c>
      <c r="F1106" s="8" t="s">
        <v>13</v>
      </c>
      <c r="G1106" s="8" t="s">
        <v>130</v>
      </c>
      <c r="H1106" s="16">
        <v>22.0</v>
      </c>
      <c r="I1106" s="15" t="str">
        <f>SUBSTITUTE(Sheet1!K1106, "Rp", "")</f>
        <v>3231810</v>
      </c>
    </row>
    <row r="1107">
      <c r="A1107" s="8" t="s">
        <v>658</v>
      </c>
      <c r="B1107" s="13" t="str">
        <f>HYPERLINK("https://shopee.co.id/Azarine-Easy-White-Herbal-Moisturizer-Serum-20ml-i.10689.4267907322", "https://shopee.co.id/Azarine-Easy-White-Herbal-Moisturizer-Serum-20ml-i.10689.4267907322")</f>
        <v>https://shopee.co.id/Azarine-Easy-White-Herbal-Moisturizer-Serum-20ml-i.10689.4267907322</v>
      </c>
      <c r="C1107" s="8" t="s">
        <v>233</v>
      </c>
      <c r="D1107" s="8" t="s">
        <v>745</v>
      </c>
      <c r="E1107" s="8" t="s">
        <v>12</v>
      </c>
      <c r="F1107" s="8" t="s">
        <v>13</v>
      </c>
      <c r="G1107" s="8" t="s">
        <v>61</v>
      </c>
      <c r="H1107" s="16">
        <v>22.0</v>
      </c>
      <c r="I1107" s="15" t="str">
        <f>SUBSTITUTE(Sheet1!K1107, "Rp", "")</f>
        <v>517000</v>
      </c>
    </row>
    <row r="1108">
      <c r="A1108" s="8" t="s">
        <v>3115</v>
      </c>
      <c r="B1108" s="13" t="str">
        <f>HYPERLINK("https://shopee.co.id/AZARINE-Miraclear-Herbal-Peeling-Serum-20ml-i.68111.3450766008", "https://shopee.co.id/AZARINE-Miraclear-Herbal-Peeling-Serum-20ml-i.68111.3450766008")</f>
        <v>https://shopee.co.id/AZARINE-Miraclear-Herbal-Peeling-Serum-20ml-i.68111.3450766008</v>
      </c>
      <c r="C1108" s="8" t="s">
        <v>233</v>
      </c>
      <c r="D1108" s="8" t="s">
        <v>441</v>
      </c>
      <c r="E1108" s="8" t="s">
        <v>12</v>
      </c>
      <c r="F1108" s="8" t="s">
        <v>13</v>
      </c>
      <c r="G1108" s="8" t="s">
        <v>130</v>
      </c>
      <c r="H1108" s="16">
        <v>22.0</v>
      </c>
      <c r="I1108" s="15" t="str">
        <f>SUBSTITUTE(Sheet1!K1108, "Rp", "")</f>
        <v>607700</v>
      </c>
    </row>
    <row r="1109">
      <c r="A1109" s="8" t="s">
        <v>1767</v>
      </c>
      <c r="B1109" s="13" t="str">
        <f>HYPERLINK("https://shopee.co.id/Bio-Beauty-Lab-Phyto-Power-Essence-50-mL-i.65323877.11319056403", "https://shopee.co.id/Bio-Beauty-Lab-Phyto-Power-Essence-50-mL-i.65323877.11319056403")</f>
        <v>https://shopee.co.id/Bio-Beauty-Lab-Phyto-Power-Essence-50-mL-i.65323877.11319056403</v>
      </c>
      <c r="C1109" s="8" t="s">
        <v>120</v>
      </c>
      <c r="D1109" s="8" t="s">
        <v>1600</v>
      </c>
      <c r="E1109" s="8" t="s">
        <v>12</v>
      </c>
      <c r="F1109" s="8" t="s">
        <v>13</v>
      </c>
      <c r="G1109" s="8" t="s">
        <v>296</v>
      </c>
      <c r="H1109" s="16">
        <v>22.0</v>
      </c>
      <c r="I1109" s="15" t="str">
        <f>SUBSTITUTE(Sheet1!K1109, "Rp", "")</f>
        <v>4867200</v>
      </c>
    </row>
    <row r="1110">
      <c r="A1110" s="8" t="s">
        <v>1615</v>
      </c>
      <c r="B1110" s="13" t="str">
        <f>HYPERLINK("https://shopee.co.id/Bioderma-Hydrabio-Serum-40ml-i.30736001.606417332", "https://shopee.co.id/Bioderma-Hydrabio-Serum-40ml-i.30736001.606417332")</f>
        <v>https://shopee.co.id/Bioderma-Hydrabio-Serum-40ml-i.30736001.606417332</v>
      </c>
      <c r="C1110" s="8" t="s">
        <v>1387</v>
      </c>
      <c r="D1110" s="8" t="s">
        <v>335</v>
      </c>
      <c r="E1110" s="8" t="s">
        <v>12</v>
      </c>
      <c r="F1110" s="8" t="s">
        <v>13</v>
      </c>
      <c r="G1110" s="8" t="s">
        <v>36</v>
      </c>
      <c r="H1110" s="16">
        <v>22.0</v>
      </c>
      <c r="I1110" s="15" t="str">
        <f>SUBSTITUTE(Sheet1!K1110, "Rp", "")</f>
        <v>6220800</v>
      </c>
    </row>
    <row r="1111">
      <c r="A1111" s="8" t="s">
        <v>2111</v>
      </c>
      <c r="B1111" s="13" t="str">
        <f>HYPERLINK("https://shopee.co.id/BIYU-Hyaluronic-Acid-Serum-Pelembab--i.164501749.4019192016", "https://shopee.co.id/BIYU-Hyaluronic-Acid-Serum-Pelembab--i.164501749.4019192016")</f>
        <v>https://shopee.co.id/BIYU-Hyaluronic-Acid-Serum-Pelembab--i.164501749.4019192016</v>
      </c>
      <c r="C1111" s="8" t="s">
        <v>2112</v>
      </c>
      <c r="D1111" s="8" t="s">
        <v>2113</v>
      </c>
      <c r="E1111" s="8" t="s">
        <v>12</v>
      </c>
      <c r="F1111" s="8" t="s">
        <v>13</v>
      </c>
      <c r="G1111" s="8" t="s">
        <v>80</v>
      </c>
      <c r="H1111" s="16">
        <v>22.0</v>
      </c>
      <c r="I1111" s="15" t="str">
        <f>SUBSTITUTE(Sheet1!K1111, "Rp", "")</f>
        <v>2922000</v>
      </c>
    </row>
    <row r="1112">
      <c r="A1112" s="8" t="s">
        <v>2381</v>
      </c>
      <c r="B1112" s="13" t="str">
        <f>HYPERLINK("https://shopee.co.id/DNI-Whitening-Serum-i.41174739.5520398603", "https://shopee.co.id/DNI-Whitening-Serum-i.41174739.5520398603")</f>
        <v>https://shopee.co.id/DNI-Whitening-Serum-i.41174739.5520398603</v>
      </c>
      <c r="C1112" s="8" t="s">
        <v>2382</v>
      </c>
      <c r="D1112" s="8" t="s">
        <v>2383</v>
      </c>
      <c r="E1112" s="8" t="s">
        <v>12</v>
      </c>
      <c r="F1112" s="8" t="s">
        <v>13</v>
      </c>
      <c r="G1112" s="8" t="s">
        <v>945</v>
      </c>
      <c r="H1112" s="16">
        <v>22.0</v>
      </c>
      <c r="I1112" s="15" t="str">
        <f>SUBSTITUTE(Sheet1!K1112, "Rp", "")</f>
        <v>2007440</v>
      </c>
    </row>
    <row r="1113">
      <c r="A1113" s="8" t="s">
        <v>1853</v>
      </c>
      <c r="B1113" s="13" t="str">
        <f>HYPERLINK("https://shopee.co.id/HISTOIRE-NATURELLE-Lactobacillus-Refine-Serum-I-30ml--i.315746431.5755199023", "https://shopee.co.id/HISTOIRE-NATURELLE-Lactobacillus-Refine-Serum-I-30ml--i.315746431.5755199023")</f>
        <v>https://shopee.co.id/HISTOIRE-NATURELLE-Lactobacillus-Refine-Serum-I-30ml--i.315746431.5755199023</v>
      </c>
      <c r="C1113" s="8" t="s">
        <v>1854</v>
      </c>
      <c r="D1113" s="8" t="s">
        <v>1855</v>
      </c>
      <c r="E1113" s="8" t="s">
        <v>12</v>
      </c>
      <c r="F1113" s="8" t="s">
        <v>13</v>
      </c>
      <c r="G1113" s="8" t="s">
        <v>130</v>
      </c>
      <c r="H1113" s="16">
        <v>22.0</v>
      </c>
      <c r="I1113" s="15" t="str">
        <f>SUBSTITUTE(Sheet1!K1113, "Rp", "")</f>
        <v>4362200</v>
      </c>
    </row>
    <row r="1114">
      <c r="A1114" s="8" t="s">
        <v>2192</v>
      </c>
      <c r="B1114" s="13" t="str">
        <f>HYPERLINK("https://shopee.co.id/Kalonea-Skincare-Acne-Spot-Treatment-Serum-BPOM-i.199590923.4318298933", "https://shopee.co.id/Kalonea-Skincare-Acne-Spot-Treatment-Serum-BPOM-i.199590923.4318298933")</f>
        <v>https://shopee.co.id/Kalonea-Skincare-Acne-Spot-Treatment-Serum-BPOM-i.199590923.4318298933</v>
      </c>
      <c r="C1114" s="8" t="s">
        <v>1807</v>
      </c>
      <c r="D1114" s="8" t="s">
        <v>1808</v>
      </c>
      <c r="E1114" s="8" t="s">
        <v>12</v>
      </c>
      <c r="F1114" s="8" t="s">
        <v>13</v>
      </c>
      <c r="G1114" s="8" t="s">
        <v>1048</v>
      </c>
      <c r="H1114" s="16">
        <v>22.0</v>
      </c>
      <c r="I1114" s="15" t="str">
        <f>SUBSTITUTE(Sheet1!K1114, "Rp", "")</f>
        <v>2580500</v>
      </c>
    </row>
    <row r="1115">
      <c r="A1115" s="8" t="s">
        <v>1396</v>
      </c>
      <c r="B1115" s="13" t="str">
        <f>HYPERLINK("https://shopee.co.id/L-Oreal-Paris-Revitalift-Crystal-Micro-Essence-Serum-Mask-Skin-Care-Buy-3-Get-3-i.62579622.4657542034", "https://shopee.co.id/L-Oreal-Paris-Revitalift-Crystal-Micro-Essence-Serum-Mask-Skin-Care-Buy-3-Get-3-i.62579622.4657542034")</f>
        <v>https://shopee.co.id/L-Oreal-Paris-Revitalift-Crystal-Micro-Essence-Serum-Mask-Skin-Care-Buy-3-Get-3-i.62579622.4657542034</v>
      </c>
      <c r="C1115" s="8" t="s">
        <v>105</v>
      </c>
      <c r="D1115" s="8" t="s">
        <v>106</v>
      </c>
      <c r="E1115" s="8" t="s">
        <v>12</v>
      </c>
      <c r="F1115" s="8" t="s">
        <v>13</v>
      </c>
      <c r="G1115" s="8" t="s">
        <v>61</v>
      </c>
      <c r="H1115" s="16">
        <v>22.0</v>
      </c>
      <c r="I1115" s="15" t="str">
        <f>SUBSTITUTE(Sheet1!K1115, "Rp", "")</f>
        <v>2693900</v>
      </c>
    </row>
    <row r="1116">
      <c r="A1116" s="8" t="s">
        <v>2213</v>
      </c>
      <c r="B1116" s="13" t="str">
        <f>HYPERLINK("https://shopee.co.id/MD-Glowing-Brightening-Plus-Collagen-Serum-i.98061713.1734058568", "https://shopee.co.id/MD-Glowing-Brightening-Plus-Collagen-Serum-i.98061713.1734058568")</f>
        <v>https://shopee.co.id/MD-Glowing-Brightening-Plus-Collagen-Serum-i.98061713.1734058568</v>
      </c>
      <c r="C1116" s="8" t="s">
        <v>1353</v>
      </c>
      <c r="D1116" s="8" t="s">
        <v>1354</v>
      </c>
      <c r="E1116" s="8" t="s">
        <v>12</v>
      </c>
      <c r="F1116" s="8" t="s">
        <v>13</v>
      </c>
      <c r="G1116" s="8" t="s">
        <v>370</v>
      </c>
      <c r="H1116" s="16">
        <v>22.0</v>
      </c>
      <c r="I1116" s="15" t="str">
        <f>SUBSTITUTE(Sheet1!K1116, "Rp", "")</f>
        <v>2530000</v>
      </c>
    </row>
    <row r="1117">
      <c r="A1117" s="8" t="s">
        <v>2513</v>
      </c>
      <c r="B1117" s="13" t="str">
        <f>HYPERLINK("https://shopee.co.id/Roro-Mendut-Red-Algae-Hyaluronic-Acid-B5-Serum-i.87869551.4867756649", "https://shopee.co.id/Roro-Mendut-Red-Algae-Hyaluronic-Acid-B5-Serum-i.87869551.4867756649")</f>
        <v>https://shopee.co.id/Roro-Mendut-Red-Algae-Hyaluronic-Acid-B5-Serum-i.87869551.4867756649</v>
      </c>
      <c r="C1117" s="8" t="s">
        <v>1526</v>
      </c>
      <c r="D1117" s="8" t="s">
        <v>1527</v>
      </c>
      <c r="E1117" s="8" t="s">
        <v>12</v>
      </c>
      <c r="F1117" s="8" t="s">
        <v>13</v>
      </c>
      <c r="G1117" s="8" t="s">
        <v>380</v>
      </c>
      <c r="H1117" s="16">
        <v>22.0</v>
      </c>
      <c r="I1117" s="15" t="str">
        <f>SUBSTITUTE(Sheet1!K1117, "Rp", "")</f>
        <v>1670550</v>
      </c>
    </row>
    <row r="1118">
      <c r="A1118" s="8" t="s">
        <v>1702</v>
      </c>
      <c r="B1118" s="13" t="str">
        <f>HYPERLINK("https://shopee.co.id/Safi-Age-Defy-Gold-Water-Essence-100ml-Twinpack-Special-i.63823668.8138754031", "https://shopee.co.id/Safi-Age-Defy-Gold-Water-Essence-100ml-Twinpack-Special-i.63823668.8138754031")</f>
        <v>https://shopee.co.id/Safi-Age-Defy-Gold-Water-Essence-100ml-Twinpack-Special-i.63823668.8138754031</v>
      </c>
      <c r="C1118" s="8" t="s">
        <v>278</v>
      </c>
      <c r="D1118" s="8" t="s">
        <v>279</v>
      </c>
      <c r="E1118" s="8" t="s">
        <v>12</v>
      </c>
      <c r="F1118" s="8" t="s">
        <v>13</v>
      </c>
      <c r="G1118" s="8" t="s">
        <v>61</v>
      </c>
      <c r="H1118" s="16">
        <v>22.0</v>
      </c>
      <c r="I1118" s="15" t="str">
        <f>SUBSTITUTE(Sheet1!K1118, "Rp", "")</f>
        <v>5419600</v>
      </c>
    </row>
    <row r="1119">
      <c r="A1119" s="8" t="s">
        <v>2072</v>
      </c>
      <c r="B1119" s="13" t="str">
        <f>HYPERLINK("https://shopee.co.id/SNP-PREP-Vitaronic-SOS-Ampoule-i.88399725.9400014358", "https://shopee.co.id/SNP-PREP-Vitaronic-SOS-Ampoule-i.88399725.9400014358")</f>
        <v>https://shopee.co.id/SNP-PREP-Vitaronic-SOS-Ampoule-i.88399725.9400014358</v>
      </c>
      <c r="C1119" s="8" t="s">
        <v>565</v>
      </c>
      <c r="D1119" s="8" t="s">
        <v>566</v>
      </c>
      <c r="E1119" s="8" t="s">
        <v>12</v>
      </c>
      <c r="F1119" s="8" t="s">
        <v>13</v>
      </c>
      <c r="G1119" s="8" t="s">
        <v>98</v>
      </c>
      <c r="H1119" s="16">
        <v>22.0</v>
      </c>
      <c r="I1119" s="15" t="str">
        <f>SUBSTITUTE(Sheet1!K1119, "Rp", "")</f>
        <v>3153800</v>
      </c>
    </row>
    <row r="1120">
      <c r="A1120" s="8" t="s">
        <v>1916</v>
      </c>
      <c r="B1120" s="13" t="str">
        <f>HYPERLINK("https://shopee.co.id/SOMEBYMI-Propolis-B5-Glow-Barrier-Calming-Serum-50ml-i.270965687.10343903586", "https://shopee.co.id/SOMEBYMI-Propolis-B5-Glow-Barrier-Calming-Serum-50ml-i.270965687.10343903586")</f>
        <v>https://shopee.co.id/SOMEBYMI-Propolis-B5-Glow-Barrier-Calming-Serum-50ml-i.270965687.10343903586</v>
      </c>
      <c r="C1120" s="8" t="s">
        <v>213</v>
      </c>
      <c r="D1120" s="8" t="s">
        <v>379</v>
      </c>
      <c r="E1120" s="8" t="s">
        <v>12</v>
      </c>
      <c r="F1120" s="8" t="s">
        <v>13</v>
      </c>
      <c r="G1120" s="8" t="s">
        <v>380</v>
      </c>
      <c r="H1120" s="16">
        <v>22.0</v>
      </c>
      <c r="I1120" s="15" t="str">
        <f>SUBSTITUTE(Sheet1!K1120, "Rp", "")</f>
        <v>3938000</v>
      </c>
    </row>
    <row r="1121">
      <c r="A1121" s="8" t="s">
        <v>2014</v>
      </c>
      <c r="B1121" s="13" t="str">
        <f>HYPERLINK("https://shopee.co.id/Somethinc-Level-1-Retinol-20ml-i.110573301.5879522285", "https://shopee.co.id/Somethinc-Level-1-Retinol-20ml-i.110573301.5879522285")</f>
        <v>https://shopee.co.id/Somethinc-Level-1-Retinol-20ml-i.110573301.5879522285</v>
      </c>
      <c r="C1121" s="8" t="s">
        <v>45</v>
      </c>
      <c r="D1121" s="8" t="s">
        <v>227</v>
      </c>
      <c r="E1121" s="8" t="s">
        <v>12</v>
      </c>
      <c r="F1121" s="8" t="s">
        <v>13</v>
      </c>
      <c r="G1121" s="8" t="s">
        <v>61</v>
      </c>
      <c r="H1121" s="16">
        <v>22.0</v>
      </c>
      <c r="I1121" s="15" t="str">
        <f>SUBSTITUTE(Sheet1!K1121, "Rp", "")</f>
        <v>3410000</v>
      </c>
    </row>
    <row r="1122">
      <c r="A1122" s="8" t="s">
        <v>1943</v>
      </c>
      <c r="B1122" s="13" t="str">
        <f>HYPERLINK("https://shopee.co.id/SOMETHINC-Level-1-Retinol-20ml-i.30736001.5784170501", "https://shopee.co.id/SOMETHINC-Level-1-Retinol-20ml-i.30736001.5784170501")</f>
        <v>https://shopee.co.id/SOMETHINC-Level-1-Retinol-20ml-i.30736001.5784170501</v>
      </c>
      <c r="C1122" s="8" t="s">
        <v>45</v>
      </c>
      <c r="D1122" s="8" t="s">
        <v>335</v>
      </c>
      <c r="E1122" s="8" t="s">
        <v>12</v>
      </c>
      <c r="F1122" s="8" t="s">
        <v>13</v>
      </c>
      <c r="G1122" s="8" t="s">
        <v>36</v>
      </c>
      <c r="H1122" s="16">
        <v>22.0</v>
      </c>
      <c r="I1122" s="15" t="str">
        <f>SUBSTITUTE(Sheet1!K1122, "Rp", "")</f>
        <v>3751000</v>
      </c>
    </row>
    <row r="1123">
      <c r="A1123" s="8" t="s">
        <v>2473</v>
      </c>
      <c r="B1123" s="13" t="str">
        <f>HYPERLINK("https://shopee.co.id/Whitelab-Brightening-Acne-Face-Serum-i.53887195.9209442535", "https://shopee.co.id/Whitelab-Brightening-Acne-Face-Serum-i.53887195.9209442535")</f>
        <v>https://shopee.co.id/Whitelab-Brightening-Acne-Face-Serum-i.53887195.9209442535</v>
      </c>
      <c r="C1123" s="8" t="s">
        <v>59</v>
      </c>
      <c r="D1123" s="8" t="s">
        <v>1026</v>
      </c>
      <c r="E1123" s="8" t="s">
        <v>12</v>
      </c>
      <c r="F1123" s="8" t="s">
        <v>13</v>
      </c>
      <c r="G1123" s="8" t="s">
        <v>80</v>
      </c>
      <c r="H1123" s="16">
        <v>22.0</v>
      </c>
      <c r="I1123" s="15" t="str">
        <f>SUBSTITUTE(Sheet1!K1123, "Rp", "")</f>
        <v>1767980</v>
      </c>
    </row>
    <row r="1124">
      <c r="A1124" s="8" t="s">
        <v>2523</v>
      </c>
      <c r="B1124" s="13" t="str">
        <f>HYPERLINK("https://shopee.co.id/Whitelab-Peeling-Serum-AHA-BHA-PHA-15ml-i.136011044.9620429114", "https://shopee.co.id/Whitelab-Peeling-Serum-AHA-BHA-PHA-15ml-i.136011044.9620429114")</f>
        <v>https://shopee.co.id/Whitelab-Peeling-Serum-AHA-BHA-PHA-15ml-i.136011044.9620429114</v>
      </c>
      <c r="C1124" s="8" t="s">
        <v>59</v>
      </c>
      <c r="D1124" s="8" t="s">
        <v>632</v>
      </c>
      <c r="E1124" s="8" t="s">
        <v>12</v>
      </c>
      <c r="F1124" s="8" t="s">
        <v>13</v>
      </c>
      <c r="G1124" s="8" t="s">
        <v>21</v>
      </c>
      <c r="H1124" s="16">
        <v>22.0</v>
      </c>
      <c r="I1124" s="15" t="str">
        <f>SUBSTITUTE(Sheet1!K1124, "Rp", "")</f>
        <v>1650000</v>
      </c>
    </row>
    <row r="1125">
      <c r="A1125" s="8" t="s">
        <v>3030</v>
      </c>
      <c r="B1125" s="13" t="str">
        <f>HYPERLINK("https://shopee.co.id/-Isi-2-Hanasui-Vitamin-C-CollagenSerum-20ml-BIRU-Serum-Wajah-Pelembab-Wajah-i.114789399.2848673501", "https://shopee.co.id/-Isi-2-Hanasui-Vitamin-C-CollagenSerum-20ml-BIRU-Serum-Wajah-Pelembab-Wajah-i.114789399.2848673501")</f>
        <v>https://shopee.co.id/-Isi-2-Hanasui-Vitamin-C-CollagenSerum-20ml-BIRU-Serum-Wajah-Pelembab-Wajah-i.114789399.2848673501</v>
      </c>
      <c r="C1125" s="8" t="s">
        <v>784</v>
      </c>
      <c r="D1125" s="8" t="s">
        <v>2531</v>
      </c>
      <c r="E1125" s="8" t="s">
        <v>12</v>
      </c>
      <c r="F1125" s="8" t="s">
        <v>13</v>
      </c>
      <c r="G1125" s="8" t="s">
        <v>36</v>
      </c>
      <c r="H1125" s="16">
        <v>21.0</v>
      </c>
      <c r="I1125" s="15" t="str">
        <f>SUBSTITUTE(Sheet1!K1125, "Rp", "")</f>
        <v>706608</v>
      </c>
    </row>
    <row r="1126">
      <c r="A1126" s="8" t="s">
        <v>1583</v>
      </c>
      <c r="B1126" s="13" t="str">
        <f>HYPERLINK("https://shopee.co.id/-New-Packaging-Skinua-Pure-O2-Mask-Serum-i.296259990.7046457080", "https://shopee.co.id/-New-Packaging-Skinua-Pure-O2-Mask-Serum-i.296259990.7046457080")</f>
        <v>https://shopee.co.id/-New-Packaging-Skinua-Pure-O2-Mask-Serum-i.296259990.7046457080</v>
      </c>
      <c r="C1126" s="8" t="s">
        <v>1584</v>
      </c>
      <c r="D1126" s="8" t="s">
        <v>1585</v>
      </c>
      <c r="E1126" s="8" t="s">
        <v>12</v>
      </c>
      <c r="F1126" s="8" t="s">
        <v>13</v>
      </c>
      <c r="G1126" s="8" t="s">
        <v>98</v>
      </c>
      <c r="H1126" s="16">
        <v>21.0</v>
      </c>
      <c r="I1126" s="15" t="str">
        <f>SUBSTITUTE(Sheet1!K1126, "Rp", "")</f>
        <v>6615000</v>
      </c>
    </row>
    <row r="1127">
      <c r="A1127" s="8" t="s">
        <v>2644</v>
      </c>
      <c r="B1127" s="13" t="str">
        <f>HYPERLINK("https://shopee.co.id/Dear-Me-Beauty-Single-Activator-Face-Serum-12ml-32ml-i.50948181.3489760358", "https://shopee.co.id/Dear-Me-Beauty-Single-Activator-Face-Serum-12ml-32ml-i.50948181.3489760358")</f>
        <v>https://shopee.co.id/Dear-Me-Beauty-Single-Activator-Face-Serum-12ml-32ml-i.50948181.3489760358</v>
      </c>
      <c r="C1127" s="8" t="s">
        <v>70</v>
      </c>
      <c r="D1127" s="8" t="s">
        <v>1129</v>
      </c>
      <c r="E1127" s="8" t="s">
        <v>12</v>
      </c>
      <c r="F1127" s="8" t="s">
        <v>13</v>
      </c>
      <c r="G1127" s="8" t="s">
        <v>1130</v>
      </c>
      <c r="H1127" s="16">
        <v>21.0</v>
      </c>
      <c r="I1127" s="15" t="str">
        <f>SUBSTITUTE(Sheet1!K1127, "Rp", "")</f>
        <v>1335150</v>
      </c>
    </row>
    <row r="1128">
      <c r="A1128" s="8" t="s">
        <v>2538</v>
      </c>
      <c r="B1128" s="13" t="str">
        <f>HYPERLINK("https://shopee.co.id/Whitelab-Serum-Brightening-Acne-Peeling-Intensive-Care-i.50948181.8470771126", "https://shopee.co.id/Whitelab-Serum-Brightening-Acne-Peeling-Intensive-Care-i.50948181.8470771126")</f>
        <v>https://shopee.co.id/Whitelab-Serum-Brightening-Acne-Peeling-Intensive-Care-i.50948181.8470771126</v>
      </c>
      <c r="C1128" s="8" t="s">
        <v>59</v>
      </c>
      <c r="D1128" s="8" t="s">
        <v>1129</v>
      </c>
      <c r="E1128" s="8" t="s">
        <v>12</v>
      </c>
      <c r="F1128" s="8" t="s">
        <v>13</v>
      </c>
      <c r="G1128" s="8" t="s">
        <v>1130</v>
      </c>
      <c r="H1128" s="16">
        <v>21.0</v>
      </c>
      <c r="I1128" s="15" t="str">
        <f>SUBSTITUTE(Sheet1!K1128, "Rp", "")</f>
        <v>1614377</v>
      </c>
    </row>
    <row r="1129">
      <c r="A1129" s="8" t="s">
        <v>1892</v>
      </c>
      <c r="B1129" s="13" t="str">
        <f>HYPERLINK("https://shopee.co.id/-Buy-1-Get-1-Bio-Essence-Bio-White-Advanced-Whitening-Refiner-100-ml-i.63822287.3478087755", "https://shopee.co.id/-Buy-1-Get-1-Bio-Essence-Bio-White-Advanced-Whitening-Refiner-100-ml-i.63822287.3478087755")</f>
        <v>https://shopee.co.id/-Buy-1-Get-1-Bio-Essence-Bio-White-Advanced-Whitening-Refiner-100-ml-i.63822287.3478087755</v>
      </c>
      <c r="C1129" s="8" t="s">
        <v>1254</v>
      </c>
      <c r="D1129" s="8" t="s">
        <v>835</v>
      </c>
      <c r="E1129" s="8" t="s">
        <v>12</v>
      </c>
      <c r="F1129" s="8" t="s">
        <v>13</v>
      </c>
      <c r="G1129" s="8" t="s">
        <v>61</v>
      </c>
      <c r="H1129" s="16">
        <v>21.0</v>
      </c>
      <c r="I1129" s="15" t="str">
        <f>SUBSTITUTE(Sheet1!K1129, "Rp", "")</f>
        <v>4049600</v>
      </c>
    </row>
    <row r="1130">
      <c r="A1130" s="8" t="s">
        <v>455</v>
      </c>
      <c r="B1130" s="13" t="str">
        <f>HYPERLINK("https://shopee.co.id/Benton-Snail-Bee-High-Content-Essence-60ml-i.270965687.3736978455", "https://shopee.co.id/Benton-Snail-Bee-High-Content-Essence-60ml-i.270965687.3736978455")</f>
        <v>https://shopee.co.id/Benton-Snail-Bee-High-Content-Essence-60ml-i.270965687.3736978455</v>
      </c>
      <c r="C1130" s="8" t="s">
        <v>456</v>
      </c>
      <c r="D1130" s="8" t="s">
        <v>379</v>
      </c>
      <c r="E1130" s="8" t="s">
        <v>12</v>
      </c>
      <c r="F1130" s="8" t="s">
        <v>13</v>
      </c>
      <c r="G1130" s="8" t="s">
        <v>380</v>
      </c>
      <c r="H1130" s="16">
        <v>21.0</v>
      </c>
      <c r="I1130" s="15" t="str">
        <f>SUBSTITUTE(Sheet1!K1130, "Rp", "")</f>
        <v>3045000</v>
      </c>
    </row>
    <row r="1131">
      <c r="A1131" s="8" t="s">
        <v>1689</v>
      </c>
      <c r="B1131" s="13" t="str">
        <f>HYPERLINK("https://shopee.co.id/Bioessence-Bio-White-Serum-Bio-White-Cleanser-i.63822287.4232969101", "https://shopee.co.id/Bioessence-Bio-White-Serum-Bio-White-Cleanser-i.63822287.4232969101")</f>
        <v>https://shopee.co.id/Bioessence-Bio-White-Serum-Bio-White-Cleanser-i.63822287.4232969101</v>
      </c>
      <c r="C1131" s="8" t="s">
        <v>1254</v>
      </c>
      <c r="D1131" s="8" t="s">
        <v>835</v>
      </c>
      <c r="E1131" s="8" t="s">
        <v>12</v>
      </c>
      <c r="F1131" s="8" t="s">
        <v>13</v>
      </c>
      <c r="G1131" s="8" t="s">
        <v>61</v>
      </c>
      <c r="H1131" s="16">
        <v>21.0</v>
      </c>
      <c r="I1131" s="15" t="str">
        <f>SUBSTITUTE(Sheet1!K1131, "Rp", "")</f>
        <v>5496200</v>
      </c>
    </row>
    <row r="1132">
      <c r="A1132" s="8" t="s">
        <v>2020</v>
      </c>
      <c r="B1132" s="13" t="str">
        <f>HYPERLINK("https://shopee.co.id/Click-House-Skin-Brightening-Serum-i.130532371.4812233039", "https://shopee.co.id/Click-House-Skin-Brightening-Serum-i.130532371.4812233039")</f>
        <v>https://shopee.co.id/Click-House-Skin-Brightening-Serum-i.130532371.4812233039</v>
      </c>
      <c r="C1132" s="8" t="s">
        <v>2021</v>
      </c>
      <c r="D1132" s="8" t="s">
        <v>2022</v>
      </c>
      <c r="E1132" s="8" t="s">
        <v>12</v>
      </c>
      <c r="F1132" s="8" t="s">
        <v>13</v>
      </c>
      <c r="G1132" s="8" t="s">
        <v>98</v>
      </c>
      <c r="H1132" s="16">
        <v>21.0</v>
      </c>
      <c r="I1132" s="15" t="str">
        <f>SUBSTITUTE(Sheet1!K1132, "Rp", "")</f>
        <v>3384990</v>
      </c>
    </row>
    <row r="1133">
      <c r="A1133" s="8" t="s">
        <v>1693</v>
      </c>
      <c r="B1133" s="13" t="str">
        <f>HYPERLINK("https://shopee.co.id/D-alba-White-Truffle-First-Spray-Serum-100-ml-i.125116082.4378727765", "https://shopee.co.id/D-alba-White-Truffle-First-Spray-Serum-100-ml-i.125116082.4378727765")</f>
        <v>https://shopee.co.id/D-alba-White-Truffle-First-Spray-Serum-100-ml-i.125116082.4378727765</v>
      </c>
      <c r="C1133" s="8" t="s">
        <v>1694</v>
      </c>
      <c r="D1133" s="8" t="s">
        <v>713</v>
      </c>
      <c r="E1133" s="8" t="s">
        <v>12</v>
      </c>
      <c r="F1133" s="8" t="s">
        <v>13</v>
      </c>
      <c r="G1133" s="8" t="s">
        <v>61</v>
      </c>
      <c r="H1133" s="16">
        <v>21.0</v>
      </c>
      <c r="I1133" s="15" t="str">
        <f>SUBSTITUTE(Sheet1!K1133, "Rp", "")</f>
        <v>5445000</v>
      </c>
    </row>
    <row r="1134">
      <c r="A1134" s="8" t="s">
        <v>1907</v>
      </c>
      <c r="B1134" s="13" t="str">
        <f>HYPERLINK("https://shopee.co.id/Erha21-Age-Corrector-Serum-20-Ml-i.30736001.3336444093", "https://shopee.co.id/Erha21-Age-Corrector-Serum-20-Ml-i.30736001.3336444093")</f>
        <v>https://shopee.co.id/Erha21-Age-Corrector-Serum-20-Ml-i.30736001.3336444093</v>
      </c>
      <c r="C1134" s="8" t="s">
        <v>1908</v>
      </c>
      <c r="D1134" s="8" t="s">
        <v>335</v>
      </c>
      <c r="E1134" s="8" t="s">
        <v>12</v>
      </c>
      <c r="F1134" s="8" t="s">
        <v>13</v>
      </c>
      <c r="G1134" s="8" t="s">
        <v>36</v>
      </c>
      <c r="H1134" s="16">
        <v>21.0</v>
      </c>
      <c r="I1134" s="15" t="str">
        <f>SUBSTITUTE(Sheet1!K1134, "Rp", "")</f>
        <v>3969000</v>
      </c>
    </row>
    <row r="1135">
      <c r="A1135" s="8" t="s">
        <v>1863</v>
      </c>
      <c r="B1135" s="13" t="str">
        <f>HYPERLINK("https://shopee.co.id/Fruit-Mix-Willow-Peeling-Glow-Serum-Natural-AHA-BHA-Fruit-aha-i.73969875.6196760020", "https://shopee.co.id/Fruit-Mix-Willow-Peeling-Glow-Serum-Natural-AHA-BHA-Fruit-aha-i.73969875.6196760020")</f>
        <v>https://shopee.co.id/Fruit-Mix-Willow-Peeling-Glow-Serum-Natural-AHA-BHA-Fruit-aha-i.73969875.6196760020</v>
      </c>
      <c r="C1135" s="8" t="s">
        <v>1061</v>
      </c>
      <c r="D1135" s="8" t="s">
        <v>896</v>
      </c>
      <c r="E1135" s="8" t="s">
        <v>12</v>
      </c>
      <c r="F1135" s="8" t="s">
        <v>13</v>
      </c>
      <c r="G1135" s="8" t="s">
        <v>21</v>
      </c>
      <c r="H1135" s="16">
        <v>21.0</v>
      </c>
      <c r="I1135" s="15" t="str">
        <f>SUBSTITUTE(Sheet1!K1135, "Rp", "")</f>
        <v>4285000</v>
      </c>
    </row>
    <row r="1136">
      <c r="A1136" s="8" t="s">
        <v>1999</v>
      </c>
      <c r="B1136" s="13" t="str">
        <f>HYPERLINK("https://shopee.co.id/Hersall-Bundle-Watermelon-Ice-Cream-Serum-Moon-Fairy-Serum-i.329847628.8287944943", "https://shopee.co.id/Hersall-Bundle-Watermelon-Ice-Cream-Serum-Moon-Fairy-Serum-i.329847628.8287944943")</f>
        <v>https://shopee.co.id/Hersall-Bundle-Watermelon-Ice-Cream-Serum-Moon-Fairy-Serum-i.329847628.8287944943</v>
      </c>
      <c r="C1136" s="8" t="s">
        <v>2000</v>
      </c>
      <c r="D1136" s="8" t="s">
        <v>2001</v>
      </c>
      <c r="E1136" s="8" t="s">
        <v>12</v>
      </c>
      <c r="F1136" s="8" t="s">
        <v>13</v>
      </c>
      <c r="G1136" s="8" t="s">
        <v>61</v>
      </c>
      <c r="H1136" s="16">
        <v>21.0</v>
      </c>
      <c r="I1136" s="15" t="str">
        <f>SUBSTITUTE(Sheet1!K1136, "Rp", "")</f>
        <v>3490500</v>
      </c>
    </row>
    <row r="1137">
      <c r="A1137" s="8" t="s">
        <v>1634</v>
      </c>
      <c r="B1137" s="13" t="str">
        <f>HYPERLINK("https://shopee.co.id/Huxley-Essence-Brightly-Ever-After-30-ml-i.125116082.2756903137", "https://shopee.co.id/Huxley-Essence-Brightly-Ever-After-30-ml-i.125116082.2756903137")</f>
        <v>https://shopee.co.id/Huxley-Essence-Brightly-Ever-After-30-ml-i.125116082.2756903137</v>
      </c>
      <c r="C1137" s="8" t="s">
        <v>1635</v>
      </c>
      <c r="D1137" s="8" t="s">
        <v>713</v>
      </c>
      <c r="E1137" s="8" t="s">
        <v>12</v>
      </c>
      <c r="F1137" s="8" t="s">
        <v>13</v>
      </c>
      <c r="G1137" s="8" t="s">
        <v>61</v>
      </c>
      <c r="H1137" s="16">
        <v>21.0</v>
      </c>
      <c r="I1137" s="15" t="str">
        <f>SUBSTITUTE(Sheet1!K1137, "Rp", "")</f>
        <v>6076000</v>
      </c>
    </row>
    <row r="1138">
      <c r="A1138" s="8" t="s">
        <v>2228</v>
      </c>
      <c r="B1138" s="13" t="str">
        <f>HYPERLINK("https://shopee.co.id/KF-Skin-Serum-White-and-Beauty-i.298365554.6552078688", "https://shopee.co.id/KF-Skin-Serum-White-and-Beauty-i.298365554.6552078688")</f>
        <v>https://shopee.co.id/KF-Skin-Serum-White-and-Beauty-i.298365554.6552078688</v>
      </c>
      <c r="C1138" s="8" t="s">
        <v>1290</v>
      </c>
      <c r="D1138" s="8" t="s">
        <v>1291</v>
      </c>
      <c r="E1138" s="8" t="s">
        <v>12</v>
      </c>
      <c r="F1138" s="8" t="s">
        <v>13</v>
      </c>
      <c r="G1138" s="8" t="s">
        <v>1292</v>
      </c>
      <c r="H1138" s="16">
        <v>21.0</v>
      </c>
      <c r="I1138" s="15" t="str">
        <f>SUBSTITUTE(Sheet1!K1138, "Rp", "")</f>
        <v>2499000</v>
      </c>
    </row>
    <row r="1139">
      <c r="A1139" s="8" t="s">
        <v>1862</v>
      </c>
      <c r="B1139" s="13" t="str">
        <f>HYPERLINK("https://shopee.co.id/MSBB-Elsheskin-Radiant-Supple-Serum-i.288588702.11304429759", "https://shopee.co.id/MSBB-Elsheskin-Radiant-Supple-Serum-i.288588702.11304429759")</f>
        <v>https://shopee.co.id/MSBB-Elsheskin-Radiant-Supple-Serum-i.288588702.11304429759</v>
      </c>
      <c r="C1139" s="8" t="s">
        <v>78</v>
      </c>
      <c r="D1139" s="8" t="s">
        <v>79</v>
      </c>
      <c r="E1139" s="8" t="s">
        <v>12</v>
      </c>
      <c r="F1139" s="8" t="s">
        <v>13</v>
      </c>
      <c r="G1139" s="8" t="s">
        <v>80</v>
      </c>
      <c r="H1139" s="16">
        <v>21.0</v>
      </c>
      <c r="I1139" s="15" t="str">
        <f>SUBSTITUTE(Sheet1!K1139, "Rp", "")</f>
        <v>4289250</v>
      </c>
    </row>
    <row r="1140">
      <c r="A1140" s="8" t="s">
        <v>1498</v>
      </c>
      <c r="B1140" s="13" t="str">
        <f>HYPERLINK("https://shopee.co.id/NEUTROGENA-Hydro-Boost-Capsule-in-Serum-Perawatan-Wajah-30ml-Isi-2-i.50708029.3743158352", "https://shopee.co.id/NEUTROGENA-Hydro-Boost-Capsule-in-Serum-Perawatan-Wajah-30ml-Isi-2-i.50708029.3743158352")</f>
        <v>https://shopee.co.id/NEUTROGENA-Hydro-Boost-Capsule-in-Serum-Perawatan-Wajah-30ml-Isi-2-i.50708029.3743158352</v>
      </c>
      <c r="C1140" s="8" t="s">
        <v>1499</v>
      </c>
      <c r="D1140" s="8" t="s">
        <v>1500</v>
      </c>
      <c r="E1140" s="8" t="s">
        <v>12</v>
      </c>
      <c r="F1140" s="8" t="s">
        <v>13</v>
      </c>
      <c r="G1140" s="8" t="s">
        <v>296</v>
      </c>
      <c r="H1140" s="16">
        <v>21.0</v>
      </c>
      <c r="I1140" s="15" t="str">
        <f>SUBSTITUTE(Sheet1!K1140, "Rp", "")</f>
        <v>7757000</v>
      </c>
    </row>
    <row r="1141">
      <c r="A1141" s="8" t="s">
        <v>119</v>
      </c>
      <c r="B1141" s="13" t="str">
        <f>HYPERLINK("https://shopee.co.id/Phyto-Power-Essence-Biobeautylab-50ml-i.110573301.8438754192", "https://shopee.co.id/Phyto-Power-Essence-Biobeautylab-50ml-i.110573301.8438754192")</f>
        <v>https://shopee.co.id/Phyto-Power-Essence-Biobeautylab-50ml-i.110573301.8438754192</v>
      </c>
      <c r="C1141" s="8" t="s">
        <v>120</v>
      </c>
      <c r="D1141" s="8" t="s">
        <v>227</v>
      </c>
      <c r="E1141" s="8" t="s">
        <v>12</v>
      </c>
      <c r="F1141" s="8" t="s">
        <v>13</v>
      </c>
      <c r="G1141" s="8" t="s">
        <v>61</v>
      </c>
      <c r="H1141" s="16">
        <v>21.0</v>
      </c>
      <c r="I1141" s="15" t="str">
        <f>SUBSTITUTE(Sheet1!K1141, "Rp", "")</f>
        <v>4971000</v>
      </c>
    </row>
    <row r="1142">
      <c r="A1142" s="8" t="s">
        <v>2049</v>
      </c>
      <c r="B1142" s="13" t="str">
        <f>HYPERLINK("https://shopee.co.id/PIXY-White-Aqua-Concentrated-Brightening-Serum-17-ML-Pixy-White-Aqua-Brightening-Mask-50-GR-i.168693892.7556369155", "https://shopee.co.id/PIXY-White-Aqua-Concentrated-Brightening-Serum-17-ML-Pixy-White-Aqua-Brightening-Mask-50-GR-i.168693892.7556369155")</f>
        <v>https://shopee.co.id/PIXY-White-Aqua-Concentrated-Brightening-Serum-17-ML-Pixy-White-Aqua-Brightening-Mask-50-GR-i.168693892.7556369155</v>
      </c>
      <c r="C1142" s="8" t="s">
        <v>1398</v>
      </c>
      <c r="D1142" s="8" t="s">
        <v>1399</v>
      </c>
      <c r="E1142" s="8" t="s">
        <v>12</v>
      </c>
      <c r="F1142" s="8" t="s">
        <v>13</v>
      </c>
      <c r="G1142" s="8" t="s">
        <v>61</v>
      </c>
      <c r="H1142" s="16">
        <v>21.0</v>
      </c>
      <c r="I1142" s="15" t="str">
        <f>SUBSTITUTE(Sheet1!K1142, "Rp", "")</f>
        <v>3285600</v>
      </c>
    </row>
    <row r="1143">
      <c r="A1143" s="8" t="s">
        <v>1906</v>
      </c>
      <c r="B1143" s="13" t="str">
        <f>HYPERLINK("https://shopee.co.id/Serum-Pelembap-LUNICA-Aqua-Blossom-Serum-i.298959895.7063802482", "https://shopee.co.id/Serum-Pelembap-LUNICA-Aqua-Blossom-Serum-i.298959895.7063802482")</f>
        <v>https://shopee.co.id/Serum-Pelembap-LUNICA-Aqua-Blossom-Serum-i.298959895.7063802482</v>
      </c>
      <c r="C1143" s="8" t="s">
        <v>510</v>
      </c>
      <c r="D1143" s="8" t="s">
        <v>511</v>
      </c>
      <c r="E1143" s="8" t="s">
        <v>12</v>
      </c>
      <c r="F1143" s="8" t="s">
        <v>13</v>
      </c>
      <c r="G1143" s="8" t="s">
        <v>36</v>
      </c>
      <c r="H1143" s="16">
        <v>21.0</v>
      </c>
      <c r="I1143" s="15" t="str">
        <f>SUBSTITUTE(Sheet1!K1143, "Rp", "")</f>
        <v>3981810</v>
      </c>
    </row>
    <row r="1144">
      <c r="A1144" s="8" t="s">
        <v>1986</v>
      </c>
      <c r="B1144" s="13" t="str">
        <f>HYPERLINK("https://shopee.co.id/SOMEBYMI-Super-Matcha-Pore-Tightening-Serum-50ml-i.270965687.7792368807", "https://shopee.co.id/SOMEBYMI-Super-Matcha-Pore-Tightening-Serum-50ml-i.270965687.7792368807")</f>
        <v>https://shopee.co.id/SOMEBYMI-Super-Matcha-Pore-Tightening-Serum-50ml-i.270965687.7792368807</v>
      </c>
      <c r="C1144" s="8" t="s">
        <v>213</v>
      </c>
      <c r="D1144" s="8" t="s">
        <v>379</v>
      </c>
      <c r="E1144" s="8" t="s">
        <v>12</v>
      </c>
      <c r="F1144" s="8" t="s">
        <v>13</v>
      </c>
      <c r="G1144" s="8" t="s">
        <v>380</v>
      </c>
      <c r="H1144" s="16">
        <v>21.0</v>
      </c>
      <c r="I1144" s="15" t="str">
        <f>SUBSTITUTE(Sheet1!K1144, "Rp", "")</f>
        <v>3549000</v>
      </c>
    </row>
    <row r="1145">
      <c r="A1145" s="8" t="s">
        <v>2149</v>
      </c>
      <c r="B1145" s="13" t="str">
        <f>HYPERLINK("https://shopee.co.id/Somethinc-Holygrail-Multipeptide-Youth-Elixir-20-ml-i.110573301.10604866852", "https://shopee.co.id/Somethinc-Holygrail-Multipeptide-Youth-Elixir-20-ml-i.110573301.10604866852")</f>
        <v>https://shopee.co.id/Somethinc-Holygrail-Multipeptide-Youth-Elixir-20-ml-i.110573301.10604866852</v>
      </c>
      <c r="C1145" s="8" t="s">
        <v>45</v>
      </c>
      <c r="D1145" s="8" t="s">
        <v>227</v>
      </c>
      <c r="E1145" s="8" t="s">
        <v>12</v>
      </c>
      <c r="F1145" s="8" t="s">
        <v>13</v>
      </c>
      <c r="G1145" s="8" t="s">
        <v>61</v>
      </c>
      <c r="H1145" s="16">
        <v>21.0</v>
      </c>
      <c r="I1145" s="15" t="str">
        <f>SUBSTITUTE(Sheet1!K1145, "Rp", "")</f>
        <v>2709000</v>
      </c>
    </row>
    <row r="1146">
      <c r="A1146" s="8" t="s">
        <v>882</v>
      </c>
      <c r="B1146" s="13" t="str">
        <f>HYPERLINK("https://shopee.co.id/Vaseline-Healthy-Bright-Vitamin-Gel-Serum-Fresh-Glow-180-ml-i.65323877.4294984353", "https://shopee.co.id/Vaseline-Healthy-Bright-Vitamin-Gel-Serum-Fresh-Glow-180-ml-i.65323877.4294984353")</f>
        <v>https://shopee.co.id/Vaseline-Healthy-Bright-Vitamin-Gel-Serum-Fresh-Glow-180-ml-i.65323877.4294984353</v>
      </c>
      <c r="C1146" s="8" t="s">
        <v>883</v>
      </c>
      <c r="D1146" s="8" t="s">
        <v>1600</v>
      </c>
      <c r="E1146" s="8" t="s">
        <v>12</v>
      </c>
      <c r="F1146" s="8" t="s">
        <v>13</v>
      </c>
      <c r="G1146" s="8" t="s">
        <v>296</v>
      </c>
      <c r="H1146" s="16">
        <v>21.0</v>
      </c>
      <c r="I1146" s="15" t="str">
        <f>SUBSTITUTE(Sheet1!K1146, "Rp", "")</f>
        <v>487800</v>
      </c>
    </row>
    <row r="1147">
      <c r="A1147" s="8" t="s">
        <v>2003</v>
      </c>
      <c r="B1147" s="13" t="str">
        <f>HYPERLINK("https://shopee.co.id/ZUZU-Acne-Serum-i.400583963.8824180958", "https://shopee.co.id/ZUZU-Acne-Serum-i.400583963.8824180958")</f>
        <v>https://shopee.co.id/ZUZU-Acne-Serum-i.400583963.8824180958</v>
      </c>
      <c r="C1147" s="8" t="s">
        <v>1661</v>
      </c>
      <c r="D1147" s="8" t="s">
        <v>1662</v>
      </c>
      <c r="E1147" s="8" t="s">
        <v>12</v>
      </c>
      <c r="F1147" s="8" t="s">
        <v>13</v>
      </c>
      <c r="G1147" s="8" t="s">
        <v>98</v>
      </c>
      <c r="H1147" s="16">
        <v>21.0</v>
      </c>
      <c r="I1147" s="15" t="str">
        <f>SUBSTITUTE(Sheet1!K1147, "Rp", "")</f>
        <v>3467490</v>
      </c>
    </row>
    <row r="1148">
      <c r="A1148" s="8" t="s">
        <v>2682</v>
      </c>
      <c r="B1148" s="13" t="str">
        <f>HYPERLINK("https://shopee.co.id/Scarlett-Whitening-Glowtening-Serum-15ml-i.50948181.10714444022", "https://shopee.co.id/Scarlett-Whitening-Glowtening-Serum-15ml-i.50948181.10714444022")</f>
        <v>https://shopee.co.id/Scarlett-Whitening-Glowtening-Serum-15ml-i.50948181.10714444022</v>
      </c>
      <c r="C1148" s="8" t="s">
        <v>19</v>
      </c>
      <c r="D1148" s="8" t="s">
        <v>1129</v>
      </c>
      <c r="E1148" s="8" t="s">
        <v>12</v>
      </c>
      <c r="F1148" s="8" t="s">
        <v>13</v>
      </c>
      <c r="G1148" s="8" t="s">
        <v>1130</v>
      </c>
      <c r="H1148" s="16">
        <v>20.0</v>
      </c>
      <c r="I1148" s="15" t="str">
        <f>SUBSTITUTE(Sheet1!K1148, "Rp", "")</f>
        <v>1266990</v>
      </c>
    </row>
    <row r="1149">
      <c r="A1149" s="8" t="s">
        <v>1563</v>
      </c>
      <c r="B1149" s="13" t="str">
        <f>HYPERLINK("https://shopee.co.id/-innisfree-Forest-for-Men-Pore-Care-All-In-One-Essence-100ML-Serum-Wajah-Perawatan-Wajah-i.61504589.6628057935", "https://shopee.co.id/-innisfree-Forest-for-Men-Pore-Care-All-In-One-Essence-100ML-Serum-Wajah-Perawatan-Wajah-i.61504589.6628057935")</f>
        <v>https://shopee.co.id/-innisfree-Forest-for-Men-Pore-Care-All-In-One-Essence-100ML-Serum-Wajah-Perawatan-Wajah-i.61504589.6628057935</v>
      </c>
      <c r="C1149" s="8" t="s">
        <v>294</v>
      </c>
      <c r="D1149" s="8" t="s">
        <v>295</v>
      </c>
      <c r="E1149" s="8" t="s">
        <v>12</v>
      </c>
      <c r="F1149" s="8" t="s">
        <v>13</v>
      </c>
      <c r="G1149" s="8" t="s">
        <v>296</v>
      </c>
      <c r="H1149" s="16">
        <v>20.0</v>
      </c>
      <c r="I1149" s="15" t="str">
        <f>SUBSTITUTE(Sheet1!K1149, "Rp", "")</f>
        <v>6920000</v>
      </c>
    </row>
    <row r="1150">
      <c r="A1150" s="8" t="s">
        <v>2435</v>
      </c>
      <c r="B1150" s="13" t="str">
        <f>HYPERLINK("https://shopee.co.id/Azarine-Aqua-Essence-Sun-Shield-Serum-SPF-50-PA-100ml-i.110573301.8142622862", "https://shopee.co.id/Azarine-Aqua-Essence-Sun-Shield-Serum-SPF-50-PA-100ml-i.110573301.8142622862")</f>
        <v>https://shopee.co.id/Azarine-Aqua-Essence-Sun-Shield-Serum-SPF-50-PA-100ml-i.110573301.8142622862</v>
      </c>
      <c r="C1150" s="8" t="s">
        <v>233</v>
      </c>
      <c r="D1150" s="8" t="s">
        <v>227</v>
      </c>
      <c r="E1150" s="8" t="s">
        <v>12</v>
      </c>
      <c r="F1150" s="8" t="s">
        <v>13</v>
      </c>
      <c r="G1150" s="8" t="s">
        <v>61</v>
      </c>
      <c r="H1150" s="16">
        <v>20.0</v>
      </c>
      <c r="I1150" s="15" t="str">
        <f>SUBSTITUTE(Sheet1!K1150, "Rp", "")</f>
        <v>1862000</v>
      </c>
    </row>
    <row r="1151">
      <c r="A1151" s="8" t="s">
        <v>3212</v>
      </c>
      <c r="B1151" s="13" t="str">
        <f>HYPERLINK("https://shopee.co.id/AZARINE-MIRACLEAR-HERBAL-PEELING-SERUM-20-ML-i.50972887.6691067875", "https://shopee.co.id/AZARINE-MIRACLEAR-HERBAL-PEELING-SERUM-20-ML-i.50972887.6691067875")</f>
        <v>https://shopee.co.id/AZARINE-MIRACLEAR-HERBAL-PEELING-SERUM-20-ML-i.50972887.6691067875</v>
      </c>
      <c r="C1151" s="8" t="s">
        <v>233</v>
      </c>
      <c r="D1151" s="8" t="s">
        <v>552</v>
      </c>
      <c r="E1151" s="8" t="s">
        <v>12</v>
      </c>
      <c r="F1151" s="8" t="s">
        <v>13</v>
      </c>
      <c r="G1151" s="8" t="s">
        <v>61</v>
      </c>
      <c r="H1151" s="16">
        <v>20.0</v>
      </c>
      <c r="I1151" s="15" t="str">
        <f>SUBSTITUTE(Sheet1!K1151, "Rp", "")</f>
        <v>510000</v>
      </c>
    </row>
    <row r="1152">
      <c r="A1152" s="8" t="s">
        <v>1872</v>
      </c>
      <c r="B1152" s="13" t="str">
        <f>HYPERLINK("https://shopee.co.id/BIOKOS-Botu-Like-Intensive-Correcting-Serum-i.34904037.1007570430", "https://shopee.co.id/BIOKOS-Botu-Like-Intensive-Correcting-Serum-i.34904037.1007570430")</f>
        <v>https://shopee.co.id/BIOKOS-Botu-Like-Intensive-Correcting-Serum-i.34904037.1007570430</v>
      </c>
      <c r="C1152" s="8" t="s">
        <v>1873</v>
      </c>
      <c r="D1152" s="8" t="s">
        <v>1874</v>
      </c>
      <c r="E1152" s="8" t="s">
        <v>12</v>
      </c>
      <c r="F1152" s="8" t="s">
        <v>13</v>
      </c>
      <c r="G1152" s="8" t="s">
        <v>469</v>
      </c>
      <c r="H1152" s="16">
        <v>20.0</v>
      </c>
      <c r="I1152" s="15" t="str">
        <f>SUBSTITUTE(Sheet1!K1152, "Rp", "")</f>
        <v>4200235</v>
      </c>
    </row>
    <row r="1153">
      <c r="A1153" s="8" t="s">
        <v>2029</v>
      </c>
      <c r="B1153" s="13" t="str">
        <f>HYPERLINK("https://shopee.co.id/Buy-1-Get-1-Glowing-Serum-i.63439817.9864404030", "https://shopee.co.id/Buy-1-Get-1-Glowing-Serum-i.63439817.9864404030")</f>
        <v>https://shopee.co.id/Buy-1-Get-1-Glowing-Serum-i.63439817.9864404030</v>
      </c>
      <c r="C1153" s="8" t="s">
        <v>2030</v>
      </c>
      <c r="D1153" s="8" t="s">
        <v>2031</v>
      </c>
      <c r="E1153" s="8" t="s">
        <v>12</v>
      </c>
      <c r="F1153" s="8" t="s">
        <v>13</v>
      </c>
      <c r="G1153" s="8" t="s">
        <v>2032</v>
      </c>
      <c r="H1153" s="16">
        <v>20.0</v>
      </c>
      <c r="I1153" s="15" t="str">
        <f>SUBSTITUTE(Sheet1!K1153, "Rp", "")</f>
        <v>3366000</v>
      </c>
    </row>
    <row r="1154">
      <c r="A1154" s="8" t="s">
        <v>2387</v>
      </c>
      <c r="B1154" s="13" t="str">
        <f>HYPERLINK("https://shopee.co.id/Collagen-By-Watsons-Hydro-Balance-Day-Moist-SPF20-50-ML-i.30736001.5639098295", "https://shopee.co.id/Collagen-By-Watsons-Hydro-Balance-Day-Moist-SPF20-50-ML-i.30736001.5639098295")</f>
        <v>https://shopee.co.id/Collagen-By-Watsons-Hydro-Balance-Day-Moist-SPF20-50-ML-i.30736001.5639098295</v>
      </c>
      <c r="C1154" s="8" t="s">
        <v>2388</v>
      </c>
      <c r="D1154" s="8" t="s">
        <v>335</v>
      </c>
      <c r="E1154" s="8" t="s">
        <v>12</v>
      </c>
      <c r="F1154" s="8" t="s">
        <v>13</v>
      </c>
      <c r="G1154" s="8" t="s">
        <v>36</v>
      </c>
      <c r="H1154" s="16">
        <v>20.0</v>
      </c>
      <c r="I1154" s="15" t="str">
        <f>SUBSTITUTE(Sheet1!K1154, "Rp", "")</f>
        <v>2000650</v>
      </c>
    </row>
    <row r="1155">
      <c r="A1155" s="8" t="s">
        <v>2455</v>
      </c>
      <c r="B1155" s="13" t="str">
        <f>HYPERLINK("https://shopee.co.id/Dermies-Hello-Glow-Radiance-Serum-15-ml-Serum-Pemutih-Wajah-i.260681089.7133353314", "https://shopee.co.id/Dermies-Hello-Glow-Radiance-Serum-15-ml-Serum-Pemutih-Wajah-i.260681089.7133353314")</f>
        <v>https://shopee.co.id/Dermies-Hello-Glow-Radiance-Serum-15-ml-Serum-Pemutih-Wajah-i.260681089.7133353314</v>
      </c>
      <c r="C1155" s="8" t="s">
        <v>2456</v>
      </c>
      <c r="D1155" s="8" t="s">
        <v>2457</v>
      </c>
      <c r="E1155" s="8" t="s">
        <v>12</v>
      </c>
      <c r="F1155" s="8" t="s">
        <v>13</v>
      </c>
      <c r="G1155" s="8" t="s">
        <v>241</v>
      </c>
      <c r="H1155" s="16">
        <v>20.0</v>
      </c>
      <c r="I1155" s="15" t="str">
        <f>SUBSTITUTE(Sheet1!K1155, "Rp", "")</f>
        <v>1800000</v>
      </c>
    </row>
    <row r="1156">
      <c r="A1156" s="8" t="s">
        <v>2501</v>
      </c>
      <c r="B1156" s="13" t="str">
        <f>HYPERLINK("https://shopee.co.id/Dsavior-Body-Whitening-Serum-Pencerah-Intan-Glowing-Tanpa-Lengket-Di-Kulit-Dengan-Aroma-Segar-BPOM-i.279468047.8239711252", "https://shopee.co.id/Dsavior-Body-Whitening-Serum-Pencerah-Intan-Glowing-Tanpa-Lengket-Di-Kulit-Dengan-Aroma-Segar-BPOM-i.279468047.8239711252")</f>
        <v>https://shopee.co.id/Dsavior-Body-Whitening-Serum-Pencerah-Intan-Glowing-Tanpa-Lengket-Di-Kulit-Dengan-Aroma-Segar-BPOM-i.279468047.8239711252</v>
      </c>
      <c r="C1156" s="8" t="s">
        <v>2502</v>
      </c>
      <c r="D1156" s="8" t="s">
        <v>2503</v>
      </c>
      <c r="E1156" s="8" t="s">
        <v>12</v>
      </c>
      <c r="F1156" s="8" t="s">
        <v>13</v>
      </c>
      <c r="G1156" s="8" t="s">
        <v>115</v>
      </c>
      <c r="H1156" s="16">
        <v>20.0</v>
      </c>
      <c r="I1156" s="15" t="str">
        <f>SUBSTITUTE(Sheet1!K1156, "Rp", "")</f>
        <v>1700000</v>
      </c>
    </row>
    <row r="1157">
      <c r="A1157" s="8" t="s">
        <v>1437</v>
      </c>
      <c r="B1157" s="13" t="str">
        <f>HYPERLINK("https://shopee.co.id/ElsheSkin-Active-Rejuvenating-night-Serum-X-ElsheSkin-Vitamin-C-Serum-i.9035345.5749171999", "https://shopee.co.id/ElsheSkin-Active-Rejuvenating-night-Serum-X-ElsheSkin-Vitamin-C-Serum-i.9035345.5749171999")</f>
        <v>https://shopee.co.id/ElsheSkin-Active-Rejuvenating-night-Serum-X-ElsheSkin-Vitamin-C-Serum-i.9035345.5749171999</v>
      </c>
      <c r="C1157" s="8" t="s">
        <v>135</v>
      </c>
      <c r="D1157" s="8" t="s">
        <v>136</v>
      </c>
      <c r="E1157" s="8" t="s">
        <v>12</v>
      </c>
      <c r="F1157" s="8" t="s">
        <v>13</v>
      </c>
      <c r="G1157" s="8" t="s">
        <v>80</v>
      </c>
      <c r="H1157" s="16">
        <v>20.0</v>
      </c>
      <c r="I1157" s="15" t="str">
        <f>SUBSTITUTE(Sheet1!K1157, "Rp", "")</f>
        <v>8459100</v>
      </c>
    </row>
    <row r="1158">
      <c r="A1158" s="8" t="s">
        <v>2305</v>
      </c>
      <c r="B1158" s="13" t="str">
        <f>HYPERLINK("https://shopee.co.id/er-1-Pure-Bright-Serum-Serum-Pencerah-Wajah-by-dr-Erna-Purnamasari-i.147564934.4506893407", "https://shopee.co.id/er-1-Pure-Bright-Serum-Serum-Pencerah-Wajah-by-dr-Erna-Purnamasari-i.147564934.4506893407")</f>
        <v>https://shopee.co.id/er-1-Pure-Bright-Serum-Serum-Pencerah-Wajah-by-dr-Erna-Purnamasari-i.147564934.4506893407</v>
      </c>
      <c r="C1158" s="8" t="s">
        <v>2222</v>
      </c>
      <c r="D1158" s="8" t="s">
        <v>2223</v>
      </c>
      <c r="E1158" s="8" t="s">
        <v>12</v>
      </c>
      <c r="F1158" s="8" t="s">
        <v>13</v>
      </c>
      <c r="G1158" s="8" t="s">
        <v>21</v>
      </c>
      <c r="H1158" s="16">
        <v>20.0</v>
      </c>
      <c r="I1158" s="15" t="str">
        <f>SUBSTITUTE(Sheet1!K1158, "Rp", "")</f>
        <v>2270000</v>
      </c>
    </row>
    <row r="1159">
      <c r="A1159" s="8" t="s">
        <v>1771</v>
      </c>
      <c r="B1159" s="13" t="str">
        <f>HYPERLINK("https://shopee.co.id/For-Skin-s-Sake-FSS-Retinol-Serum-i.99513899.1620707254", "https://shopee.co.id/For-Skin-s-Sake-FSS-Retinol-Serum-i.99513899.1620707254")</f>
        <v>https://shopee.co.id/For-Skin-s-Sake-FSS-Retinol-Serum-i.99513899.1620707254</v>
      </c>
      <c r="C1159" s="8" t="s">
        <v>1772</v>
      </c>
      <c r="D1159" s="8" t="s">
        <v>1773</v>
      </c>
      <c r="E1159" s="8" t="s">
        <v>12</v>
      </c>
      <c r="F1159" s="8" t="s">
        <v>13</v>
      </c>
      <c r="G1159" s="8" t="s">
        <v>130</v>
      </c>
      <c r="H1159" s="16">
        <v>20.0</v>
      </c>
      <c r="I1159" s="15" t="str">
        <f>SUBSTITUTE(Sheet1!K1159, "Rp", "")</f>
        <v>4860000</v>
      </c>
    </row>
    <row r="1160">
      <c r="A1160" s="8" t="s">
        <v>2667</v>
      </c>
      <c r="B1160" s="13" t="str">
        <f>HYPERLINK("https://shopee.co.id/I-Face-Vitamin-C-Serum-10-mL-Serum-Kulit-Serum-Wajah-Serum-Kulit-Wajah-Pencerah-Wajah-i.204185841.5979636920", "https://shopee.co.id/I-Face-Vitamin-C-Serum-10-mL-Serum-Kulit-Serum-Wajah-Serum-Kulit-Wajah-Pencerah-Wajah-i.204185841.5979636920")</f>
        <v>https://shopee.co.id/I-Face-Vitamin-C-Serum-10-mL-Serum-Kulit-Serum-Wajah-Serum-Kulit-Wajah-Pencerah-Wajah-i.204185841.5979636920</v>
      </c>
      <c r="C1160" s="8" t="s">
        <v>1116</v>
      </c>
      <c r="D1160" s="8" t="s">
        <v>2568</v>
      </c>
      <c r="E1160" s="8" t="s">
        <v>12</v>
      </c>
      <c r="F1160" s="8" t="s">
        <v>13</v>
      </c>
      <c r="G1160" s="8" t="s">
        <v>36</v>
      </c>
      <c r="H1160" s="16">
        <v>20.0</v>
      </c>
      <c r="I1160" s="15" t="str">
        <f>SUBSTITUTE(Sheet1!K1160, "Rp", "")</f>
        <v>1287000</v>
      </c>
    </row>
    <row r="1161">
      <c r="A1161" s="8" t="s">
        <v>1648</v>
      </c>
      <c r="B1161" s="13" t="str">
        <f>HYPERLINK("https://shopee.co.id/Jarkeen-Bundling-Porcelain-Skin-Technology-Series-i.147936010.4333278266", "https://shopee.co.id/Jarkeen-Bundling-Porcelain-Skin-Technology-Series-i.147936010.4333278266")</f>
        <v>https://shopee.co.id/Jarkeen-Bundling-Porcelain-Skin-Technology-Series-i.147936010.4333278266</v>
      </c>
      <c r="C1161" s="8" t="s">
        <v>738</v>
      </c>
      <c r="D1161" s="8" t="s">
        <v>739</v>
      </c>
      <c r="E1161" s="8" t="s">
        <v>12</v>
      </c>
      <c r="F1161" s="8" t="s">
        <v>13</v>
      </c>
      <c r="G1161" s="8" t="s">
        <v>241</v>
      </c>
      <c r="H1161" s="16">
        <v>20.0</v>
      </c>
      <c r="I1161" s="15" t="str">
        <f>SUBSTITUTE(Sheet1!K1161, "Rp", "")</f>
        <v>5856240</v>
      </c>
    </row>
    <row r="1162">
      <c r="A1162" s="8" t="s">
        <v>2782</v>
      </c>
      <c r="B1162" s="13" t="str">
        <f>HYPERLINK("https://shopee.co.id/La-Tulipe-Exfoliating-Serum-i.131133483.8567114636", "https://shopee.co.id/La-Tulipe-Exfoliating-Serum-i.131133483.8567114636")</f>
        <v>https://shopee.co.id/La-Tulipe-Exfoliating-Serum-i.131133483.8567114636</v>
      </c>
      <c r="C1162" s="8" t="s">
        <v>1761</v>
      </c>
      <c r="D1162" s="8" t="s">
        <v>1762</v>
      </c>
      <c r="E1162" s="8" t="s">
        <v>12</v>
      </c>
      <c r="F1162" s="8" t="s">
        <v>13</v>
      </c>
      <c r="G1162" s="8" t="s">
        <v>61</v>
      </c>
      <c r="H1162" s="16">
        <v>20.0</v>
      </c>
      <c r="I1162" s="15" t="str">
        <f>SUBSTITUTE(Sheet1!K1162, "Rp", "")</f>
        <v>1090200</v>
      </c>
    </row>
    <row r="1163">
      <c r="A1163" s="8" t="s">
        <v>1751</v>
      </c>
      <c r="B1163" s="13" t="str">
        <f>HYPERLINK("https://shopee.co.id/Natasha-by-dr-Fredi-Setyawan-Renewal-Diamond-Caviar-Serum-i.40121814.7937709056", "https://shopee.co.id/Natasha-by-dr-Fredi-Setyawan-Renewal-Diamond-Caviar-Serum-i.40121814.7937709056")</f>
        <v>https://shopee.co.id/Natasha-by-dr-Fredi-Setyawan-Renewal-Diamond-Caviar-Serum-i.40121814.7937709056</v>
      </c>
      <c r="C1163" s="8" t="s">
        <v>1752</v>
      </c>
      <c r="D1163" s="8" t="s">
        <v>794</v>
      </c>
      <c r="E1163" s="8" t="s">
        <v>12</v>
      </c>
      <c r="F1163" s="8" t="s">
        <v>13</v>
      </c>
      <c r="G1163" s="8" t="s">
        <v>380</v>
      </c>
      <c r="H1163" s="16">
        <v>20.0</v>
      </c>
      <c r="I1163" s="15" t="str">
        <f>SUBSTITUTE(Sheet1!K1163, "Rp", "")</f>
        <v>4956900</v>
      </c>
    </row>
    <row r="1164">
      <c r="A1164" s="8" t="s">
        <v>2374</v>
      </c>
      <c r="B1164" s="13" t="str">
        <f>HYPERLINK("https://shopee.co.id/Nourish-Beauty-Care-Wrinkle-Remover-Serum-Anti-Aging-Penuaan-Dini-Keriput-Awet-Muda-i.121791179.2263583050", "https://shopee.co.id/Nourish-Beauty-Care-Wrinkle-Remover-Serum-Anti-Aging-Penuaan-Dini-Keriput-Awet-Muda-i.121791179.2263583050")</f>
        <v>https://shopee.co.id/Nourish-Beauty-Care-Wrinkle-Remover-Serum-Anti-Aging-Penuaan-Dini-Keriput-Awet-Muda-i.121791179.2263583050</v>
      </c>
      <c r="C1164" s="8" t="s">
        <v>1309</v>
      </c>
      <c r="D1164" s="8" t="s">
        <v>1733</v>
      </c>
      <c r="E1164" s="8" t="s">
        <v>12</v>
      </c>
      <c r="F1164" s="8" t="s">
        <v>13</v>
      </c>
      <c r="G1164" s="8" t="s">
        <v>36</v>
      </c>
      <c r="H1164" s="16">
        <v>20.0</v>
      </c>
      <c r="I1164" s="15" t="str">
        <f>SUBSTITUTE(Sheet1!K1164, "Rp", "")</f>
        <v>2021600</v>
      </c>
    </row>
    <row r="1165">
      <c r="A1165" s="8" t="s">
        <v>1441</v>
      </c>
      <c r="B1165" s="13" t="str">
        <f>HYPERLINK("https://shopee.co.id/Olay-Serum-Wajah-RETINOL-24-Anti-Aging-Skincare-30ml-Paket-isi-2-i.11487927.5161209290", "https://shopee.co.id/Olay-Serum-Wajah-RETINOL-24-Anti-Aging-Skincare-30ml-Paket-isi-2-i.11487927.5161209290")</f>
        <v>https://shopee.co.id/Olay-Serum-Wajah-RETINOL-24-Anti-Aging-Skincare-30ml-Paket-isi-2-i.11487927.5161209290</v>
      </c>
      <c r="C1165" s="8" t="s">
        <v>317</v>
      </c>
      <c r="D1165" s="8" t="s">
        <v>318</v>
      </c>
      <c r="E1165" s="8" t="s">
        <v>12</v>
      </c>
      <c r="F1165" s="8" t="s">
        <v>13</v>
      </c>
      <c r="G1165" s="8" t="s">
        <v>296</v>
      </c>
      <c r="H1165" s="16">
        <v>20.0</v>
      </c>
      <c r="I1165" s="15" t="str">
        <f>SUBSTITUTE(Sheet1!K1165, "Rp", "")</f>
        <v>8369900</v>
      </c>
    </row>
    <row r="1166">
      <c r="A1166" s="8" t="s">
        <v>2267</v>
      </c>
      <c r="B1166" s="13" t="str">
        <f>HYPERLINK("https://shopee.co.id/OMNISKIN-Watermelon-Glow-Waterfull-Whitening-Serum-20ml-i.68111.10400434943", "https://shopee.co.id/OMNISKIN-Watermelon-Glow-Waterfull-Whitening-Serum-20ml-i.68111.10400434943")</f>
        <v>https://shopee.co.id/OMNISKIN-Watermelon-Glow-Waterfull-Whitening-Serum-20ml-i.68111.10400434943</v>
      </c>
      <c r="C1166" s="8" t="s">
        <v>2268</v>
      </c>
      <c r="D1166" s="8" t="s">
        <v>441</v>
      </c>
      <c r="E1166" s="8" t="s">
        <v>12</v>
      </c>
      <c r="F1166" s="8" t="s">
        <v>13</v>
      </c>
      <c r="G1166" s="8" t="s">
        <v>130</v>
      </c>
      <c r="H1166" s="16">
        <v>20.0</v>
      </c>
      <c r="I1166" s="15" t="str">
        <f>SUBSTITUTE(Sheet1!K1166, "Rp", "")</f>
        <v>2380000</v>
      </c>
    </row>
    <row r="1167">
      <c r="A1167" s="8" t="s">
        <v>3106</v>
      </c>
      <c r="B1167" s="13" t="str">
        <f>HYPERLINK("https://shopee.co.id/POND-S-Bright-Beauty-Perfect-Potion-Essence-50-mL-i.65323877.8677786286", "https://shopee.co.id/POND-S-Bright-Beauty-Perfect-Potion-Essence-50-mL-i.65323877.8677786286")</f>
        <v>https://shopee.co.id/POND-S-Bright-Beauty-Perfect-Potion-Essence-50-mL-i.65323877.8677786286</v>
      </c>
      <c r="C1167" s="8" t="s">
        <v>325</v>
      </c>
      <c r="D1167" s="8" t="s">
        <v>1600</v>
      </c>
      <c r="E1167" s="8" t="s">
        <v>12</v>
      </c>
      <c r="F1167" s="8" t="s">
        <v>13</v>
      </c>
      <c r="G1167" s="8" t="s">
        <v>296</v>
      </c>
      <c r="H1167" s="16">
        <v>20.0</v>
      </c>
      <c r="I1167" s="15" t="str">
        <f>SUBSTITUTE(Sheet1!K1167, "Rp", "")</f>
        <v>619800</v>
      </c>
    </row>
    <row r="1168">
      <c r="A1168" s="8" t="s">
        <v>2659</v>
      </c>
      <c r="B1168" s="13" t="str">
        <f>HYPERLINK("https://shopee.co.id/Probeauty-Lightening-Gold-Serum-Serum-Glowing-Anti-Aging-i.9171679.1497988947", "https://shopee.co.id/Probeauty-Lightening-Gold-Serum-Serum-Glowing-Anti-Aging-i.9171679.1497988947")</f>
        <v>https://shopee.co.id/Probeauty-Lightening-Gold-Serum-Serum-Glowing-Anti-Aging-i.9171679.1497988947</v>
      </c>
      <c r="C1168" s="8" t="s">
        <v>2207</v>
      </c>
      <c r="D1168" s="8" t="s">
        <v>2208</v>
      </c>
      <c r="E1168" s="8" t="s">
        <v>12</v>
      </c>
      <c r="F1168" s="8" t="s">
        <v>13</v>
      </c>
      <c r="G1168" s="8" t="s">
        <v>2209</v>
      </c>
      <c r="H1168" s="16">
        <v>20.0</v>
      </c>
      <c r="I1168" s="15" t="str">
        <f>SUBSTITUTE(Sheet1!K1168, "Rp", "")</f>
        <v>1301400</v>
      </c>
    </row>
    <row r="1169">
      <c r="A1169" s="8" t="s">
        <v>2670</v>
      </c>
      <c r="B1169" s="13" t="str">
        <f>HYPERLINK("https://shopee.co.id/Probio-C-Vitamin-C-Spray-50ml-i.121791179.5117580466", "https://shopee.co.id/Probio-C-Vitamin-C-Spray-50ml-i.121791179.5117580466")</f>
        <v>https://shopee.co.id/Probio-C-Vitamin-C-Spray-50ml-i.121791179.5117580466</v>
      </c>
      <c r="C1169" s="8" t="s">
        <v>2671</v>
      </c>
      <c r="D1169" s="8" t="s">
        <v>1733</v>
      </c>
      <c r="E1169" s="8" t="s">
        <v>12</v>
      </c>
      <c r="F1169" s="8" t="s">
        <v>13</v>
      </c>
      <c r="G1169" s="8" t="s">
        <v>36</v>
      </c>
      <c r="H1169" s="16">
        <v>20.0</v>
      </c>
      <c r="I1169" s="15" t="str">
        <f>SUBSTITUTE(Sheet1!K1169, "Rp", "")</f>
        <v>1282500</v>
      </c>
    </row>
    <row r="1170">
      <c r="A1170" s="8" t="s">
        <v>2395</v>
      </c>
      <c r="B1170" s="13" t="str">
        <f>HYPERLINK("https://shopee.co.id/Raiku-Hydrating-Glow-Serum-30-ml--i.82041605.3275450988", "https://shopee.co.id/Raiku-Hydrating-Glow-Serum-30-ml--i.82041605.3275450988")</f>
        <v>https://shopee.co.id/Raiku-Hydrating-Glow-Serum-30-ml--i.82041605.3275450988</v>
      </c>
      <c r="C1170" s="8" t="s">
        <v>2281</v>
      </c>
      <c r="D1170" s="8" t="s">
        <v>2282</v>
      </c>
      <c r="E1170" s="8" t="s">
        <v>12</v>
      </c>
      <c r="F1170" s="8" t="s">
        <v>13</v>
      </c>
      <c r="G1170" s="8" t="s">
        <v>21</v>
      </c>
      <c r="H1170" s="16">
        <v>20.0</v>
      </c>
      <c r="I1170" s="15" t="str">
        <f>SUBSTITUTE(Sheet1!K1170, "Rp", "")</f>
        <v>1971480</v>
      </c>
    </row>
    <row r="1171">
      <c r="A1171" s="8" t="s">
        <v>1868</v>
      </c>
      <c r="B1171" s="13" t="str">
        <f>HYPERLINK("https://shopee.co.id/SOMETHINC-C-RIOUSLY-24K-Gold-Essence-40ml-i.30736001.9835368888", "https://shopee.co.id/SOMETHINC-C-RIOUSLY-24K-Gold-Essence-40ml-i.30736001.9835368888")</f>
        <v>https://shopee.co.id/SOMETHINC-C-RIOUSLY-24K-Gold-Essence-40ml-i.30736001.9835368888</v>
      </c>
      <c r="C1171" s="8" t="s">
        <v>45</v>
      </c>
      <c r="D1171" s="8" t="s">
        <v>335</v>
      </c>
      <c r="E1171" s="8" t="s">
        <v>12</v>
      </c>
      <c r="F1171" s="8" t="s">
        <v>13</v>
      </c>
      <c r="G1171" s="8" t="s">
        <v>36</v>
      </c>
      <c r="H1171" s="16">
        <v>20.0</v>
      </c>
      <c r="I1171" s="15" t="str">
        <f>SUBSTITUTE(Sheet1!K1171, "Rp", "")</f>
        <v>4224500</v>
      </c>
    </row>
    <row r="1172">
      <c r="A1172" s="8" t="s">
        <v>2193</v>
      </c>
      <c r="B1172" s="13" t="str">
        <f>HYPERLINK("https://shopee.co.id/SOMETHINC-Holygrail-Multipeptide-Youth-Elixir-20ml-i.68111.11502131019", "https://shopee.co.id/SOMETHINC-Holygrail-Multipeptide-Youth-Elixir-20ml-i.68111.11502131019")</f>
        <v>https://shopee.co.id/SOMETHINC-Holygrail-Multipeptide-Youth-Elixir-20ml-i.68111.11502131019</v>
      </c>
      <c r="C1172" s="8" t="s">
        <v>45</v>
      </c>
      <c r="D1172" s="8" t="s">
        <v>441</v>
      </c>
      <c r="E1172" s="8" t="s">
        <v>12</v>
      </c>
      <c r="F1172" s="8" t="s">
        <v>13</v>
      </c>
      <c r="G1172" s="8" t="s">
        <v>130</v>
      </c>
      <c r="H1172" s="16">
        <v>20.0</v>
      </c>
      <c r="I1172" s="15" t="str">
        <f>SUBSTITUTE(Sheet1!K1172, "Rp", "")</f>
        <v>2580000</v>
      </c>
    </row>
    <row r="1173">
      <c r="A1173" s="8" t="s">
        <v>2519</v>
      </c>
      <c r="B1173" s="13" t="str">
        <f>HYPERLINK("https://shopee.co.id/Somethinc-5-Niacinamide-Barrier-Serum-20ml-40ml-i.50948181.5297764675", "https://shopee.co.id/Somethinc-5-Niacinamide-Barrier-Serum-20ml-40ml-i.50948181.5297764675")</f>
        <v>https://shopee.co.id/Somethinc-5-Niacinamide-Barrier-Serum-20ml-40ml-i.50948181.5297764675</v>
      </c>
      <c r="C1173" s="8" t="s">
        <v>45</v>
      </c>
      <c r="D1173" s="8" t="s">
        <v>1129</v>
      </c>
      <c r="E1173" s="8" t="s">
        <v>12</v>
      </c>
      <c r="F1173" s="8" t="s">
        <v>13</v>
      </c>
      <c r="G1173" s="8" t="s">
        <v>1130</v>
      </c>
      <c r="H1173" s="16">
        <v>19.0</v>
      </c>
      <c r="I1173" s="15" t="str">
        <f>SUBSTITUTE(Sheet1!K1173, "Rp", "")</f>
        <v>1655400</v>
      </c>
    </row>
    <row r="1174">
      <c r="A1174" s="8" t="s">
        <v>2099</v>
      </c>
      <c r="B1174" s="13" t="str">
        <f>HYPERLINK("https://shopee.co.id/Somethinc-Level-1-Retinol-20ml-i.50948181.3971047199", "https://shopee.co.id/Somethinc-Level-1-Retinol-20ml-i.50948181.3971047199")</f>
        <v>https://shopee.co.id/Somethinc-Level-1-Retinol-20ml-i.50948181.3971047199</v>
      </c>
      <c r="C1174" s="8" t="s">
        <v>45</v>
      </c>
      <c r="D1174" s="8" t="s">
        <v>1129</v>
      </c>
      <c r="E1174" s="8" t="s">
        <v>12</v>
      </c>
      <c r="F1174" s="8" t="s">
        <v>13</v>
      </c>
      <c r="G1174" s="8" t="s">
        <v>1130</v>
      </c>
      <c r="H1174" s="16">
        <v>19.0</v>
      </c>
      <c r="I1174" s="15" t="str">
        <f>SUBSTITUTE(Sheet1!K1174, "Rp", "")</f>
        <v>2972000</v>
      </c>
    </row>
    <row r="1175">
      <c r="A1175" s="8" t="s">
        <v>2170</v>
      </c>
      <c r="B1175" s="13" t="str">
        <f>HYPERLINK("https://shopee.co.id/Aizen-Carnosine-Astaxanthin-4-Ultra-Ampoule-Serum-Antioxidant-Anti-Aging-Kulit-Wajah-i.89939211.9309135092", "https://shopee.co.id/Aizen-Carnosine-Astaxanthin-4-Ultra-Ampoule-Serum-Antioxidant-Anti-Aging-Kulit-Wajah-i.89939211.9309135092")</f>
        <v>https://shopee.co.id/Aizen-Carnosine-Astaxanthin-4-Ultra-Ampoule-Serum-Antioxidant-Anti-Aging-Kulit-Wajah-i.89939211.9309135092</v>
      </c>
      <c r="C1175" s="8" t="s">
        <v>1325</v>
      </c>
      <c r="D1175" s="8" t="s">
        <v>1326</v>
      </c>
      <c r="E1175" s="8" t="s">
        <v>12</v>
      </c>
      <c r="F1175" s="8" t="s">
        <v>13</v>
      </c>
      <c r="G1175" s="8" t="s">
        <v>14</v>
      </c>
      <c r="H1175" s="16">
        <v>19.0</v>
      </c>
      <c r="I1175" s="15" t="str">
        <f>SUBSTITUTE(Sheet1!K1175, "Rp", "")</f>
        <v>2641000</v>
      </c>
    </row>
    <row r="1176">
      <c r="A1176" s="8" t="s">
        <v>1640</v>
      </c>
      <c r="B1176" s="13" t="str">
        <f>HYPERLINK("https://shopee.co.id/Avoskin-Hydrating-Treatment-Essence-100ml-i.30736001.11801973102", "https://shopee.co.id/Avoskin-Hydrating-Treatment-Essence-100ml-i.30736001.11801973102")</f>
        <v>https://shopee.co.id/Avoskin-Hydrating-Treatment-Essence-100ml-i.30736001.11801973102</v>
      </c>
      <c r="C1176" s="8" t="s">
        <v>83</v>
      </c>
      <c r="D1176" s="8" t="s">
        <v>335</v>
      </c>
      <c r="E1176" s="8" t="s">
        <v>12</v>
      </c>
      <c r="F1176" s="8" t="s">
        <v>13</v>
      </c>
      <c r="G1176" s="8" t="s">
        <v>36</v>
      </c>
      <c r="H1176" s="16">
        <v>19.0</v>
      </c>
      <c r="I1176" s="15" t="str">
        <f>SUBSTITUTE(Sheet1!K1176, "Rp", "")</f>
        <v>2071000</v>
      </c>
    </row>
    <row r="1177">
      <c r="A1177" s="8" t="s">
        <v>2018</v>
      </c>
      <c r="B1177" s="13" t="str">
        <f>HYPERLINK("https://shopee.co.id/AVOSKIN-Hydrating-Treatment-Essence-100ml-i.270965687.5776105587", "https://shopee.co.id/AVOSKIN-Hydrating-Treatment-Essence-100ml-i.270965687.5776105587")</f>
        <v>https://shopee.co.id/AVOSKIN-Hydrating-Treatment-Essence-100ml-i.270965687.5776105587</v>
      </c>
      <c r="C1177" s="8" t="s">
        <v>83</v>
      </c>
      <c r="D1177" s="8" t="s">
        <v>379</v>
      </c>
      <c r="E1177" s="8" t="s">
        <v>12</v>
      </c>
      <c r="F1177" s="8" t="s">
        <v>13</v>
      </c>
      <c r="G1177" s="8" t="s">
        <v>380</v>
      </c>
      <c r="H1177" s="16">
        <v>19.0</v>
      </c>
      <c r="I1177" s="15" t="str">
        <f>SUBSTITUTE(Sheet1!K1177, "Rp", "")</f>
        <v>1967450</v>
      </c>
    </row>
    <row r="1178">
      <c r="A1178" s="8" t="s">
        <v>3017</v>
      </c>
      <c r="B1178" s="13" t="str">
        <f>HYPERLINK("https://shopee.co.id/AZARINE-EYELUMINATE-FIRMING-SERUM-15-GR-i.50972887.3047386512", "https://shopee.co.id/AZARINE-EYELUMINATE-FIRMING-SERUM-15-GR-i.50972887.3047386512")</f>
        <v>https://shopee.co.id/AZARINE-EYELUMINATE-FIRMING-SERUM-15-GR-i.50972887.3047386512</v>
      </c>
      <c r="C1178" s="8" t="s">
        <v>233</v>
      </c>
      <c r="D1178" s="8" t="s">
        <v>552</v>
      </c>
      <c r="E1178" s="8" t="s">
        <v>12</v>
      </c>
      <c r="F1178" s="8" t="s">
        <v>13</v>
      </c>
      <c r="G1178" s="8" t="s">
        <v>61</v>
      </c>
      <c r="H1178" s="16">
        <v>19.0</v>
      </c>
      <c r="I1178" s="15" t="str">
        <f>SUBSTITUTE(Sheet1!K1178, "Rp", "")</f>
        <v>718637</v>
      </c>
    </row>
    <row r="1179">
      <c r="A1179" s="8" t="s">
        <v>2172</v>
      </c>
      <c r="B1179" s="13" t="str">
        <f>HYPERLINK("https://shopee.co.id/Beauty-of-Joseon-Serum-Glow-Calming-Repair--i.270965687.6568137488", "https://shopee.co.id/Beauty-of-Joseon-Serum-Glow-Calming-Repair--i.270965687.6568137488")</f>
        <v>https://shopee.co.id/Beauty-of-Joseon-Serum-Glow-Calming-Repair--i.270965687.6568137488</v>
      </c>
      <c r="C1179" s="8" t="s">
        <v>2173</v>
      </c>
      <c r="D1179" s="8" t="s">
        <v>379</v>
      </c>
      <c r="E1179" s="8" t="s">
        <v>12</v>
      </c>
      <c r="F1179" s="8" t="s">
        <v>13</v>
      </c>
      <c r="G1179" s="8" t="s">
        <v>380</v>
      </c>
      <c r="H1179" s="16">
        <v>19.0</v>
      </c>
      <c r="I1179" s="15" t="str">
        <f>SUBSTITUTE(Sheet1!K1179, "Rp", "")</f>
        <v>2641000</v>
      </c>
    </row>
    <row r="1180">
      <c r="A1180" s="8" t="s">
        <v>2105</v>
      </c>
      <c r="B1180" s="13" t="str">
        <f>HYPERLINK("https://shopee.co.id/Beauty-Package-Retinoid-Overnight-Oil-Niacinamide-Serum-i.124549994.9842526833", "https://shopee.co.id/Beauty-Package-Retinoid-Overnight-Oil-Niacinamide-Serum-i.124549994.9842526833")</f>
        <v>https://shopee.co.id/Beauty-Package-Retinoid-Overnight-Oil-Niacinamide-Serum-i.124549994.9842526833</v>
      </c>
      <c r="C1180" s="8" t="s">
        <v>807</v>
      </c>
      <c r="D1180" s="8" t="s">
        <v>808</v>
      </c>
      <c r="E1180" s="8" t="s">
        <v>12</v>
      </c>
      <c r="F1180" s="8" t="s">
        <v>13</v>
      </c>
      <c r="G1180" s="8" t="s">
        <v>61</v>
      </c>
      <c r="H1180" s="16">
        <v>19.0</v>
      </c>
      <c r="I1180" s="15" t="str">
        <f>SUBSTITUTE(Sheet1!K1180, "Rp", "")</f>
        <v>2950000</v>
      </c>
    </row>
    <row r="1181">
      <c r="A1181" s="8" t="s">
        <v>2627</v>
      </c>
      <c r="B1181" s="13" t="str">
        <f>HYPERLINK("https://shopee.co.id/Buy-1-Get-1-Bio-Essence-Bio-Water-Foamy-Cleanser-100-gr-i.63822287.12606216120", "https://shopee.co.id/Buy-1-Get-1-Bio-Essence-Bio-Water-Foamy-Cleanser-100-gr-i.63822287.12606216120")</f>
        <v>https://shopee.co.id/Buy-1-Get-1-Bio-Essence-Bio-Water-Foamy-Cleanser-100-gr-i.63822287.12606216120</v>
      </c>
      <c r="C1181" s="8" t="s">
        <v>1254</v>
      </c>
      <c r="D1181" s="8" t="s">
        <v>835</v>
      </c>
      <c r="E1181" s="8" t="s">
        <v>12</v>
      </c>
      <c r="F1181" s="8" t="s">
        <v>13</v>
      </c>
      <c r="G1181" s="8" t="s">
        <v>61</v>
      </c>
      <c r="H1181" s="16">
        <v>19.0</v>
      </c>
      <c r="I1181" s="15" t="str">
        <f>SUBSTITUTE(Sheet1!K1181, "Rp", "")</f>
        <v>1377500</v>
      </c>
    </row>
    <row r="1182">
      <c r="A1182" s="8" t="s">
        <v>1995</v>
      </c>
      <c r="B1182" s="13" t="str">
        <f>HYPERLINK("https://shopee.co.id/Cosrx-Advance-Snail-96-Mucin-Power-Essence-100ml-i.136011044.3942139389", "https://shopee.co.id/Cosrx-Advance-Snail-96-Mucin-Power-Essence-100ml-i.136011044.3942139389")</f>
        <v>https://shopee.co.id/Cosrx-Advance-Snail-96-Mucin-Power-Essence-100ml-i.136011044.3942139389</v>
      </c>
      <c r="C1182" s="8" t="s">
        <v>305</v>
      </c>
      <c r="D1182" s="8" t="s">
        <v>632</v>
      </c>
      <c r="E1182" s="8" t="s">
        <v>12</v>
      </c>
      <c r="F1182" s="8" t="s">
        <v>13</v>
      </c>
      <c r="G1182" s="8" t="s">
        <v>21</v>
      </c>
      <c r="H1182" s="16">
        <v>19.0</v>
      </c>
      <c r="I1182" s="15" t="str">
        <f>SUBSTITUTE(Sheet1!K1182, "Rp", "")</f>
        <v>3515000</v>
      </c>
    </row>
    <row r="1183">
      <c r="A1183" s="8" t="s">
        <v>2418</v>
      </c>
      <c r="B1183" s="13" t="str">
        <f>HYPERLINK("https://shopee.co.id/Garnier-Sakura-White-Booster-Serum-15ml-Micellar-Water-Pink-400ml-Untuk-Kulit-Bersih-Glowing--i.62583853.7979191071", "https://shopee.co.id/Garnier-Sakura-White-Booster-Serum-15ml-Micellar-Water-Pink-400ml-Untuk-Kulit-Bersih-Glowing--i.62583853.7979191071")</f>
        <v>https://shopee.co.id/Garnier-Sakura-White-Booster-Serum-15ml-Micellar-Water-Pink-400ml-Untuk-Kulit-Bersih-Glowing--i.62583853.7979191071</v>
      </c>
      <c r="C1183" s="8" t="s">
        <v>74</v>
      </c>
      <c r="D1183" s="8" t="s">
        <v>75</v>
      </c>
      <c r="E1183" s="8" t="s">
        <v>12</v>
      </c>
      <c r="F1183" s="8" t="s">
        <v>13</v>
      </c>
      <c r="G1183" s="8" t="s">
        <v>61</v>
      </c>
      <c r="H1183" s="16">
        <v>19.0</v>
      </c>
      <c r="I1183" s="15" t="str">
        <f>SUBSTITUTE(Sheet1!K1183, "Rp", "")</f>
        <v>1891100</v>
      </c>
    </row>
    <row r="1184">
      <c r="A1184" s="8" t="s">
        <v>2655</v>
      </c>
      <c r="B1184" s="13" t="str">
        <f>HYPERLINK("https://shopee.co.id/HAYEJIN-Blessing-of-Sprout-Enriched-Serum-10ml-i.318720131.9702107812", "https://shopee.co.id/HAYEJIN-Blessing-of-Sprout-Enriched-Serum-10ml-i.318720131.9702107812")</f>
        <v>https://shopee.co.id/HAYEJIN-Blessing-of-Sprout-Enriched-Serum-10ml-i.318720131.9702107812</v>
      </c>
      <c r="C1184" s="8" t="s">
        <v>761</v>
      </c>
      <c r="D1184" s="8" t="s">
        <v>823</v>
      </c>
      <c r="E1184" s="8" t="s">
        <v>12</v>
      </c>
      <c r="F1184" s="8" t="s">
        <v>13</v>
      </c>
      <c r="G1184" s="8" t="s">
        <v>98</v>
      </c>
      <c r="H1184" s="16">
        <v>19.0</v>
      </c>
      <c r="I1184" s="15" t="str">
        <f>SUBSTITUTE(Sheet1!K1184, "Rp", "")</f>
        <v>1311000</v>
      </c>
    </row>
    <row r="1185">
      <c r="A1185" s="8" t="s">
        <v>2696</v>
      </c>
      <c r="B1185" s="13" t="str">
        <f>HYPERLINK("https://shopee.co.id/Humphrey-Gold-Whitening-Plus-Serum-20ml-Anti-Aging-Keriput--i.83349.1725209715", "https://shopee.co.id/Humphrey-Gold-Whitening-Plus-Serum-20ml-Anti-Aging-Keriput--i.83349.1725209715")</f>
        <v>https://shopee.co.id/Humphrey-Gold-Whitening-Plus-Serum-20ml-Anti-Aging-Keriput--i.83349.1725209715</v>
      </c>
      <c r="C1185" s="8" t="s">
        <v>1832</v>
      </c>
      <c r="D1185" s="8" t="s">
        <v>1833</v>
      </c>
      <c r="E1185" s="8" t="s">
        <v>12</v>
      </c>
      <c r="F1185" s="8" t="s">
        <v>13</v>
      </c>
      <c r="G1185" s="8" t="s">
        <v>21</v>
      </c>
      <c r="H1185" s="16">
        <v>19.0</v>
      </c>
      <c r="I1185" s="15" t="str">
        <f>SUBSTITUTE(Sheet1!K1185, "Rp", "")</f>
        <v>1235850</v>
      </c>
    </row>
    <row r="1186">
      <c r="A1186" s="8" t="s">
        <v>2017</v>
      </c>
      <c r="B1186" s="13" t="str">
        <f>HYPERLINK("https://shopee.co.id/Joylab-Skinotic-Water-Essence-50ml-with-Probiotic-i.127604258.6526035544", "https://shopee.co.id/Joylab-Skinotic-Water-Essence-50ml-with-Probiotic-i.127604258.6526035544")</f>
        <v>https://shopee.co.id/Joylab-Skinotic-Water-Essence-50ml-with-Probiotic-i.127604258.6526035544</v>
      </c>
      <c r="C1186" s="8" t="s">
        <v>1795</v>
      </c>
      <c r="D1186" s="8" t="s">
        <v>1796</v>
      </c>
      <c r="E1186" s="8" t="s">
        <v>12</v>
      </c>
      <c r="F1186" s="8" t="s">
        <v>13</v>
      </c>
      <c r="G1186" s="8" t="s">
        <v>98</v>
      </c>
      <c r="H1186" s="16">
        <v>19.0</v>
      </c>
      <c r="I1186" s="15" t="str">
        <f>SUBSTITUTE(Sheet1!K1186, "Rp", "")</f>
        <v>3403400</v>
      </c>
    </row>
    <row r="1187">
      <c r="A1187" s="8" t="s">
        <v>2159</v>
      </c>
      <c r="B1187" s="13" t="str">
        <f>HYPERLINK("https://shopee.co.id/JUMISO-All-Day-Vitamin-Brightening-Balancing-Facial-Serum-30ml-i.270965687.9322947004", "https://shopee.co.id/JUMISO-All-Day-Vitamin-Brightening-Balancing-Facial-Serum-30ml-i.270965687.9322947004")</f>
        <v>https://shopee.co.id/JUMISO-All-Day-Vitamin-Brightening-Balancing-Facial-Serum-30ml-i.270965687.9322947004</v>
      </c>
      <c r="C1187" s="8" t="s">
        <v>1113</v>
      </c>
      <c r="D1187" s="8" t="s">
        <v>379</v>
      </c>
      <c r="E1187" s="8" t="s">
        <v>12</v>
      </c>
      <c r="F1187" s="8" t="s">
        <v>13</v>
      </c>
      <c r="G1187" s="8" t="s">
        <v>380</v>
      </c>
      <c r="H1187" s="16">
        <v>19.0</v>
      </c>
      <c r="I1187" s="15" t="str">
        <f>SUBSTITUTE(Sheet1!K1187, "Rp", "")</f>
        <v>2696000</v>
      </c>
    </row>
    <row r="1188">
      <c r="A1188" s="8" t="s">
        <v>2378</v>
      </c>
      <c r="B1188" s="13" t="str">
        <f>HYPERLINK("https://shopee.co.id/KF-Skin-Serum-Pearl-i.298365554.7652075103", "https://shopee.co.id/KF-Skin-Serum-Pearl-i.298365554.7652075103")</f>
        <v>https://shopee.co.id/KF-Skin-Serum-Pearl-i.298365554.7652075103</v>
      </c>
      <c r="C1188" s="8" t="s">
        <v>1290</v>
      </c>
      <c r="D1188" s="8" t="s">
        <v>1291</v>
      </c>
      <c r="E1188" s="8" t="s">
        <v>12</v>
      </c>
      <c r="F1188" s="8" t="s">
        <v>13</v>
      </c>
      <c r="G1188" s="8" t="s">
        <v>1292</v>
      </c>
      <c r="H1188" s="16">
        <v>19.0</v>
      </c>
      <c r="I1188" s="15" t="str">
        <f>SUBSTITUTE(Sheet1!K1188, "Rp", "")</f>
        <v>2018750</v>
      </c>
    </row>
    <row r="1189">
      <c r="A1189" s="8" t="s">
        <v>1790</v>
      </c>
      <c r="B1189" s="13" t="str">
        <f>HYPERLINK("https://shopee.co.id/Le-d-Olla-Nuovo-Caviar-Ginseng-Essence-i.300470589.5748751111", "https://shopee.co.id/Le-d-Olla-Nuovo-Caviar-Ginseng-Essence-i.300470589.5748751111")</f>
        <v>https://shopee.co.id/Le-d-Olla-Nuovo-Caviar-Ginseng-Essence-i.300470589.5748751111</v>
      </c>
      <c r="C1189" s="8" t="s">
        <v>1791</v>
      </c>
      <c r="D1189" s="8" t="s">
        <v>1792</v>
      </c>
      <c r="E1189" s="8" t="s">
        <v>12</v>
      </c>
      <c r="F1189" s="8" t="s">
        <v>13</v>
      </c>
      <c r="G1189" s="8" t="s">
        <v>98</v>
      </c>
      <c r="H1189" s="16">
        <v>19.0</v>
      </c>
      <c r="I1189" s="15" t="str">
        <f>SUBSTITUTE(Sheet1!K1189, "Rp", "")</f>
        <v>4759500</v>
      </c>
    </row>
    <row r="1190">
      <c r="A1190" s="8" t="s">
        <v>2504</v>
      </c>
      <c r="B1190" s="13" t="str">
        <f>HYPERLINK("https://shopee.co.id/Mazaya-Dermo-Anti-Aging-Serum-with-Astaxanthin-15ml-i.111075825.2835092373", "https://shopee.co.id/Mazaya-Dermo-Anti-Aging-Serum-with-Astaxanthin-15ml-i.111075825.2835092373")</f>
        <v>https://shopee.co.id/Mazaya-Dermo-Anti-Aging-Serum-with-Astaxanthin-15ml-i.111075825.2835092373</v>
      </c>
      <c r="C1190" s="8" t="s">
        <v>2196</v>
      </c>
      <c r="D1190" s="8" t="s">
        <v>2197</v>
      </c>
      <c r="E1190" s="8" t="s">
        <v>12</v>
      </c>
      <c r="F1190" s="8" t="s">
        <v>13</v>
      </c>
      <c r="G1190" s="8" t="s">
        <v>1048</v>
      </c>
      <c r="H1190" s="16">
        <v>19.0</v>
      </c>
      <c r="I1190" s="15" t="str">
        <f>SUBSTITUTE(Sheet1!K1190, "Rp", "")</f>
        <v>1693000</v>
      </c>
    </row>
    <row r="1191">
      <c r="A1191" s="8" t="s">
        <v>2570</v>
      </c>
      <c r="B1191" s="13" t="str">
        <f>HYPERLINK("https://shopee.co.id/Mineral-Botanica-First-Defense-Serum-i.124549994.7365468019", "https://shopee.co.id/Mineral-Botanica-First-Defense-Serum-i.124549994.7365468019")</f>
        <v>https://shopee.co.id/Mineral-Botanica-First-Defense-Serum-i.124549994.7365468019</v>
      </c>
      <c r="C1191" s="8" t="s">
        <v>807</v>
      </c>
      <c r="D1191" s="8" t="s">
        <v>808</v>
      </c>
      <c r="E1191" s="8" t="s">
        <v>12</v>
      </c>
      <c r="F1191" s="8" t="s">
        <v>13</v>
      </c>
      <c r="G1191" s="8" t="s">
        <v>80</v>
      </c>
      <c r="H1191" s="16">
        <v>19.0</v>
      </c>
      <c r="I1191" s="15" t="str">
        <f>SUBSTITUTE(Sheet1!K1191, "Rp", "")</f>
        <v>1548785</v>
      </c>
    </row>
    <row r="1192">
      <c r="A1192" s="8" t="s">
        <v>2891</v>
      </c>
      <c r="B1192" s="13" t="str">
        <f>HYPERLINK("https://shopee.co.id/NURISH-ORGANIQ-24K-Face-Essence-20-mL-Perawatan-Kecantikan-Essense-Wajah-i.238368383.7737530572", "https://shopee.co.id/NURISH-ORGANIQ-24K-Face-Essence-20-mL-Perawatan-Kecantikan-Essense-Wajah-i.238368383.7737530572")</f>
        <v>https://shopee.co.id/NURISH-ORGANIQ-24K-Face-Essence-20-mL-Perawatan-Kecantikan-Essense-Wajah-i.238368383.7737530572</v>
      </c>
      <c r="C1192" s="8" t="s">
        <v>2892</v>
      </c>
      <c r="D1192" s="8" t="s">
        <v>2893</v>
      </c>
      <c r="E1192" s="8" t="s">
        <v>12</v>
      </c>
      <c r="F1192" s="8" t="s">
        <v>13</v>
      </c>
      <c r="G1192" s="8" t="s">
        <v>21</v>
      </c>
      <c r="H1192" s="16">
        <v>19.0</v>
      </c>
      <c r="I1192" s="15" t="str">
        <f>SUBSTITUTE(Sheet1!K1192, "Rp", "")</f>
        <v>906300</v>
      </c>
    </row>
    <row r="1193">
      <c r="A1193" s="8" t="s">
        <v>2312</v>
      </c>
      <c r="B1193" s="13" t="str">
        <f>HYPERLINK("https://shopee.co.id/Osho-Phyto-Natural-Enrich-Whitening-Essence-45-ml-i.69409544.6607894075", "https://shopee.co.id/Osho-Phyto-Natural-Enrich-Whitening-Essence-45-ml-i.69409544.6607894075")</f>
        <v>https://shopee.co.id/Osho-Phyto-Natural-Enrich-Whitening-Essence-45-ml-i.69409544.6607894075</v>
      </c>
      <c r="C1193" s="8" t="s">
        <v>2313</v>
      </c>
      <c r="D1193" s="8" t="s">
        <v>2314</v>
      </c>
      <c r="E1193" s="8" t="s">
        <v>12</v>
      </c>
      <c r="F1193" s="8" t="s">
        <v>13</v>
      </c>
      <c r="G1193" s="8" t="s">
        <v>98</v>
      </c>
      <c r="H1193" s="16">
        <v>19.0</v>
      </c>
      <c r="I1193" s="15" t="str">
        <f>SUBSTITUTE(Sheet1!K1193, "Rp", "")</f>
        <v>2231000</v>
      </c>
    </row>
    <row r="1194">
      <c r="A1194" s="8" t="s">
        <v>1914</v>
      </c>
      <c r="B1194" s="13" t="str">
        <f>HYPERLINK("https://shopee.co.id/Safi-Age-Defy-Concentrated-Serum-20ml-Twinpack-Special-i.63823668.6784978581", "https://shopee.co.id/Safi-Age-Defy-Concentrated-Serum-20ml-Twinpack-Special-i.63823668.6784978581")</f>
        <v>https://shopee.co.id/Safi-Age-Defy-Concentrated-Serum-20ml-Twinpack-Special-i.63823668.6784978581</v>
      </c>
      <c r="C1194" s="8" t="s">
        <v>278</v>
      </c>
      <c r="D1194" s="8" t="s">
        <v>279</v>
      </c>
      <c r="E1194" s="8" t="s">
        <v>12</v>
      </c>
      <c r="F1194" s="8" t="s">
        <v>13</v>
      </c>
      <c r="G1194" s="8" t="s">
        <v>61</v>
      </c>
      <c r="H1194" s="16">
        <v>19.0</v>
      </c>
      <c r="I1194" s="15" t="str">
        <f>SUBSTITUTE(Sheet1!K1194, "Rp", "")</f>
        <v>3953700</v>
      </c>
    </row>
    <row r="1195">
      <c r="A1195" s="8" t="s">
        <v>2505</v>
      </c>
      <c r="B1195" s="13" t="str">
        <f>HYPERLINK("https://shopee.co.id/Somethinc-Bakuchiol-Skinpair-Oil-Serum-20ml-i.825870.8832197978", "https://shopee.co.id/Somethinc-Bakuchiol-Skinpair-Oil-Serum-20ml-i.825870.8832197978")</f>
        <v>https://shopee.co.id/Somethinc-Bakuchiol-Skinpair-Oil-Serum-20ml-i.825870.8832197978</v>
      </c>
      <c r="C1195" s="8" t="s">
        <v>45</v>
      </c>
      <c r="D1195" s="8" t="s">
        <v>1184</v>
      </c>
      <c r="E1195" s="8" t="s">
        <v>12</v>
      </c>
      <c r="F1195" s="8" t="s">
        <v>13</v>
      </c>
      <c r="G1195" s="8" t="s">
        <v>21</v>
      </c>
      <c r="H1195" s="16">
        <v>19.0</v>
      </c>
      <c r="I1195" s="15" t="str">
        <f>SUBSTITUTE(Sheet1!K1195, "Rp", "")</f>
        <v>1691000</v>
      </c>
    </row>
    <row r="1196">
      <c r="A1196" s="8" t="s">
        <v>1864</v>
      </c>
      <c r="B1196" s="13" t="str">
        <f>HYPERLINK("https://shopee.co.id/SOMETHINC-CRIOUSLY-24K-GOLD-Essence-40ml--i.68111.7718509455", "https://shopee.co.id/SOMETHINC-CRIOUSLY-24K-GOLD-Essence-40ml--i.68111.7718509455")</f>
        <v>https://shopee.co.id/SOMETHINC-CRIOUSLY-24K-GOLD-Essence-40ml--i.68111.7718509455</v>
      </c>
      <c r="C1196" s="8" t="s">
        <v>45</v>
      </c>
      <c r="D1196" s="8" t="s">
        <v>441</v>
      </c>
      <c r="E1196" s="8" t="s">
        <v>12</v>
      </c>
      <c r="F1196" s="8" t="s">
        <v>13</v>
      </c>
      <c r="G1196" s="8" t="s">
        <v>130</v>
      </c>
      <c r="H1196" s="16">
        <v>19.0</v>
      </c>
      <c r="I1196" s="15" t="str">
        <f>SUBSTITUTE(Sheet1!K1196, "Rp", "")</f>
        <v>4284500</v>
      </c>
    </row>
    <row r="1197">
      <c r="A1197" s="8" t="s">
        <v>2106</v>
      </c>
      <c r="B1197" s="13" t="str">
        <f>HYPERLINK("https://shopee.co.id/TRUEVE-BHA-Cica-Acne-Serum-30ml-i.270965687.8022971618", "https://shopee.co.id/TRUEVE-BHA-Cica-Acne-Serum-30ml-i.270965687.8022971618")</f>
        <v>https://shopee.co.id/TRUEVE-BHA-Cica-Acne-Serum-30ml-i.270965687.8022971618</v>
      </c>
      <c r="C1197" s="8" t="s">
        <v>34</v>
      </c>
      <c r="D1197" s="8" t="s">
        <v>379</v>
      </c>
      <c r="E1197" s="8" t="s">
        <v>12</v>
      </c>
      <c r="F1197" s="8" t="s">
        <v>13</v>
      </c>
      <c r="G1197" s="8" t="s">
        <v>380</v>
      </c>
      <c r="H1197" s="16">
        <v>19.0</v>
      </c>
      <c r="I1197" s="15" t="str">
        <f>SUBSTITUTE(Sheet1!K1197, "Rp", "")</f>
        <v>2945000</v>
      </c>
    </row>
    <row r="1198">
      <c r="A1198" s="8" t="s">
        <v>2625</v>
      </c>
      <c r="B1198" s="13" t="str">
        <f>HYPERLINK("https://shopee.co.id/Wardah-Treatment-Essence-50ml-i.30736001.9568008321", "https://shopee.co.id/Wardah-Treatment-Essence-50ml-i.30736001.9568008321")</f>
        <v>https://shopee.co.id/Wardah-Treatment-Essence-50ml-i.30736001.9568008321</v>
      </c>
      <c r="C1198" s="8" t="s">
        <v>169</v>
      </c>
      <c r="D1198" s="8" t="s">
        <v>335</v>
      </c>
      <c r="E1198" s="8" t="s">
        <v>12</v>
      </c>
      <c r="F1198" s="8" t="s">
        <v>13</v>
      </c>
      <c r="G1198" s="8" t="s">
        <v>36</v>
      </c>
      <c r="H1198" s="16">
        <v>19.0</v>
      </c>
      <c r="I1198" s="15" t="str">
        <f>SUBSTITUTE(Sheet1!K1198, "Rp", "")</f>
        <v>1381500</v>
      </c>
    </row>
    <row r="1199">
      <c r="A1199" s="8" t="s">
        <v>2490</v>
      </c>
      <c r="B1199" s="13" t="str">
        <f>HYPERLINK("https://shopee.co.id/Wardah-White-Secret-Pure-Treatment-Essence-i.24819895.6472759772", "https://shopee.co.id/Wardah-White-Secret-Pure-Treatment-Essence-i.24819895.6472759772")</f>
        <v>https://shopee.co.id/Wardah-White-Secret-Pure-Treatment-Essence-i.24819895.6472759772</v>
      </c>
      <c r="C1199" s="8" t="s">
        <v>169</v>
      </c>
      <c r="D1199" s="8" t="s">
        <v>2491</v>
      </c>
      <c r="E1199" s="8" t="s">
        <v>12</v>
      </c>
      <c r="F1199" s="8" t="s">
        <v>13</v>
      </c>
      <c r="G1199" s="8" t="s">
        <v>1085</v>
      </c>
      <c r="H1199" s="16">
        <v>19.0</v>
      </c>
      <c r="I1199" s="15" t="str">
        <f>SUBSTITUTE(Sheet1!K1199, "Rp", "")</f>
        <v>1732000</v>
      </c>
    </row>
    <row r="1200">
      <c r="A1200" s="8" t="s">
        <v>3116</v>
      </c>
      <c r="B1200" s="13" t="str">
        <f>HYPERLINK("https://shopee.co.id/-2-Pcs-Hanasui-Vitamin-C-Collagen-Serum-20ml-i.121791179.4752977402", "https://shopee.co.id/-2-Pcs-Hanasui-Vitamin-C-Collagen-Serum-20ml-i.121791179.4752977402")</f>
        <v>https://shopee.co.id/-2-Pcs-Hanasui-Vitamin-C-Collagen-Serum-20ml-i.121791179.4752977402</v>
      </c>
      <c r="C1200" s="8" t="s">
        <v>784</v>
      </c>
      <c r="D1200" s="8" t="s">
        <v>1733</v>
      </c>
      <c r="E1200" s="8" t="s">
        <v>12</v>
      </c>
      <c r="F1200" s="8" t="s">
        <v>13</v>
      </c>
      <c r="G1200" s="8" t="s">
        <v>36</v>
      </c>
      <c r="H1200" s="16">
        <v>18.0</v>
      </c>
      <c r="I1200" s="15" t="str">
        <f>SUBSTITUTE(Sheet1!K1200, "Rp", "")</f>
        <v>604800</v>
      </c>
    </row>
    <row r="1201">
      <c r="A1201" s="8" t="s">
        <v>1411</v>
      </c>
      <c r="B1201" s="13" t="str">
        <f>HYPERLINK("https://shopee.co.id/-Buy-1-Get-1-Bio-Essence-Bio-Vlift-Face-Lifting-Cream-45gr-i.63822287.3266809862", "https://shopee.co.id/-Buy-1-Get-1-Bio-Essence-Bio-Vlift-Face-Lifting-Cream-45gr-i.63822287.3266809862")</f>
        <v>https://shopee.co.id/-Buy-1-Get-1-Bio-Essence-Bio-Vlift-Face-Lifting-Cream-45gr-i.63822287.3266809862</v>
      </c>
      <c r="C1201" s="8" t="s">
        <v>1254</v>
      </c>
      <c r="D1201" s="8" t="s">
        <v>835</v>
      </c>
      <c r="E1201" s="8" t="s">
        <v>12</v>
      </c>
      <c r="F1201" s="8" t="s">
        <v>13</v>
      </c>
      <c r="G1201" s="8" t="s">
        <v>61</v>
      </c>
      <c r="H1201" s="16">
        <v>18.0</v>
      </c>
      <c r="I1201" s="15" t="str">
        <f>SUBSTITUTE(Sheet1!K1201, "Rp", "")</f>
        <v>8675400</v>
      </c>
    </row>
    <row r="1202">
      <c r="A1202" s="8" t="s">
        <v>2663</v>
      </c>
      <c r="B1202" s="13" t="str">
        <f>HYPERLINK("https://shopee.co.id/Dear-Me-Beauty-Single-Activator-Face-Serum-12ml-32ml-i.136011044.9850026312", "https://shopee.co.id/Dear-Me-Beauty-Single-Activator-Face-Serum-12ml-32ml-i.136011044.9850026312")</f>
        <v>https://shopee.co.id/Dear-Me-Beauty-Single-Activator-Face-Serum-12ml-32ml-i.136011044.9850026312</v>
      </c>
      <c r="C1202" s="8" t="s">
        <v>70</v>
      </c>
      <c r="D1202" s="8" t="s">
        <v>632</v>
      </c>
      <c r="E1202" s="8" t="s">
        <v>12</v>
      </c>
      <c r="F1202" s="8" t="s">
        <v>13</v>
      </c>
      <c r="G1202" s="8" t="s">
        <v>21</v>
      </c>
      <c r="H1202" s="16">
        <v>18.0</v>
      </c>
      <c r="I1202" s="15" t="str">
        <f>SUBSTITUTE(Sheet1!K1202, "Rp", "")</f>
        <v>1292900</v>
      </c>
    </row>
    <row r="1203">
      <c r="A1203" s="8" t="s">
        <v>2147</v>
      </c>
      <c r="B1203" s="13" t="str">
        <f>HYPERLINK("https://shopee.co.id/FIRST-LAB-FIRST-LAB-Resveratrol-Ampoule-10ml-i.68111.2258687710", "https://shopee.co.id/FIRST-LAB-FIRST-LAB-Resveratrol-Ampoule-10ml-i.68111.2258687710")</f>
        <v>https://shopee.co.id/FIRST-LAB-FIRST-LAB-Resveratrol-Ampoule-10ml-i.68111.2258687710</v>
      </c>
      <c r="C1203" s="8" t="s">
        <v>1617</v>
      </c>
      <c r="D1203" s="8" t="s">
        <v>441</v>
      </c>
      <c r="E1203" s="8" t="s">
        <v>12</v>
      </c>
      <c r="F1203" s="8" t="s">
        <v>13</v>
      </c>
      <c r="G1203" s="8" t="s">
        <v>130</v>
      </c>
      <c r="H1203" s="16">
        <v>18.0</v>
      </c>
      <c r="I1203" s="15" t="str">
        <f>SUBSTITUTE(Sheet1!K1203, "Rp", "")</f>
        <v>2729870</v>
      </c>
    </row>
    <row r="1204">
      <c r="A1204" s="8" t="s">
        <v>1613</v>
      </c>
      <c r="B1204" s="13" t="str">
        <f>HYPERLINK("https://shopee.co.id/Fresh-Herb-Origin-Simple-Set-i.238604292.3780442246", "https://shopee.co.id/Fresh-Herb-Origin-Simple-Set-i.238604292.3780442246")</f>
        <v>https://shopee.co.id/Fresh-Herb-Origin-Simple-Set-i.238604292.3780442246</v>
      </c>
      <c r="C1204" s="8" t="s">
        <v>344</v>
      </c>
      <c r="D1204" s="8" t="s">
        <v>918</v>
      </c>
      <c r="E1204" s="8" t="s">
        <v>12</v>
      </c>
      <c r="F1204" s="8" t="s">
        <v>13</v>
      </c>
      <c r="G1204" s="8" t="s">
        <v>80</v>
      </c>
      <c r="H1204" s="16">
        <v>18.0</v>
      </c>
      <c r="I1204" s="15" t="str">
        <f>SUBSTITUTE(Sheet1!K1204, "Rp", "")</f>
        <v>6244500</v>
      </c>
    </row>
    <row r="1205">
      <c r="A1205" s="8" t="s">
        <v>1747</v>
      </c>
      <c r="B1205" s="13" t="str">
        <f>HYPERLINK("https://shopee.co.id/KLAIRS-Freshly-Juiced-Vitamin-Drop-35ml-i.68111.315854887", "https://shopee.co.id/KLAIRS-Freshly-Juiced-Vitamin-Drop-35ml-i.68111.315854887")</f>
        <v>https://shopee.co.id/KLAIRS-Freshly-Juiced-Vitamin-Drop-35ml-i.68111.315854887</v>
      </c>
      <c r="C1205" s="8" t="s">
        <v>432</v>
      </c>
      <c r="D1205" s="8" t="s">
        <v>441</v>
      </c>
      <c r="E1205" s="8" t="s">
        <v>12</v>
      </c>
      <c r="F1205" s="8" t="s">
        <v>13</v>
      </c>
      <c r="G1205" s="8" t="s">
        <v>130</v>
      </c>
      <c r="H1205" s="16">
        <v>18.0</v>
      </c>
      <c r="I1205" s="15" t="str">
        <f>SUBSTITUTE(Sheet1!K1205, "Rp", "")</f>
        <v>5005000</v>
      </c>
    </row>
    <row r="1206">
      <c r="A1206" s="8" t="s">
        <v>977</v>
      </c>
      <c r="B1206" s="13" t="str">
        <f>HYPERLINK("https://shopee.co.id/L-Occitane-Immortelle-Reset-Triphase-Essence-150ml-i.88079439.2943809422", "https://shopee.co.id/L-Occitane-Immortelle-Reset-Triphase-Essence-150ml-i.88079439.2943809422")</f>
        <v>https://shopee.co.id/L-Occitane-Immortelle-Reset-Triphase-Essence-150ml-i.88079439.2943809422</v>
      </c>
      <c r="C1206" s="8" t="s">
        <v>579</v>
      </c>
      <c r="D1206" s="8" t="s">
        <v>580</v>
      </c>
      <c r="E1206" s="8" t="s">
        <v>12</v>
      </c>
      <c r="F1206" s="8" t="s">
        <v>13</v>
      </c>
      <c r="G1206" s="8" t="s">
        <v>532</v>
      </c>
      <c r="H1206" s="16">
        <v>18.0</v>
      </c>
      <c r="I1206" s="15" t="str">
        <f>SUBSTITUTE(Sheet1!K1206, "Rp", "")</f>
        <v>19800000</v>
      </c>
    </row>
    <row r="1207">
      <c r="A1207" s="8" t="s">
        <v>2079</v>
      </c>
      <c r="B1207" s="13" t="str">
        <f>HYPERLINK("https://shopee.co.id/L-OREAL-L-Oreal-Paris-Revitalift-Crystal-Micro-Essence-65ml-i.30736001.5237175735", "https://shopee.co.id/L-OREAL-L-Oreal-Paris-Revitalift-Crystal-Micro-Essence-65ml-i.30736001.5237175735")</f>
        <v>https://shopee.co.id/L-OREAL-L-Oreal-Paris-Revitalift-Crystal-Micro-Essence-65ml-i.30736001.5237175735</v>
      </c>
      <c r="C1207" s="8" t="s">
        <v>105</v>
      </c>
      <c r="D1207" s="8" t="s">
        <v>335</v>
      </c>
      <c r="E1207" s="8" t="s">
        <v>12</v>
      </c>
      <c r="F1207" s="8" t="s">
        <v>13</v>
      </c>
      <c r="G1207" s="8" t="s">
        <v>36</v>
      </c>
      <c r="H1207" s="16">
        <v>18.0</v>
      </c>
      <c r="I1207" s="15" t="str">
        <f>SUBSTITUTE(Sheet1!K1207, "Rp", "")</f>
        <v>3105900</v>
      </c>
    </row>
    <row r="1208">
      <c r="A1208" s="8" t="s">
        <v>2368</v>
      </c>
      <c r="B1208" s="13" t="str">
        <f>HYPERLINK("https://shopee.co.id/L-OREAL-Revitalift-Hyaluronic-Acid-Serum-Skin-Care-15ml-i.30736001.9945030316", "https://shopee.co.id/L-OREAL-Revitalift-Hyaluronic-Acid-Serum-Skin-Care-15ml-i.30736001.9945030316")</f>
        <v>https://shopee.co.id/L-OREAL-Revitalift-Hyaluronic-Acid-Serum-Skin-Care-15ml-i.30736001.9945030316</v>
      </c>
      <c r="C1208" s="8" t="s">
        <v>105</v>
      </c>
      <c r="D1208" s="8" t="s">
        <v>335</v>
      </c>
      <c r="E1208" s="8" t="s">
        <v>12</v>
      </c>
      <c r="F1208" s="8" t="s">
        <v>13</v>
      </c>
      <c r="G1208" s="8" t="s">
        <v>36</v>
      </c>
      <c r="H1208" s="16">
        <v>18.0</v>
      </c>
      <c r="I1208" s="15" t="str">
        <f>SUBSTITUTE(Sheet1!K1208, "Rp", "")</f>
        <v>2044200</v>
      </c>
    </row>
    <row r="1209">
      <c r="A1209" s="8" t="s">
        <v>1107</v>
      </c>
      <c r="B1209" s="13" t="str">
        <f>HYPERLINK("https://shopee.co.id/Laneige-PR-Youth-Regenerator-40ml-i.52917348.9834181849", "https://shopee.co.id/Laneige-PR-Youth-Regenerator-40ml-i.52917348.9834181849")</f>
        <v>https://shopee.co.id/Laneige-PR-Youth-Regenerator-40ml-i.52917348.9834181849</v>
      </c>
      <c r="C1209" s="8" t="s">
        <v>364</v>
      </c>
      <c r="D1209" s="8" t="s">
        <v>365</v>
      </c>
      <c r="E1209" s="8" t="s">
        <v>12</v>
      </c>
      <c r="F1209" s="8" t="s">
        <v>13</v>
      </c>
      <c r="G1209" s="8" t="s">
        <v>61</v>
      </c>
      <c r="H1209" s="16">
        <v>18.0</v>
      </c>
      <c r="I1209" s="15" t="str">
        <f>SUBSTITUTE(Sheet1!K1209, "Rp", "")</f>
        <v>14980600</v>
      </c>
    </row>
    <row r="1210">
      <c r="A1210" s="8" t="s">
        <v>2482</v>
      </c>
      <c r="B1210" s="13" t="str">
        <f>HYPERLINK("https://shopee.co.id/MSBB-The-Aubree-Niacinamide-Skin-Booster-30-ml-i.288588702.5660549361", "https://shopee.co.id/MSBB-The-Aubree-Niacinamide-Skin-Booster-30-ml-i.288588702.5660549361")</f>
        <v>https://shopee.co.id/MSBB-The-Aubree-Niacinamide-Skin-Booster-30-ml-i.288588702.5660549361</v>
      </c>
      <c r="C1210" s="8" t="s">
        <v>772</v>
      </c>
      <c r="D1210" s="8" t="s">
        <v>79</v>
      </c>
      <c r="E1210" s="8" t="s">
        <v>12</v>
      </c>
      <c r="F1210" s="8" t="s">
        <v>13</v>
      </c>
      <c r="G1210" s="8" t="s">
        <v>80</v>
      </c>
      <c r="H1210" s="16">
        <v>18.0</v>
      </c>
      <c r="I1210" s="15" t="str">
        <f>SUBSTITUTE(Sheet1!K1210, "Rp", "")</f>
        <v>1756260</v>
      </c>
    </row>
    <row r="1211">
      <c r="A1211" s="8" t="s">
        <v>2055</v>
      </c>
      <c r="B1211" s="13" t="str">
        <f>HYPERLINK("https://shopee.co.id/NOW-OR-NEVER-BUNDLE-anti-aging-bundling-mencegah-kerutan-dan-melembabkan-i.312614769.9668285224", "https://shopee.co.id/NOW-OR-NEVER-BUNDLE-anti-aging-bundling-mencegah-kerutan-dan-melembabkan-i.312614769.9668285224")</f>
        <v>https://shopee.co.id/NOW-OR-NEVER-BUNDLE-anti-aging-bundling-mencegah-kerutan-dan-melembabkan-i.312614769.9668285224</v>
      </c>
      <c r="C1211" s="8" t="s">
        <v>375</v>
      </c>
      <c r="D1211" s="8" t="s">
        <v>376</v>
      </c>
      <c r="E1211" s="8" t="s">
        <v>12</v>
      </c>
      <c r="F1211" s="8" t="s">
        <v>13</v>
      </c>
      <c r="G1211" s="8" t="s">
        <v>61</v>
      </c>
      <c r="H1211" s="16">
        <v>18.0</v>
      </c>
      <c r="I1211" s="15" t="str">
        <f>SUBSTITUTE(Sheet1!K1211, "Rp", "")</f>
        <v>3239550</v>
      </c>
    </row>
    <row r="1212">
      <c r="A1212" s="8" t="s">
        <v>2329</v>
      </c>
      <c r="B1212" s="13" t="str">
        <f>HYPERLINK("https://shopee.co.id/Osho-Phyto-Natural-Enrich-Wrinkle-Whitening-Eye-Serum-30-ml-i.69409544.6007892254", "https://shopee.co.id/Osho-Phyto-Natural-Enrich-Wrinkle-Whitening-Eye-Serum-30-ml-i.69409544.6007892254")</f>
        <v>https://shopee.co.id/Osho-Phyto-Natural-Enrich-Wrinkle-Whitening-Eye-Serum-30-ml-i.69409544.6007892254</v>
      </c>
      <c r="C1212" s="8" t="s">
        <v>2313</v>
      </c>
      <c r="D1212" s="8" t="s">
        <v>2314</v>
      </c>
      <c r="E1212" s="8" t="s">
        <v>12</v>
      </c>
      <c r="F1212" s="8" t="s">
        <v>13</v>
      </c>
      <c r="G1212" s="8" t="s">
        <v>98</v>
      </c>
      <c r="H1212" s="16">
        <v>18.0</v>
      </c>
      <c r="I1212" s="15" t="str">
        <f>SUBSTITUTE(Sheet1!K1212, "Rp", "")</f>
        <v>2174900</v>
      </c>
    </row>
    <row r="1213">
      <c r="A1213" s="8" t="s">
        <v>2023</v>
      </c>
      <c r="B1213" s="13" t="str">
        <f>HYPERLINK("https://shopee.co.id/Purivera-Perfect-Combination-for-Dull-Skin-Chromabright-Tamanu-Bakuchiol-1--i.43724442.8851716849", "https://shopee.co.id/Purivera-Perfect-Combination-for-Dull-Skin-Chromabright-Tamanu-Bakuchiol-1--i.43724442.8851716849")</f>
        <v>https://shopee.co.id/Purivera-Perfect-Combination-for-Dull-Skin-Chromabright-Tamanu-Bakuchiol-1--i.43724442.8851716849</v>
      </c>
      <c r="C1213" s="8" t="s">
        <v>940</v>
      </c>
      <c r="D1213" s="8" t="s">
        <v>429</v>
      </c>
      <c r="E1213" s="8" t="s">
        <v>12</v>
      </c>
      <c r="F1213" s="8" t="s">
        <v>13</v>
      </c>
      <c r="G1213" s="8" t="s">
        <v>61</v>
      </c>
      <c r="H1213" s="16">
        <v>18.0</v>
      </c>
      <c r="I1213" s="15" t="str">
        <f>SUBSTITUTE(Sheet1!K1213, "Rp", "")</f>
        <v>3381840</v>
      </c>
    </row>
    <row r="1214">
      <c r="A1214" s="8" t="s">
        <v>2748</v>
      </c>
      <c r="B1214" s="13" t="str">
        <f>HYPERLINK("https://shopee.co.id/Saffbeautys-Whitenning-Basic-Facemist-Glowing-Saffron-Serum-Brightening-Saffron-i.61316931.9164738022", "https://shopee.co.id/Saffbeautys-Whitenning-Basic-Facemist-Glowing-Saffron-Serum-Brightening-Saffron-i.61316931.9164738022")</f>
        <v>https://shopee.co.id/Saffbeautys-Whitenning-Basic-Facemist-Glowing-Saffron-Serum-Brightening-Saffron-i.61316931.9164738022</v>
      </c>
      <c r="C1214" s="8" t="s">
        <v>2127</v>
      </c>
      <c r="D1214" s="8" t="s">
        <v>2128</v>
      </c>
      <c r="E1214" s="8" t="s">
        <v>12</v>
      </c>
      <c r="F1214" s="8" t="s">
        <v>13</v>
      </c>
      <c r="G1214" s="8" t="s">
        <v>409</v>
      </c>
      <c r="H1214" s="16">
        <v>18.0</v>
      </c>
      <c r="I1214" s="15" t="str">
        <f>SUBSTITUTE(Sheet1!K1214, "Rp", "")</f>
        <v>1152000</v>
      </c>
    </row>
    <row r="1215">
      <c r="A1215" s="8" t="s">
        <v>2088</v>
      </c>
      <c r="B1215" s="13" t="str">
        <f>HYPERLINK("https://shopee.co.id/SOMEBYMI-Galactomyces-Pure-Vitamin-C-Glow-Serum-30ml-i.270965687.5092356811", "https://shopee.co.id/SOMEBYMI-Galactomyces-Pure-Vitamin-C-Glow-Serum-30ml-i.270965687.5092356811")</f>
        <v>https://shopee.co.id/SOMEBYMI-Galactomyces-Pure-Vitamin-C-Glow-Serum-30ml-i.270965687.5092356811</v>
      </c>
      <c r="C1215" s="8" t="s">
        <v>213</v>
      </c>
      <c r="D1215" s="8" t="s">
        <v>379</v>
      </c>
      <c r="E1215" s="8" t="s">
        <v>12</v>
      </c>
      <c r="F1215" s="8" t="s">
        <v>13</v>
      </c>
      <c r="G1215" s="8" t="s">
        <v>380</v>
      </c>
      <c r="H1215" s="16">
        <v>18.0</v>
      </c>
      <c r="I1215" s="15" t="str">
        <f>SUBSTITUTE(Sheet1!K1215, "Rp", "")</f>
        <v>3042000</v>
      </c>
    </row>
    <row r="1216">
      <c r="A1216" s="8" t="s">
        <v>2363</v>
      </c>
      <c r="B1216" s="13" t="str">
        <f>HYPERLINK("https://shopee.co.id/Somethinc-10-Niacinamide-Moisture-Sabi-White-Max-Brightening-Serum-20-mL-i.65323877.3394869114", "https://shopee.co.id/Somethinc-10-Niacinamide-Moisture-Sabi-White-Max-Brightening-Serum-20-mL-i.65323877.3394869114")</f>
        <v>https://shopee.co.id/Somethinc-10-Niacinamide-Moisture-Sabi-White-Max-Brightening-Serum-20-mL-i.65323877.3394869114</v>
      </c>
      <c r="C1216" s="8" t="s">
        <v>45</v>
      </c>
      <c r="D1216" s="8" t="s">
        <v>1600</v>
      </c>
      <c r="E1216" s="8" t="s">
        <v>12</v>
      </c>
      <c r="F1216" s="8" t="s">
        <v>13</v>
      </c>
      <c r="G1216" s="8" t="s">
        <v>296</v>
      </c>
      <c r="H1216" s="16">
        <v>18.0</v>
      </c>
      <c r="I1216" s="15" t="str">
        <f>SUBSTITUTE(Sheet1!K1216, "Rp", "")</f>
        <v>2068200</v>
      </c>
    </row>
    <row r="1217">
      <c r="A1217" s="8" t="s">
        <v>2539</v>
      </c>
      <c r="B1217" s="13" t="str">
        <f>HYPERLINK("https://shopee.co.id/Somethinc-5-Niacinamide-Barrier-Serum-i.10689.7191306139", "https://shopee.co.id/Somethinc-5-Niacinamide-Barrier-Serum-i.10689.7191306139")</f>
        <v>https://shopee.co.id/Somethinc-5-Niacinamide-Barrier-Serum-i.10689.7191306139</v>
      </c>
      <c r="C1217" s="8" t="s">
        <v>45</v>
      </c>
      <c r="D1217" s="8" t="s">
        <v>745</v>
      </c>
      <c r="E1217" s="8" t="s">
        <v>12</v>
      </c>
      <c r="F1217" s="8" t="s">
        <v>13</v>
      </c>
      <c r="G1217" s="8" t="s">
        <v>61</v>
      </c>
      <c r="H1217" s="16">
        <v>18.0</v>
      </c>
      <c r="I1217" s="15" t="str">
        <f>SUBSTITUTE(Sheet1!K1217, "Rp", "")</f>
        <v>1602000</v>
      </c>
    </row>
    <row r="1218">
      <c r="A1218" s="8" t="s">
        <v>2359</v>
      </c>
      <c r="B1218" s="13" t="str">
        <f>HYPERLINK("https://shopee.co.id/SOMETHINC-Niacinamide-Moisture-Beet-Serum-i.270965687.4338464354", "https://shopee.co.id/SOMETHINC-Niacinamide-Moisture-Beet-Serum-i.270965687.4338464354")</f>
        <v>https://shopee.co.id/SOMETHINC-Niacinamide-Moisture-Beet-Serum-i.270965687.4338464354</v>
      </c>
      <c r="C1218" s="8" t="s">
        <v>45</v>
      </c>
      <c r="D1218" s="8" t="s">
        <v>379</v>
      </c>
      <c r="E1218" s="8" t="s">
        <v>12</v>
      </c>
      <c r="F1218" s="8" t="s">
        <v>13</v>
      </c>
      <c r="G1218" s="8" t="s">
        <v>380</v>
      </c>
      <c r="H1218" s="16">
        <v>18.0</v>
      </c>
      <c r="I1218" s="15" t="str">
        <f>SUBSTITUTE(Sheet1!K1218, "Rp", "")</f>
        <v>2079000</v>
      </c>
    </row>
    <row r="1219">
      <c r="A1219" s="8" t="s">
        <v>2637</v>
      </c>
      <c r="B1219" s="13" t="str">
        <f>HYPERLINK("https://shopee.co.id/WHITELAB-Peeling-Serum-AHA-BHA-PHA-15ml-i.270965687.7881756511", "https://shopee.co.id/WHITELAB-Peeling-Serum-AHA-BHA-PHA-15ml-i.270965687.7881756511")</f>
        <v>https://shopee.co.id/WHITELAB-Peeling-Serum-AHA-BHA-PHA-15ml-i.270965687.7881756511</v>
      </c>
      <c r="C1219" s="8" t="s">
        <v>59</v>
      </c>
      <c r="D1219" s="8" t="s">
        <v>379</v>
      </c>
      <c r="E1219" s="8" t="s">
        <v>12</v>
      </c>
      <c r="F1219" s="8" t="s">
        <v>13</v>
      </c>
      <c r="G1219" s="8" t="s">
        <v>380</v>
      </c>
      <c r="H1219" s="16">
        <v>18.0</v>
      </c>
      <c r="I1219" s="15" t="str">
        <f>SUBSTITUTE(Sheet1!K1219, "Rp", "")</f>
        <v>1350000</v>
      </c>
    </row>
    <row r="1220">
      <c r="A1220" s="8" t="s">
        <v>3080</v>
      </c>
      <c r="B1220" s="13" t="str">
        <f>HYPERLINK("https://shopee.co.id/-2-Pcs-Hanasui-Anti-Acne-Serum-20ml-i.121791179.5852974940", "https://shopee.co.id/-2-Pcs-Hanasui-Anti-Acne-Serum-20ml-i.121791179.5852974940")</f>
        <v>https://shopee.co.id/-2-Pcs-Hanasui-Anti-Acne-Serum-20ml-i.121791179.5852974940</v>
      </c>
      <c r="C1220" s="8" t="s">
        <v>784</v>
      </c>
      <c r="D1220" s="8" t="s">
        <v>1733</v>
      </c>
      <c r="E1220" s="8" t="s">
        <v>12</v>
      </c>
      <c r="F1220" s="8" t="s">
        <v>13</v>
      </c>
      <c r="G1220" s="8" t="s">
        <v>36</v>
      </c>
      <c r="H1220" s="16">
        <v>17.0</v>
      </c>
      <c r="I1220" s="15" t="str">
        <f>SUBSTITUTE(Sheet1!K1220, "Rp", "")</f>
        <v>646000</v>
      </c>
    </row>
    <row r="1221">
      <c r="A1221" s="8" t="s">
        <v>2308</v>
      </c>
      <c r="B1221" s="13" t="str">
        <f>HYPERLINK("https://shopee.co.id/Somethinc-Criously-24K-Gold-Essence-20ml-40ml-i.50948181.4761515576", "https://shopee.co.id/Somethinc-Criously-24K-Gold-Essence-20ml-40ml-i.50948181.4761515576")</f>
        <v>https://shopee.co.id/Somethinc-Criously-24K-Gold-Essence-20ml-40ml-i.50948181.4761515576</v>
      </c>
      <c r="C1221" s="8" t="s">
        <v>45</v>
      </c>
      <c r="D1221" s="8" t="s">
        <v>1129</v>
      </c>
      <c r="E1221" s="8" t="s">
        <v>12</v>
      </c>
      <c r="F1221" s="8" t="s">
        <v>13</v>
      </c>
      <c r="G1221" s="8" t="s">
        <v>1130</v>
      </c>
      <c r="H1221" s="16">
        <v>17.0</v>
      </c>
      <c r="I1221" s="15" t="str">
        <f>SUBSTITUTE(Sheet1!K1221, "Rp", "")</f>
        <v>2236000</v>
      </c>
    </row>
    <row r="1222">
      <c r="A1222" s="8" t="s">
        <v>1758</v>
      </c>
      <c r="B1222" s="13" t="str">
        <f>HYPERLINK("https://shopee.co.id/-SPECIAL-SET-Nacific-Lip-Tint-Phyto-Niacin-Whitening-Essence-i.238379974.11115338425", "https://shopee.co.id/-SPECIAL-SET-Nacific-Lip-Tint-Phyto-Niacin-Whitening-Essence-i.238379974.11115338425")</f>
        <v>https://shopee.co.id/-SPECIAL-SET-Nacific-Lip-Tint-Phyto-Niacin-Whitening-Essence-i.238379974.11115338425</v>
      </c>
      <c r="C1222" s="8" t="s">
        <v>344</v>
      </c>
      <c r="D1222" s="8" t="s">
        <v>345</v>
      </c>
      <c r="E1222" s="8" t="s">
        <v>12</v>
      </c>
      <c r="F1222" s="8" t="s">
        <v>13</v>
      </c>
      <c r="G1222" s="8" t="s">
        <v>130</v>
      </c>
      <c r="H1222" s="16">
        <v>17.0</v>
      </c>
      <c r="I1222" s="15" t="str">
        <f>SUBSTITUTE(Sheet1!K1222, "Rp", "")</f>
        <v>4913000</v>
      </c>
    </row>
    <row r="1223">
      <c r="A1223" s="8" t="s">
        <v>2201</v>
      </c>
      <c r="B1223" s="13" t="str">
        <f>HYPERLINK("https://shopee.co.id/Aquila-Dazzling-Glow-Vitamin-C-Barrier-Serum-Mencerahkan-Flek-Hitam-i.268493582.4580000303", "https://shopee.co.id/Aquila-Dazzling-Glow-Vitamin-C-Barrier-Serum-Mencerahkan-Flek-Hitam-i.268493582.4580000303")</f>
        <v>https://shopee.co.id/Aquila-Dazzling-Glow-Vitamin-C-Barrier-Serum-Mencerahkan-Flek-Hitam-i.268493582.4580000303</v>
      </c>
      <c r="C1223" s="8" t="s">
        <v>2202</v>
      </c>
      <c r="D1223" s="8" t="s">
        <v>2203</v>
      </c>
      <c r="E1223" s="8" t="s">
        <v>12</v>
      </c>
      <c r="F1223" s="8" t="s">
        <v>13</v>
      </c>
      <c r="G1223" s="8" t="s">
        <v>2204</v>
      </c>
      <c r="H1223" s="16">
        <v>17.0</v>
      </c>
      <c r="I1223" s="15" t="str">
        <f>SUBSTITUTE(Sheet1!K1223, "Rp", "")</f>
        <v>2550000</v>
      </c>
    </row>
    <row r="1224">
      <c r="A1224" s="8" t="s">
        <v>1830</v>
      </c>
      <c r="B1224" s="13" t="str">
        <f>HYPERLINK("https://shopee.co.id/AVOSKIN-Perfect-Hydrating-Treatment-Essence-Valentine-Special-Edition-100ml-i.68111.5581975750", "https://shopee.co.id/AVOSKIN-Perfect-Hydrating-Treatment-Essence-Valentine-Special-Edition-100ml-i.68111.5581975750")</f>
        <v>https://shopee.co.id/AVOSKIN-Perfect-Hydrating-Treatment-Essence-Valentine-Special-Edition-100ml-i.68111.5581975750</v>
      </c>
      <c r="C1224" s="8" t="s">
        <v>83</v>
      </c>
      <c r="D1224" s="8" t="s">
        <v>441</v>
      </c>
      <c r="E1224" s="8" t="s">
        <v>12</v>
      </c>
      <c r="F1224" s="8" t="s">
        <v>13</v>
      </c>
      <c r="G1224" s="8" t="s">
        <v>130</v>
      </c>
      <c r="H1224" s="16">
        <v>17.0</v>
      </c>
      <c r="I1224" s="15" t="str">
        <f>SUBSTITUTE(Sheet1!K1224, "Rp", "")</f>
        <v>4514900</v>
      </c>
    </row>
    <row r="1225">
      <c r="A1225" s="8" t="s">
        <v>3039</v>
      </c>
      <c r="B1225" s="13" t="str">
        <f>HYPERLINK("https://shopee.co.id/Azarine-C-White-Eyeluminate-Firming-Serum-15ml-i.68111.6929766302", "https://shopee.co.id/Azarine-C-White-Eyeluminate-Firming-Serum-15ml-i.68111.6929766302")</f>
        <v>https://shopee.co.id/Azarine-C-White-Eyeluminate-Firming-Serum-15ml-i.68111.6929766302</v>
      </c>
      <c r="C1225" s="8" t="s">
        <v>233</v>
      </c>
      <c r="D1225" s="8" t="s">
        <v>441</v>
      </c>
      <c r="E1225" s="8" t="s">
        <v>12</v>
      </c>
      <c r="F1225" s="8" t="s">
        <v>13</v>
      </c>
      <c r="G1225" s="8" t="s">
        <v>130</v>
      </c>
      <c r="H1225" s="16">
        <v>17.0</v>
      </c>
      <c r="I1225" s="15" t="str">
        <f>SUBSTITUTE(Sheet1!K1225, "Rp", "")</f>
        <v>688800</v>
      </c>
    </row>
    <row r="1226">
      <c r="A1226" s="8" t="s">
        <v>2065</v>
      </c>
      <c r="B1226" s="13" t="str">
        <f>HYPERLINK("https://shopee.co.id/Beautybarme-Lacoco-Dark-Spot-Essence-Bpom-i.28781862.3059835706", "https://shopee.co.id/Beautybarme-Lacoco-Dark-Spot-Essence-Bpom-i.28781862.3059835706")</f>
        <v>https://shopee.co.id/Beautybarme-Lacoco-Dark-Spot-Essence-Bpom-i.28781862.3059835706</v>
      </c>
      <c r="C1226" s="8" t="s">
        <v>501</v>
      </c>
      <c r="D1226" s="8" t="s">
        <v>1189</v>
      </c>
      <c r="E1226" s="8" t="s">
        <v>12</v>
      </c>
      <c r="F1226" s="8" t="s">
        <v>13</v>
      </c>
      <c r="G1226" s="8" t="s">
        <v>1190</v>
      </c>
      <c r="H1226" s="16">
        <v>17.0</v>
      </c>
      <c r="I1226" s="15" t="str">
        <f>SUBSTITUTE(Sheet1!K1226, "Rp", "")</f>
        <v>3183000</v>
      </c>
    </row>
    <row r="1227">
      <c r="A1227" s="8" t="s">
        <v>2148</v>
      </c>
      <c r="B1227" s="13" t="str">
        <f>HYPERLINK("https://shopee.co.id/Beautybarme-Nacific-Fresh-Herb-Origin-Serum-50-Ml-Original-100-Bpom-i.28781862.1121752032", "https://shopee.co.id/Beautybarme-Nacific-Fresh-Herb-Origin-Serum-50-Ml-Original-100-Bpom-i.28781862.1121752032")</f>
        <v>https://shopee.co.id/Beautybarme-Nacific-Fresh-Herb-Origin-Serum-50-Ml-Original-100-Bpom-i.28781862.1121752032</v>
      </c>
      <c r="C1227" s="8" t="s">
        <v>344</v>
      </c>
      <c r="D1227" s="8" t="s">
        <v>1189</v>
      </c>
      <c r="E1227" s="8" t="s">
        <v>12</v>
      </c>
      <c r="F1227" s="8" t="s">
        <v>13</v>
      </c>
      <c r="G1227" s="8" t="s">
        <v>1190</v>
      </c>
      <c r="H1227" s="16">
        <v>17.0</v>
      </c>
      <c r="I1227" s="15" t="str">
        <f>SUBSTITUTE(Sheet1!K1227, "Rp", "")</f>
        <v>2722500</v>
      </c>
    </row>
    <row r="1228">
      <c r="A1228" s="8" t="s">
        <v>2887</v>
      </c>
      <c r="B1228" s="13" t="str">
        <f>HYPERLINK("https://shopee.co.id/Beautybarme-Somethinc-BAKUCHIOL-Skinpair-Oil-Serum-SOMETHINC-GLOW-MAKER-r-i.28781862.6053571095", "https://shopee.co.id/Beautybarme-Somethinc-BAKUCHIOL-Skinpair-Oil-Serum-SOMETHINC-GLOW-MAKER-r-i.28781862.6053571095")</f>
        <v>https://shopee.co.id/Beautybarme-Somethinc-BAKUCHIOL-Skinpair-Oil-Serum-SOMETHINC-GLOW-MAKER-r-i.28781862.6053571095</v>
      </c>
      <c r="C1228" s="8" t="s">
        <v>45</v>
      </c>
      <c r="D1228" s="8" t="s">
        <v>1189</v>
      </c>
      <c r="E1228" s="8" t="s">
        <v>12</v>
      </c>
      <c r="F1228" s="8" t="s">
        <v>13</v>
      </c>
      <c r="G1228" s="8" t="s">
        <v>1190</v>
      </c>
      <c r="H1228" s="16">
        <v>17.0</v>
      </c>
      <c r="I1228" s="15" t="str">
        <f>SUBSTITUTE(Sheet1!K1228, "Rp", "")</f>
        <v>913000</v>
      </c>
    </row>
    <row r="1229">
      <c r="A1229" s="8" t="s">
        <v>1797</v>
      </c>
      <c r="B1229" s="13" t="str">
        <f>HYPERLINK("https://shopee.co.id/Buy-1-Get-1-Bio-Essence-Bio-White-Advanced-Whitening-Serum-30-ml-i.63822287.10843981884", "https://shopee.co.id/Buy-1-Get-1-Bio-Essence-Bio-White-Advanced-Whitening-Serum-30-ml-i.63822287.10843981884")</f>
        <v>https://shopee.co.id/Buy-1-Get-1-Bio-Essence-Bio-White-Advanced-Whitening-Serum-30-ml-i.63822287.10843981884</v>
      </c>
      <c r="C1229" s="8" t="s">
        <v>1254</v>
      </c>
      <c r="D1229" s="8" t="s">
        <v>835</v>
      </c>
      <c r="E1229" s="8" t="s">
        <v>12</v>
      </c>
      <c r="F1229" s="8" t="s">
        <v>13</v>
      </c>
      <c r="G1229" s="8" t="s">
        <v>61</v>
      </c>
      <c r="H1229" s="16">
        <v>17.0</v>
      </c>
      <c r="I1229" s="15" t="str">
        <f>SUBSTITUTE(Sheet1!K1229, "Rp", "")</f>
        <v>4726000</v>
      </c>
    </row>
    <row r="1230">
      <c r="A1230" s="8" t="s">
        <v>1759</v>
      </c>
      <c r="B1230" s="13" t="str">
        <f>HYPERLINK("https://shopee.co.id/COSRX-Hydrium-Centella-Aqua-Soothing-Ampoule-40-ml-Ampul-untuk-Menenangkan-Skincare-i.224957239.5731551144", "https://shopee.co.id/COSRX-Hydrium-Centella-Aqua-Soothing-Ampoule-40-ml-Ampul-untuk-Menenangkan-Skincare-i.224957239.5731551144")</f>
        <v>https://shopee.co.id/COSRX-Hydrium-Centella-Aqua-Soothing-Ampoule-40-ml-Ampul-untuk-Menenangkan-Skincare-i.224957239.5731551144</v>
      </c>
      <c r="C1230" s="8" t="s">
        <v>305</v>
      </c>
      <c r="D1230" s="8" t="s">
        <v>492</v>
      </c>
      <c r="E1230" s="8" t="s">
        <v>12</v>
      </c>
      <c r="F1230" s="8" t="s">
        <v>13</v>
      </c>
      <c r="G1230" s="8" t="s">
        <v>21</v>
      </c>
      <c r="H1230" s="16">
        <v>17.0</v>
      </c>
      <c r="I1230" s="15" t="str">
        <f>SUBSTITUTE(Sheet1!K1230, "Rp", "")</f>
        <v>4900000</v>
      </c>
    </row>
    <row r="1231">
      <c r="A1231" s="8" t="s">
        <v>2674</v>
      </c>
      <c r="B1231" s="13" t="str">
        <f>HYPERLINK("https://shopee.co.id/Daneen-Brightening-Serum-10ml-i.328329669.8415011983", "https://shopee.co.id/Daneen-Brightening-Serum-10ml-i.328329669.8415011983")</f>
        <v>https://shopee.co.id/Daneen-Brightening-Serum-10ml-i.328329669.8415011983</v>
      </c>
      <c r="C1231" s="8" t="s">
        <v>2675</v>
      </c>
      <c r="D1231" s="8" t="s">
        <v>2676</v>
      </c>
      <c r="E1231" s="8" t="s">
        <v>12</v>
      </c>
      <c r="F1231" s="8" t="s">
        <v>13</v>
      </c>
      <c r="G1231" s="8" t="s">
        <v>36</v>
      </c>
      <c r="H1231" s="16">
        <v>17.0</v>
      </c>
      <c r="I1231" s="15" t="str">
        <f>SUBSTITUTE(Sheet1!K1231, "Rp", "")</f>
        <v>1278400</v>
      </c>
    </row>
    <row r="1232">
      <c r="A1232" s="8" t="s">
        <v>2328</v>
      </c>
      <c r="B1232" s="13" t="str">
        <f>HYPERLINK("https://shopee.co.id/Dear-Me-Beauty-10-vitamin-C-Orange-Extract-Face-Serum-i.270965687.8358588485", "https://shopee.co.id/Dear-Me-Beauty-10-vitamin-C-Orange-Extract-Face-Serum-i.270965687.8358588485")</f>
        <v>https://shopee.co.id/Dear-Me-Beauty-10-vitamin-C-Orange-Extract-Face-Serum-i.270965687.8358588485</v>
      </c>
      <c r="C1232" s="8" t="s">
        <v>70</v>
      </c>
      <c r="D1232" s="8" t="s">
        <v>379</v>
      </c>
      <c r="E1232" s="8" t="s">
        <v>12</v>
      </c>
      <c r="F1232" s="8" t="s">
        <v>13</v>
      </c>
      <c r="G1232" s="8" t="s">
        <v>380</v>
      </c>
      <c r="H1232" s="16">
        <v>17.0</v>
      </c>
      <c r="I1232" s="15" t="str">
        <f>SUBSTITUTE(Sheet1!K1232, "Rp", "")</f>
        <v>2189700</v>
      </c>
    </row>
    <row r="1233">
      <c r="A1233" s="8" t="s">
        <v>2200</v>
      </c>
      <c r="B1233" s="13" t="str">
        <f>HYPERLINK("https://shopee.co.id/Deep-Green-Tea-Serum-i.180415888.3978270528", "https://shopee.co.id/Deep-Green-Tea-Serum-i.180415888.3978270528")</f>
        <v>https://shopee.co.id/Deep-Green-Tea-Serum-i.180415888.3978270528</v>
      </c>
      <c r="C1233" s="8" t="s">
        <v>456</v>
      </c>
      <c r="D1233" s="8" t="s">
        <v>457</v>
      </c>
      <c r="E1233" s="8" t="s">
        <v>12</v>
      </c>
      <c r="F1233" s="8" t="s">
        <v>13</v>
      </c>
      <c r="G1233" s="8" t="s">
        <v>80</v>
      </c>
      <c r="H1233" s="16">
        <v>17.0</v>
      </c>
      <c r="I1233" s="15" t="str">
        <f>SUBSTITUTE(Sheet1!K1233, "Rp", "")</f>
        <v>2552000</v>
      </c>
    </row>
    <row r="1234">
      <c r="A1234" s="8" t="s">
        <v>3649</v>
      </c>
      <c r="B1234" s="13" t="str">
        <f>HYPERLINK("https://shopee.co.id/Egg-Collagen-White-Serum-Pagi-Malam-Pemutih-Wajah-Mulus-Whitening-Memudarkan-Flek-i.40233008.2221623610", "https://shopee.co.id/Egg-Collagen-White-Serum-Pagi-Malam-Pemutih-Wajah-Mulus-Whitening-Memudarkan-Flek-i.40233008.2221623610")</f>
        <v>https://shopee.co.id/Egg-Collagen-White-Serum-Pagi-Malam-Pemutih-Wajah-Mulus-Whitening-Memudarkan-Flek-i.40233008.2221623610</v>
      </c>
      <c r="C1234" s="8" t="s">
        <v>3650</v>
      </c>
      <c r="D1234" s="8" t="s">
        <v>3651</v>
      </c>
      <c r="E1234" s="8" t="s">
        <v>12</v>
      </c>
      <c r="F1234" s="8" t="s">
        <v>13</v>
      </c>
      <c r="G1234" s="8" t="s">
        <v>85</v>
      </c>
      <c r="H1234" s="16">
        <v>17.0</v>
      </c>
      <c r="I1234" s="15" t="str">
        <f>SUBSTITUTE(Sheet1!K1234, "Rp", "")</f>
        <v>202300</v>
      </c>
    </row>
    <row r="1235">
      <c r="A1235" s="8" t="s">
        <v>2221</v>
      </c>
      <c r="B1235" s="13" t="str">
        <f>HYPERLINK("https://shopee.co.id/er-1-Gold-Serum-Serum-Anti-Aging-by-dr-Erna-Purnamasari-i.147564934.6791116217", "https://shopee.co.id/er-1-Gold-Serum-Serum-Anti-Aging-by-dr-Erna-Purnamasari-i.147564934.6791116217")</f>
        <v>https://shopee.co.id/er-1-Gold-Serum-Serum-Anti-Aging-by-dr-Erna-Purnamasari-i.147564934.6791116217</v>
      </c>
      <c r="C1235" s="8" t="s">
        <v>2222</v>
      </c>
      <c r="D1235" s="8" t="s">
        <v>2223</v>
      </c>
      <c r="E1235" s="8" t="s">
        <v>12</v>
      </c>
      <c r="F1235" s="8" t="s">
        <v>13</v>
      </c>
      <c r="G1235" s="8" t="s">
        <v>21</v>
      </c>
      <c r="H1235" s="16">
        <v>17.0</v>
      </c>
      <c r="I1235" s="15" t="str">
        <f>SUBSTITUTE(Sheet1!K1235, "Rp", "")</f>
        <v>2504286</v>
      </c>
    </row>
    <row r="1236">
      <c r="A1236" s="8" t="s">
        <v>2405</v>
      </c>
      <c r="B1236" s="13" t="str">
        <f>HYPERLINK("https://shopee.co.id/GARNIER-Sakura-White-Hyaluron-30x-Booster-Serum-Skin-Care-30ml-i.30736001.6359038069", "https://shopee.co.id/GARNIER-Sakura-White-Hyaluron-30x-Booster-Serum-Skin-Care-30ml-i.30736001.6359038069")</f>
        <v>https://shopee.co.id/GARNIER-Sakura-White-Hyaluron-30x-Booster-Serum-Skin-Care-30ml-i.30736001.6359038069</v>
      </c>
      <c r="C1236" s="8" t="s">
        <v>74</v>
      </c>
      <c r="D1236" s="8" t="s">
        <v>335</v>
      </c>
      <c r="E1236" s="8" t="s">
        <v>12</v>
      </c>
      <c r="F1236" s="8" t="s">
        <v>13</v>
      </c>
      <c r="G1236" s="8" t="s">
        <v>36</v>
      </c>
      <c r="H1236" s="16">
        <v>17.0</v>
      </c>
      <c r="I1236" s="15" t="str">
        <f>SUBSTITUTE(Sheet1!K1236, "Rp", "")</f>
        <v>1941300</v>
      </c>
    </row>
    <row r="1237">
      <c r="A1237" s="8" t="s">
        <v>2273</v>
      </c>
      <c r="B1237" s="13" t="str">
        <f>HYPERLINK("https://shopee.co.id/Illuminare-Youth-Serum-30ml-Anti-Aging-Serum-Skin-Care-Anti-Kerutan-i.121791179.2172964348", "https://shopee.co.id/Illuminare-Youth-Serum-30ml-Anti-Aging-Serum-Skin-Care-Anti-Kerutan-i.121791179.2172964348")</f>
        <v>https://shopee.co.id/Illuminare-Youth-Serum-30ml-Anti-Aging-Serum-Skin-Care-Anti-Kerutan-i.121791179.2172964348</v>
      </c>
      <c r="C1237" s="8" t="s">
        <v>1750</v>
      </c>
      <c r="D1237" s="8" t="s">
        <v>1733</v>
      </c>
      <c r="E1237" s="8" t="s">
        <v>12</v>
      </c>
      <c r="F1237" s="8" t="s">
        <v>13</v>
      </c>
      <c r="G1237" s="8" t="s">
        <v>36</v>
      </c>
      <c r="H1237" s="16">
        <v>17.0</v>
      </c>
      <c r="I1237" s="15" t="str">
        <f>SUBSTITUTE(Sheet1!K1237, "Rp", "")</f>
        <v>2364720</v>
      </c>
    </row>
    <row r="1238">
      <c r="A1238" s="8" t="s">
        <v>2040</v>
      </c>
      <c r="B1238" s="13" t="str">
        <f>HYPERLINK("https://shopee.co.id/Iunik-Tea-Tree-Relief-Serum-50ml-i.270765534.5848926445", "https://shopee.co.id/Iunik-Tea-Tree-Relief-Serum-50ml-i.270765534.5848926445")</f>
        <v>https://shopee.co.id/Iunik-Tea-Tree-Relief-Serum-50ml-i.270765534.5848926445</v>
      </c>
      <c r="C1238" s="8" t="s">
        <v>1658</v>
      </c>
      <c r="D1238" s="8" t="s">
        <v>1659</v>
      </c>
      <c r="E1238" s="8" t="s">
        <v>12</v>
      </c>
      <c r="F1238" s="8" t="s">
        <v>13</v>
      </c>
      <c r="G1238" s="8" t="s">
        <v>21</v>
      </c>
      <c r="H1238" s="16">
        <v>17.0</v>
      </c>
      <c r="I1238" s="15" t="str">
        <f>SUBSTITUTE(Sheet1!K1238, "Rp", "")</f>
        <v>3332000</v>
      </c>
    </row>
    <row r="1239">
      <c r="A1239" s="8" t="s">
        <v>1362</v>
      </c>
      <c r="B1239" s="13" t="str">
        <f>HYPERLINK("https://shopee.co.id/Laneige-Water-Bank-Moisture-Essence-70ml-i.52917348.9734181917", "https://shopee.co.id/Laneige-Water-Bank-Moisture-Essence-70ml-i.52917348.9734181917")</f>
        <v>https://shopee.co.id/Laneige-Water-Bank-Moisture-Essence-70ml-i.52917348.9734181917</v>
      </c>
      <c r="C1239" s="8" t="s">
        <v>364</v>
      </c>
      <c r="D1239" s="8" t="s">
        <v>365</v>
      </c>
      <c r="E1239" s="8" t="s">
        <v>12</v>
      </c>
      <c r="F1239" s="8" t="s">
        <v>13</v>
      </c>
      <c r="G1239" s="8" t="s">
        <v>61</v>
      </c>
      <c r="H1239" s="16">
        <v>17.0</v>
      </c>
      <c r="I1239" s="15" t="str">
        <f>SUBSTITUTE(Sheet1!K1239, "Rp", "")</f>
        <v>9634600</v>
      </c>
    </row>
    <row r="1240">
      <c r="A1240" s="8" t="s">
        <v>2412</v>
      </c>
      <c r="B1240" s="13" t="str">
        <f>HYPERLINK("https://shopee.co.id/LT-PRO-Anti-Age-Face-Serum-i.131418876.2075719568", "https://shopee.co.id/LT-PRO-Anti-Age-Face-Serum-i.131418876.2075719568")</f>
        <v>https://shopee.co.id/LT-PRO-Anti-Age-Face-Serum-i.131418876.2075719568</v>
      </c>
      <c r="C1240" s="8" t="s">
        <v>2413</v>
      </c>
      <c r="D1240" s="8" t="s">
        <v>2414</v>
      </c>
      <c r="E1240" s="8" t="s">
        <v>12</v>
      </c>
      <c r="F1240" s="8" t="s">
        <v>13</v>
      </c>
      <c r="G1240" s="8" t="s">
        <v>61</v>
      </c>
      <c r="H1240" s="16">
        <v>17.0</v>
      </c>
      <c r="I1240" s="15" t="str">
        <f>SUBSTITUTE(Sheet1!K1240, "Rp", "")</f>
        <v>1914100</v>
      </c>
    </row>
    <row r="1241">
      <c r="A1241" s="8" t="s">
        <v>2821</v>
      </c>
      <c r="B1241" s="13" t="str">
        <f>HYPERLINK("https://shopee.co.id/Mireya-Ultra-Boost-Serum-Hyalu-6-Peptide-i.101578297.4579766238", "https://shopee.co.id/Mireya-Ultra-Boost-Serum-Hyalu-6-Peptide-i.101578297.4579766238")</f>
        <v>https://shopee.co.id/Mireya-Ultra-Boost-Serum-Hyalu-6-Peptide-i.101578297.4579766238</v>
      </c>
      <c r="C1241" s="8" t="s">
        <v>2430</v>
      </c>
      <c r="D1241" s="8" t="s">
        <v>2431</v>
      </c>
      <c r="E1241" s="8" t="s">
        <v>12</v>
      </c>
      <c r="F1241" s="8" t="s">
        <v>13</v>
      </c>
      <c r="G1241" s="8" t="s">
        <v>21</v>
      </c>
      <c r="H1241" s="16">
        <v>17.0</v>
      </c>
      <c r="I1241" s="15" t="str">
        <f>SUBSTITUTE(Sheet1!K1241, "Rp", "")</f>
        <v>1023750</v>
      </c>
    </row>
    <row r="1242">
      <c r="A1242" s="8" t="s">
        <v>2524</v>
      </c>
      <c r="B1242" s="13" t="str">
        <f>HYPERLINK("https://shopee.co.id/Natasha-by-dr-Fredi-Setyawan-Moist-Skin-Barrier-AQP-Serum-i.40121814.5215101958", "https://shopee.co.id/Natasha-by-dr-Fredi-Setyawan-Moist-Skin-Barrier-AQP-Serum-i.40121814.5215101958")</f>
        <v>https://shopee.co.id/Natasha-by-dr-Fredi-Setyawan-Moist-Skin-Barrier-AQP-Serum-i.40121814.5215101958</v>
      </c>
      <c r="C1242" s="8" t="s">
        <v>1752</v>
      </c>
      <c r="D1242" s="8" t="s">
        <v>794</v>
      </c>
      <c r="E1242" s="8" t="s">
        <v>12</v>
      </c>
      <c r="F1242" s="8" t="s">
        <v>13</v>
      </c>
      <c r="G1242" s="8" t="s">
        <v>380</v>
      </c>
      <c r="H1242" s="16">
        <v>17.0</v>
      </c>
      <c r="I1242" s="15" t="str">
        <f>SUBSTITUTE(Sheet1!K1242, "Rp", "")</f>
        <v>1641453</v>
      </c>
    </row>
    <row r="1243">
      <c r="A1243" s="8" t="s">
        <v>1610</v>
      </c>
      <c r="B1243" s="13" t="str">
        <f>HYPERLINK("https://shopee.co.id/Olay-Power-Duo-Krim-Pelembab-Regenerist-Pagi-White-Radiance-Serum-Wajah-Anti-Aging-Skincare-i.11487927.7437725495", "https://shopee.co.id/Olay-Power-Duo-Krim-Pelembab-Regenerist-Pagi-White-Radiance-Serum-Wajah-Anti-Aging-Skincare-i.11487927.7437725495")</f>
        <v>https://shopee.co.id/Olay-Power-Duo-Krim-Pelembab-Regenerist-Pagi-White-Radiance-Serum-Wajah-Anti-Aging-Skincare-i.11487927.7437725495</v>
      </c>
      <c r="C1243" s="8" t="s">
        <v>317</v>
      </c>
      <c r="D1243" s="8" t="s">
        <v>318</v>
      </c>
      <c r="E1243" s="8" t="s">
        <v>12</v>
      </c>
      <c r="F1243" s="8" t="s">
        <v>13</v>
      </c>
      <c r="G1243" s="8" t="s">
        <v>296</v>
      </c>
      <c r="H1243" s="16">
        <v>17.0</v>
      </c>
      <c r="I1243" s="15" t="str">
        <f>SUBSTITUTE(Sheet1!K1243, "Rp", "")</f>
        <v>6265700</v>
      </c>
    </row>
    <row r="1244">
      <c r="A1244" s="8" t="s">
        <v>2439</v>
      </c>
      <c r="B1244" s="13" t="str">
        <f>HYPERLINK("https://shopee.co.id/Premiere-Beaute-Skincare-Luminous-White-Glow-Brightening-Package-2Pcs-Serum-30ml-Essence-Toner-120ml-i.237204571.10545879219", "https://shopee.co.id/Premiere-Beaute-Skincare-Luminous-White-Glow-Brightening-Package-2Pcs-Serum-30ml-Essence-Toner-120ml-i.237204571.10545879219")</f>
        <v>https://shopee.co.id/Premiere-Beaute-Skincare-Luminous-White-Glow-Brightening-Package-2Pcs-Serum-30ml-Essence-Toner-120ml-i.237204571.10545879219</v>
      </c>
      <c r="C1244" s="8" t="s">
        <v>254</v>
      </c>
      <c r="D1244" s="8" t="s">
        <v>255</v>
      </c>
      <c r="E1244" s="8" t="s">
        <v>12</v>
      </c>
      <c r="F1244" s="8" t="s">
        <v>13</v>
      </c>
      <c r="G1244" s="8" t="s">
        <v>61</v>
      </c>
      <c r="H1244" s="16">
        <v>17.0</v>
      </c>
      <c r="I1244" s="15" t="str">
        <f>SUBSTITUTE(Sheet1!K1244, "Rp", "")</f>
        <v>1849600</v>
      </c>
    </row>
    <row r="1245">
      <c r="A1245" s="8" t="s">
        <v>2472</v>
      </c>
      <c r="B1245" s="13" t="str">
        <f>HYPERLINK("https://shopee.co.id/PROMO-Seger-Snow-Serum-Moisturizing-2pcs-Seger-Snow-Anti-anging-GRATIS-Totebag-i.221165466.8209801871", "https://shopee.co.id/PROMO-Seger-Snow-Serum-Moisturizing-2pcs-Seger-Snow-Anti-anging-GRATIS-Totebag-i.221165466.8209801871")</f>
        <v>https://shopee.co.id/PROMO-Seger-Snow-Serum-Moisturizing-2pcs-Seger-Snow-Anti-anging-GRATIS-Totebag-i.221165466.8209801871</v>
      </c>
      <c r="C1245" s="8" t="s">
        <v>2005</v>
      </c>
      <c r="D1245" s="8" t="s">
        <v>2006</v>
      </c>
      <c r="E1245" s="8" t="s">
        <v>12</v>
      </c>
      <c r="F1245" s="8" t="s">
        <v>13</v>
      </c>
      <c r="G1245" s="8" t="s">
        <v>241</v>
      </c>
      <c r="H1245" s="16">
        <v>17.0</v>
      </c>
      <c r="I1245" s="15" t="str">
        <f>SUBSTITUTE(Sheet1!K1245, "Rp", "")</f>
        <v>1768000</v>
      </c>
    </row>
    <row r="1246">
      <c r="A1246" s="8" t="s">
        <v>1818</v>
      </c>
      <c r="B1246" s="13" t="str">
        <f>HYPERLINK("https://shopee.co.id/Revlon-Evivesse-Face-Essence-30-ml-i.167409897.3933376027", "https://shopee.co.id/Revlon-Evivesse-Face-Essence-30-ml-i.167409897.3933376027")</f>
        <v>https://shopee.co.id/Revlon-Evivesse-Face-Essence-30-ml-i.167409897.3933376027</v>
      </c>
      <c r="C1246" s="8" t="s">
        <v>1819</v>
      </c>
      <c r="D1246" s="8" t="s">
        <v>1820</v>
      </c>
      <c r="E1246" s="8" t="s">
        <v>12</v>
      </c>
      <c r="F1246" s="8" t="s">
        <v>13</v>
      </c>
      <c r="G1246" s="8" t="s">
        <v>469</v>
      </c>
      <c r="H1246" s="16">
        <v>17.0</v>
      </c>
      <c r="I1246" s="15" t="str">
        <f>SUBSTITUTE(Sheet1!K1246, "Rp", "")</f>
        <v>4587250</v>
      </c>
    </row>
    <row r="1247">
      <c r="A1247" s="8" t="s">
        <v>1502</v>
      </c>
      <c r="B1247" s="13" t="str">
        <f>HYPERLINK("https://shopee.co.id/Safi-Expert-Solutions-Milk-Drop-Serum-Safi-Expert-Solutions-Bio-Skin-Mosturizer-SPF-34-PA--i.63823668.3383193474", "https://shopee.co.id/Safi-Expert-Solutions-Milk-Drop-Serum-Safi-Expert-Solutions-Bio-Skin-Mosturizer-SPF-34-PA--i.63823668.3383193474")</f>
        <v>https://shopee.co.id/Safi-Expert-Solutions-Milk-Drop-Serum-Safi-Expert-Solutions-Bio-Skin-Mosturizer-SPF-34-PA--i.63823668.3383193474</v>
      </c>
      <c r="C1247" s="8" t="s">
        <v>278</v>
      </c>
      <c r="D1247" s="8" t="s">
        <v>279</v>
      </c>
      <c r="E1247" s="8" t="s">
        <v>12</v>
      </c>
      <c r="F1247" s="8" t="s">
        <v>13</v>
      </c>
      <c r="G1247" s="8" t="s">
        <v>61</v>
      </c>
      <c r="H1247" s="16">
        <v>17.0</v>
      </c>
      <c r="I1247" s="15" t="str">
        <f>SUBSTITUTE(Sheet1!K1247, "Rp", "")</f>
        <v>7652200</v>
      </c>
    </row>
    <row r="1248">
      <c r="A1248" s="8" t="s">
        <v>2150</v>
      </c>
      <c r="B1248" s="13" t="str">
        <f>HYPERLINK("https://shopee.co.id/SNAIL-WHITENING-SERUM-i.125491027.3701944825", "https://shopee.co.id/SNAIL-WHITENING-SERUM-i.125491027.3701944825")</f>
        <v>https://shopee.co.id/SNAIL-WHITENING-SERUM-i.125491027.3701944825</v>
      </c>
      <c r="C1248" s="8" t="s">
        <v>2151</v>
      </c>
      <c r="D1248" s="8" t="s">
        <v>2152</v>
      </c>
      <c r="E1248" s="8" t="s">
        <v>12</v>
      </c>
      <c r="F1248" s="8" t="s">
        <v>13</v>
      </c>
      <c r="G1248" s="8" t="s">
        <v>98</v>
      </c>
      <c r="H1248" s="16">
        <v>17.0</v>
      </c>
      <c r="I1248" s="15" t="str">
        <f>SUBSTITUTE(Sheet1!K1248, "Rp", "")</f>
        <v>2703000</v>
      </c>
    </row>
    <row r="1249">
      <c r="A1249" s="8" t="s">
        <v>1040</v>
      </c>
      <c r="B1249" s="13" t="str">
        <f>HYPERLINK("https://shopee.co.id/Sulwhasoo-First-Care-Activating-Serum-Kit-i.274949344.4258728388", "https://shopee.co.id/Sulwhasoo-First-Care-Activating-Serum-Kit-i.274949344.4258728388")</f>
        <v>https://shopee.co.id/Sulwhasoo-First-Care-Activating-Serum-Kit-i.274949344.4258728388</v>
      </c>
      <c r="C1249" s="8" t="s">
        <v>282</v>
      </c>
      <c r="D1249" s="8" t="s">
        <v>283</v>
      </c>
      <c r="E1249" s="8" t="s">
        <v>12</v>
      </c>
      <c r="F1249" s="8" t="s">
        <v>13</v>
      </c>
      <c r="G1249" s="8" t="s">
        <v>61</v>
      </c>
      <c r="H1249" s="16">
        <v>17.0</v>
      </c>
      <c r="I1249" s="15" t="str">
        <f>SUBSTITUTE(Sheet1!K1249, "Rp", "")</f>
        <v>17464600</v>
      </c>
    </row>
    <row r="1250">
      <c r="A1250" s="8" t="s">
        <v>1209</v>
      </c>
      <c r="B1250" s="13" t="str">
        <f>HYPERLINK("https://shopee.co.id/Ultima-II-Paket-Clear-White-i.152254718.8391259403", "https://shopee.co.id/Ultima-II-Paket-Clear-White-i.152254718.8391259403")</f>
        <v>https://shopee.co.id/Ultima-II-Paket-Clear-White-i.152254718.8391259403</v>
      </c>
      <c r="C1250" s="8" t="s">
        <v>1210</v>
      </c>
      <c r="D1250" s="8" t="s">
        <v>1211</v>
      </c>
      <c r="E1250" s="8" t="s">
        <v>12</v>
      </c>
      <c r="F1250" s="8" t="s">
        <v>13</v>
      </c>
      <c r="G1250" s="8" t="s">
        <v>469</v>
      </c>
      <c r="H1250" s="16">
        <v>17.0</v>
      </c>
      <c r="I1250" s="15" t="str">
        <f>SUBSTITUTE(Sheet1!K1250, "Rp", "")</f>
        <v>12750000</v>
      </c>
    </row>
    <row r="1251">
      <c r="A1251" s="8" t="s">
        <v>2962</v>
      </c>
      <c r="B1251" s="13" t="str">
        <f>HYPERLINK("https://shopee.co.id/Azarine-Lightening-Serum-20ml-C-White-i.50948181.8128238870", "https://shopee.co.id/Azarine-Lightening-Serum-20ml-C-White-i.50948181.8128238870")</f>
        <v>https://shopee.co.id/Azarine-Lightening-Serum-20ml-C-White-i.50948181.8128238870</v>
      </c>
      <c r="C1251" s="8" t="s">
        <v>233</v>
      </c>
      <c r="D1251" s="8" t="s">
        <v>1129</v>
      </c>
      <c r="E1251" s="8" t="s">
        <v>12</v>
      </c>
      <c r="F1251" s="8" t="s">
        <v>13</v>
      </c>
      <c r="G1251" s="8" t="s">
        <v>1130</v>
      </c>
      <c r="H1251" s="16">
        <v>16.0</v>
      </c>
      <c r="I1251" s="15" t="str">
        <f>SUBSTITUTE(Sheet1!K1251, "Rp", "")</f>
        <v>810546</v>
      </c>
    </row>
    <row r="1252">
      <c r="A1252" s="8" t="s">
        <v>3169</v>
      </c>
      <c r="B1252" s="13" t="str">
        <f>HYPERLINK("https://shopee.co.id/-BPOM-BREYLEE-Serum-Hyaluronic-Acid-Melembabkan-Wajah-17ml--i.324706771.6658158074", "https://shopee.co.id/-BPOM-BREYLEE-Serum-Hyaluronic-Acid-Melembabkan-Wajah-17ml--i.324706771.6658158074")</f>
        <v>https://shopee.co.id/-BPOM-BREYLEE-Serum-Hyaluronic-Acid-Melembabkan-Wajah-17ml--i.324706771.6658158074</v>
      </c>
      <c r="C1252" s="8" t="s">
        <v>852</v>
      </c>
      <c r="D1252" s="8" t="s">
        <v>853</v>
      </c>
      <c r="E1252" s="8" t="s">
        <v>12</v>
      </c>
      <c r="F1252" s="8" t="s">
        <v>13</v>
      </c>
      <c r="G1252" s="8" t="s">
        <v>532</v>
      </c>
      <c r="H1252" s="16">
        <v>16.0</v>
      </c>
      <c r="I1252" s="15" t="str">
        <f>SUBSTITUTE(Sheet1!K1252, "Rp", "")</f>
        <v>550400</v>
      </c>
    </row>
    <row r="1253">
      <c r="A1253" s="8" t="s">
        <v>3170</v>
      </c>
      <c r="B1253" s="13" t="str">
        <f>HYPERLINK("https://shopee.co.id/-BPOM-BREYLEE-Soothing-Serum-Menenangkan-Kulit-Wajah-17ml--i.324706771.7158325805", "https://shopee.co.id/-BPOM-BREYLEE-Soothing-Serum-Menenangkan-Kulit-Wajah-17ml--i.324706771.7158325805")</f>
        <v>https://shopee.co.id/-BPOM-BREYLEE-Soothing-Serum-Menenangkan-Kulit-Wajah-17ml--i.324706771.7158325805</v>
      </c>
      <c r="C1253" s="8" t="s">
        <v>852</v>
      </c>
      <c r="D1253" s="8" t="s">
        <v>853</v>
      </c>
      <c r="E1253" s="8" t="s">
        <v>12</v>
      </c>
      <c r="F1253" s="8" t="s">
        <v>13</v>
      </c>
      <c r="G1253" s="8" t="s">
        <v>532</v>
      </c>
      <c r="H1253" s="16">
        <v>16.0</v>
      </c>
      <c r="I1253" s="15" t="str">
        <f>SUBSTITUTE(Sheet1!K1253, "Rp", "")</f>
        <v>550400</v>
      </c>
    </row>
    <row r="1254">
      <c r="A1254" s="8" t="s">
        <v>1641</v>
      </c>
      <c r="B1254" s="13" t="str">
        <f>HYPERLINK("https://shopee.co.id/-innisfree-Jeju-Lava-Seawater-Essence-50ML-Serum-Wajah-Perawatan-Wajah-i.61504589.2301917894", "https://shopee.co.id/-innisfree-Jeju-Lava-Seawater-Essence-50ML-Serum-Wajah-Perawatan-Wajah-i.61504589.2301917894")</f>
        <v>https://shopee.co.id/-innisfree-Jeju-Lava-Seawater-Essence-50ML-Serum-Wajah-Perawatan-Wajah-i.61504589.2301917894</v>
      </c>
      <c r="C1254" s="8" t="s">
        <v>294</v>
      </c>
      <c r="D1254" s="8" t="s">
        <v>295</v>
      </c>
      <c r="E1254" s="8" t="s">
        <v>12</v>
      </c>
      <c r="F1254" s="8" t="s">
        <v>13</v>
      </c>
      <c r="G1254" s="8" t="s">
        <v>296</v>
      </c>
      <c r="H1254" s="16">
        <v>16.0</v>
      </c>
      <c r="I1254" s="15" t="str">
        <f>SUBSTITUTE(Sheet1!K1254, "Rp", "")</f>
        <v>5934000</v>
      </c>
    </row>
    <row r="1255">
      <c r="A1255" s="8" t="s">
        <v>3445</v>
      </c>
      <c r="B1255" s="13" t="str">
        <f>HYPERLINK("https://shopee.co.id/-BPOM-BIOAQUA-serum-wajah-Vitamin-Facial-Essense-anti-aging-moisturizing-serum-isi-60-kapsul-i.297682305.10148404152", "https://shopee.co.id/-BPOM-BIOAQUA-serum-wajah-Vitamin-Facial-Essense-anti-aging-moisturizing-serum-isi-60-kapsul-i.297682305.10148404152")</f>
        <v>https://shopee.co.id/-BPOM-BIOAQUA-serum-wajah-Vitamin-Facial-Essense-anti-aging-moisturizing-serum-isi-60-kapsul-i.297682305.10148404152</v>
      </c>
      <c r="C1255" s="8" t="s">
        <v>3446</v>
      </c>
      <c r="D1255" s="8" t="s">
        <v>1745</v>
      </c>
      <c r="E1255" s="8" t="s">
        <v>12</v>
      </c>
      <c r="F1255" s="8" t="s">
        <v>13</v>
      </c>
      <c r="G1255" s="8" t="s">
        <v>61</v>
      </c>
      <c r="H1255" s="16">
        <v>16.0</v>
      </c>
      <c r="I1255" s="15" t="str">
        <f>SUBSTITUTE(Sheet1!K1255, "Rp", "")</f>
        <v>319984</v>
      </c>
    </row>
    <row r="1256">
      <c r="A1256" s="8" t="s">
        <v>2177</v>
      </c>
      <c r="B1256" s="13" t="str">
        <f>HYPERLINK("https://shopee.co.id/AHC-Peony-Bright-Luminous-Serum-Size-10-ml-Edit-by-Sociolla-i.224957239.7867957380", "https://shopee.co.id/AHC-Peony-Bright-Luminous-Serum-Size-10-ml-Edit-by-Sociolla-i.224957239.7867957380")</f>
        <v>https://shopee.co.id/AHC-Peony-Bright-Luminous-Serum-Size-10-ml-Edit-by-Sociolla-i.224957239.7867957380</v>
      </c>
      <c r="C1256" s="8" t="s">
        <v>2053</v>
      </c>
      <c r="D1256" s="8" t="s">
        <v>492</v>
      </c>
      <c r="E1256" s="8" t="s">
        <v>12</v>
      </c>
      <c r="F1256" s="8" t="s">
        <v>13</v>
      </c>
      <c r="G1256" s="8" t="s">
        <v>21</v>
      </c>
      <c r="H1256" s="16">
        <v>16.0</v>
      </c>
      <c r="I1256" s="15" t="str">
        <f>SUBSTITUTE(Sheet1!K1256, "Rp", "")</f>
        <v>2608500</v>
      </c>
    </row>
    <row r="1257">
      <c r="A1257" s="8" t="s">
        <v>2325</v>
      </c>
      <c r="B1257" s="13" t="str">
        <f>HYPERLINK("https://shopee.co.id/Airnderm-Aesthetic-Serum-Snail-Gold-by-AIRIN-BEAUTY--i.112372548.1756190824", "https://shopee.co.id/Airnderm-Aesthetic-Serum-Snail-Gold-by-AIRIN-BEAUTY--i.112372548.1756190824")</f>
        <v>https://shopee.co.id/Airnderm-Aesthetic-Serum-Snail-Gold-by-AIRIN-BEAUTY--i.112372548.1756190824</v>
      </c>
      <c r="C1257" s="8" t="s">
        <v>239</v>
      </c>
      <c r="D1257" s="8" t="s">
        <v>240</v>
      </c>
      <c r="E1257" s="8" t="s">
        <v>12</v>
      </c>
      <c r="F1257" s="8" t="s">
        <v>13</v>
      </c>
      <c r="G1257" s="8" t="s">
        <v>241</v>
      </c>
      <c r="H1257" s="16">
        <v>16.0</v>
      </c>
      <c r="I1257" s="15" t="str">
        <f>SUBSTITUTE(Sheet1!K1257, "Rp", "")</f>
        <v>2195225</v>
      </c>
    </row>
    <row r="1258">
      <c r="A1258" s="8" t="s">
        <v>2317</v>
      </c>
      <c r="B1258" s="13" t="str">
        <f>HYPERLINK("https://shopee.co.id/Aizen-L-Glutathione-10-Ultra-Ampoule-Serum-Pemutih-Antioxidant-Kulit-Wajah-i.89939211.3375460452", "https://shopee.co.id/Aizen-L-Glutathione-10-Ultra-Ampoule-Serum-Pemutih-Antioxidant-Kulit-Wajah-i.89939211.3375460452")</f>
        <v>https://shopee.co.id/Aizen-L-Glutathione-10-Ultra-Ampoule-Serum-Pemutih-Antioxidant-Kulit-Wajah-i.89939211.3375460452</v>
      </c>
      <c r="C1258" s="8" t="s">
        <v>1325</v>
      </c>
      <c r="D1258" s="8" t="s">
        <v>1326</v>
      </c>
      <c r="E1258" s="8" t="s">
        <v>12</v>
      </c>
      <c r="F1258" s="8" t="s">
        <v>13</v>
      </c>
      <c r="G1258" s="8" t="s">
        <v>14</v>
      </c>
      <c r="H1258" s="16">
        <v>16.0</v>
      </c>
      <c r="I1258" s="15" t="str">
        <f>SUBSTITUTE(Sheet1!K1258, "Rp", "")</f>
        <v>2224000</v>
      </c>
    </row>
    <row r="1259">
      <c r="A1259" s="8" t="s">
        <v>1789</v>
      </c>
      <c r="B1259" s="13" t="str">
        <f>HYPERLINK("https://shopee.co.id/Avoskin-Perfect-Hydrating-Treatment-Essence-100-ml--i.110573301.9202995515", "https://shopee.co.id/Avoskin-Perfect-Hydrating-Treatment-Essence-100-ml--i.110573301.9202995515")</f>
        <v>https://shopee.co.id/Avoskin-Perfect-Hydrating-Treatment-Essence-100-ml--i.110573301.9202995515</v>
      </c>
      <c r="C1259" s="8" t="s">
        <v>83</v>
      </c>
      <c r="D1259" s="8" t="s">
        <v>227</v>
      </c>
      <c r="E1259" s="8" t="s">
        <v>12</v>
      </c>
      <c r="F1259" s="8" t="s">
        <v>13</v>
      </c>
      <c r="G1259" s="8" t="s">
        <v>61</v>
      </c>
      <c r="H1259" s="16">
        <v>16.0</v>
      </c>
      <c r="I1259" s="15" t="str">
        <f>SUBSTITUTE(Sheet1!K1259, "Rp", "")</f>
        <v>4760000</v>
      </c>
    </row>
    <row r="1260">
      <c r="A1260" s="8" t="s">
        <v>2348</v>
      </c>
      <c r="B1260" s="13" t="str">
        <f>HYPERLINK("https://shopee.co.id/AVOSKIN-Perfect-Hydrating-Treatment-Essence-Hydrating-Treatment-Refining-Toner-Serum-Retinol-i.28781862.3337948678", "https://shopee.co.id/AVOSKIN-Perfect-Hydrating-Treatment-Essence-Hydrating-Treatment-Refining-Toner-Serum-Retinol-i.28781862.3337948678")</f>
        <v>https://shopee.co.id/AVOSKIN-Perfect-Hydrating-Treatment-Essence-Hydrating-Treatment-Refining-Toner-Serum-Retinol-i.28781862.3337948678</v>
      </c>
      <c r="C1260" s="8" t="s">
        <v>83</v>
      </c>
      <c r="D1260" s="8" t="s">
        <v>1189</v>
      </c>
      <c r="E1260" s="8" t="s">
        <v>12</v>
      </c>
      <c r="F1260" s="8" t="s">
        <v>13</v>
      </c>
      <c r="G1260" s="8" t="s">
        <v>1190</v>
      </c>
      <c r="H1260" s="16">
        <v>16.0</v>
      </c>
      <c r="I1260" s="15" t="str">
        <f>SUBSTITUTE(Sheet1!K1260, "Rp", "")</f>
        <v>2136000</v>
      </c>
    </row>
    <row r="1261">
      <c r="A1261" s="8" t="s">
        <v>2251</v>
      </c>
      <c r="B1261" s="13" t="str">
        <f>HYPERLINK("https://shopee.co.id/Beauty-Package-Niacinamide-Hyaluronic-Acid-Serum-i.124549994.9084538519", "https://shopee.co.id/Beauty-Package-Niacinamide-Hyaluronic-Acid-Serum-i.124549994.9084538519")</f>
        <v>https://shopee.co.id/Beauty-Package-Niacinamide-Hyaluronic-Acid-Serum-i.124549994.9084538519</v>
      </c>
      <c r="C1261" s="8" t="s">
        <v>807</v>
      </c>
      <c r="D1261" s="8" t="s">
        <v>808</v>
      </c>
      <c r="E1261" s="8" t="s">
        <v>12</v>
      </c>
      <c r="F1261" s="8" t="s">
        <v>13</v>
      </c>
      <c r="G1261" s="8" t="s">
        <v>61</v>
      </c>
      <c r="H1261" s="16">
        <v>16.0</v>
      </c>
      <c r="I1261" s="15" t="str">
        <f>SUBSTITUTE(Sheet1!K1261, "Rp", "")</f>
        <v>2400000</v>
      </c>
    </row>
    <row r="1262">
      <c r="A1262" s="8" t="s">
        <v>1885</v>
      </c>
      <c r="B1262" s="13" t="str">
        <f>HYPERLINK("https://shopee.co.id/Bio-Essence-Bio-Gold-Water-Essence-100ml-Perawatan-Wajah-Anti-Aging-i.63822287.1671468808", "https://shopee.co.id/Bio-Essence-Bio-Gold-Water-Essence-100ml-Perawatan-Wajah-Anti-Aging-i.63822287.1671468808")</f>
        <v>https://shopee.co.id/Bio-Essence-Bio-Gold-Water-Essence-100ml-Perawatan-Wajah-Anti-Aging-i.63822287.1671468808</v>
      </c>
      <c r="C1262" s="8" t="s">
        <v>834</v>
      </c>
      <c r="D1262" s="8" t="s">
        <v>835</v>
      </c>
      <c r="E1262" s="8" t="s">
        <v>12</v>
      </c>
      <c r="F1262" s="8" t="s">
        <v>13</v>
      </c>
      <c r="G1262" s="8" t="s">
        <v>61</v>
      </c>
      <c r="H1262" s="16">
        <v>16.0</v>
      </c>
      <c r="I1262" s="15" t="str">
        <f>SUBSTITUTE(Sheet1!K1262, "Rp", "")</f>
        <v>4160000</v>
      </c>
    </row>
    <row r="1263">
      <c r="A1263" s="8" t="s">
        <v>1837</v>
      </c>
      <c r="B1263" s="13" t="str">
        <f>HYPERLINK("https://shopee.co.id/Bio-Essence-Rose-Gold-Water-Essence-100ml-Perawatan-Wajah-Anti-Aging-i.63822287.1671468805", "https://shopee.co.id/Bio-Essence-Rose-Gold-Water-Essence-100ml-Perawatan-Wajah-Anti-Aging-i.63822287.1671468805")</f>
        <v>https://shopee.co.id/Bio-Essence-Rose-Gold-Water-Essence-100ml-Perawatan-Wajah-Anti-Aging-i.63822287.1671468805</v>
      </c>
      <c r="C1263" s="8" t="s">
        <v>1688</v>
      </c>
      <c r="D1263" s="8" t="s">
        <v>835</v>
      </c>
      <c r="E1263" s="8" t="s">
        <v>12</v>
      </c>
      <c r="F1263" s="8" t="s">
        <v>13</v>
      </c>
      <c r="G1263" s="8" t="s">
        <v>61</v>
      </c>
      <c r="H1263" s="16">
        <v>16.0</v>
      </c>
      <c r="I1263" s="15" t="str">
        <f>SUBSTITUTE(Sheet1!K1263, "Rp", "")</f>
        <v>4491000</v>
      </c>
    </row>
    <row r="1264">
      <c r="A1264" s="8" t="s">
        <v>505</v>
      </c>
      <c r="B1264" s="13" t="str">
        <f>HYPERLINK("https://shopee.co.id/Buy-Pond-s-Triple-Glow-Serum-30ml-Triple-Glow-Serum-Sheet-Mask-Free-Serum-Burst-Cream-20gr-i.65323877.10344833982", "https://shopee.co.id/Buy-Pond-s-Triple-Glow-Serum-30ml-Triple-Glow-Serum-Sheet-Mask-Free-Serum-Burst-Cream-20gr-i.65323877.10344833982")</f>
        <v>https://shopee.co.id/Buy-Pond-s-Triple-Glow-Serum-30ml-Triple-Glow-Serum-Sheet-Mask-Free-Serum-Burst-Cream-20gr-i.65323877.10344833982</v>
      </c>
      <c r="C1264" s="8" t="s">
        <v>325</v>
      </c>
      <c r="D1264" s="8" t="s">
        <v>1600</v>
      </c>
      <c r="E1264" s="8" t="s">
        <v>12</v>
      </c>
      <c r="F1264" s="8" t="s">
        <v>13</v>
      </c>
      <c r="G1264" s="8" t="s">
        <v>296</v>
      </c>
      <c r="H1264" s="16">
        <v>16.0</v>
      </c>
      <c r="I1264" s="15" t="str">
        <f>SUBSTITUTE(Sheet1!K1264, "Rp", "")</f>
        <v>1464300</v>
      </c>
    </row>
    <row r="1265">
      <c r="A1265" s="8" t="s">
        <v>2054</v>
      </c>
      <c r="B1265" s="13" t="str">
        <f>HYPERLINK("https://shopee.co.id/Elshe-Skin-Radiant-Skin-Serum-20-ml-i.68111.2375734925", "https://shopee.co.id/Elshe-Skin-Radiant-Skin-Serum-20-ml-i.68111.2375734925")</f>
        <v>https://shopee.co.id/Elshe-Skin-Radiant-Skin-Serum-20-ml-i.68111.2375734925</v>
      </c>
      <c r="C1265" s="8" t="s">
        <v>135</v>
      </c>
      <c r="D1265" s="8" t="s">
        <v>441</v>
      </c>
      <c r="E1265" s="8" t="s">
        <v>12</v>
      </c>
      <c r="F1265" s="8" t="s">
        <v>13</v>
      </c>
      <c r="G1265" s="8" t="s">
        <v>130</v>
      </c>
      <c r="H1265" s="16">
        <v>16.0</v>
      </c>
      <c r="I1265" s="15" t="str">
        <f>SUBSTITUTE(Sheet1!K1265, "Rp", "")</f>
        <v>3246500</v>
      </c>
    </row>
    <row r="1266">
      <c r="A1266" s="8" t="s">
        <v>2581</v>
      </c>
      <c r="B1266" s="13" t="str">
        <f>HYPERLINK("https://shopee.co.id/Estetiderma-Serum-Vitamin-C-Skin-Brightening-Vitamin-C-i.61653681.5743954797", "https://shopee.co.id/Estetiderma-Serum-Vitamin-C-Skin-Brightening-Vitamin-C-i.61653681.5743954797")</f>
        <v>https://shopee.co.id/Estetiderma-Serum-Vitamin-C-Skin-Brightening-Vitamin-C-i.61653681.5743954797</v>
      </c>
      <c r="C1266" s="8" t="s">
        <v>2451</v>
      </c>
      <c r="D1266" s="8" t="s">
        <v>2452</v>
      </c>
      <c r="E1266" s="8" t="s">
        <v>12</v>
      </c>
      <c r="F1266" s="8" t="s">
        <v>13</v>
      </c>
      <c r="G1266" s="8" t="s">
        <v>98</v>
      </c>
      <c r="H1266" s="16">
        <v>16.0</v>
      </c>
      <c r="I1266" s="15" t="str">
        <f>SUBSTITUTE(Sheet1!K1266, "Rp", "")</f>
        <v>1519760</v>
      </c>
    </row>
    <row r="1267">
      <c r="A1267" s="8" t="s">
        <v>2453</v>
      </c>
      <c r="B1267" s="13" t="str">
        <f>HYPERLINK("https://shopee.co.id/Humphrey-Spot-Serum-20ml-Flek-Hitam--i.83349.273142", "https://shopee.co.id/Humphrey-Spot-Serum-20ml-Flek-Hitam--i.83349.273142")</f>
        <v>https://shopee.co.id/Humphrey-Spot-Serum-20ml-Flek-Hitam--i.83349.273142</v>
      </c>
      <c r="C1267" s="8" t="s">
        <v>1832</v>
      </c>
      <c r="D1267" s="8" t="s">
        <v>1833</v>
      </c>
      <c r="E1267" s="8" t="s">
        <v>12</v>
      </c>
      <c r="F1267" s="8" t="s">
        <v>13</v>
      </c>
      <c r="G1267" s="8" t="s">
        <v>21</v>
      </c>
      <c r="H1267" s="16">
        <v>16.0</v>
      </c>
      <c r="I1267" s="15" t="str">
        <f>SUBSTITUTE(Sheet1!K1267, "Rp", "")</f>
        <v>1810490</v>
      </c>
    </row>
    <row r="1268">
      <c r="A1268" s="8" t="s">
        <v>1543</v>
      </c>
      <c r="B1268" s="13" t="str">
        <f>HYPERLINK("https://shopee.co.id/I-m-From-Mugwort-Essence-Size-160-ml-Edit-by-Sociolla-i.224957239.5361913802", "https://shopee.co.id/I-m-From-Mugwort-Essence-Size-160-ml-Edit-by-Sociolla-i.224957239.5361913802")</f>
        <v>https://shopee.co.id/I-m-From-Mugwort-Essence-Size-160-ml-Edit-by-Sociolla-i.224957239.5361913802</v>
      </c>
      <c r="C1268" s="8" t="s">
        <v>1544</v>
      </c>
      <c r="D1268" s="8" t="s">
        <v>492</v>
      </c>
      <c r="E1268" s="8" t="s">
        <v>12</v>
      </c>
      <c r="F1268" s="8" t="s">
        <v>13</v>
      </c>
      <c r="G1268" s="8" t="s">
        <v>21</v>
      </c>
      <c r="H1268" s="16">
        <v>16.0</v>
      </c>
      <c r="I1268" s="15" t="str">
        <f>SUBSTITUTE(Sheet1!K1268, "Rp", "")</f>
        <v>7154000</v>
      </c>
    </row>
    <row r="1269">
      <c r="A1269" s="8" t="s">
        <v>2556</v>
      </c>
      <c r="B1269" s="13" t="str">
        <f>HYPERLINK("https://shopee.co.id/Iunik-Tea-Tree-Relief-Serum-15ml-i.825870.5853261708", "https://shopee.co.id/Iunik-Tea-Tree-Relief-Serum-15ml-i.825870.5853261708")</f>
        <v>https://shopee.co.id/Iunik-Tea-Tree-Relief-Serum-15ml-i.825870.5853261708</v>
      </c>
      <c r="C1269" s="8" t="s">
        <v>1658</v>
      </c>
      <c r="D1269" s="8" t="s">
        <v>1184</v>
      </c>
      <c r="E1269" s="8" t="s">
        <v>12</v>
      </c>
      <c r="F1269" s="8" t="s">
        <v>13</v>
      </c>
      <c r="G1269" s="8" t="s">
        <v>21</v>
      </c>
      <c r="H1269" s="16">
        <v>16.0</v>
      </c>
      <c r="I1269" s="15" t="str">
        <f>SUBSTITUTE(Sheet1!K1269, "Rp", "")</f>
        <v>1568000</v>
      </c>
    </row>
    <row r="1270">
      <c r="A1270" s="8" t="s">
        <v>2028</v>
      </c>
      <c r="B1270" s="13" t="str">
        <f>HYPERLINK("https://shopee.co.id/L-OREAL-Revitalift-1-5-Hyaluronic-Acid-Serum-30ml-i.30736001.3356248589", "https://shopee.co.id/L-OREAL-Revitalift-1-5-Hyaluronic-Acid-Serum-30ml-i.30736001.3356248589")</f>
        <v>https://shopee.co.id/L-OREAL-Revitalift-1-5-Hyaluronic-Acid-Serum-30ml-i.30736001.3356248589</v>
      </c>
      <c r="C1270" s="8" t="s">
        <v>105</v>
      </c>
      <c r="D1270" s="8" t="s">
        <v>335</v>
      </c>
      <c r="E1270" s="8" t="s">
        <v>12</v>
      </c>
      <c r="F1270" s="8" t="s">
        <v>13</v>
      </c>
      <c r="G1270" s="8" t="s">
        <v>36</v>
      </c>
      <c r="H1270" s="16">
        <v>16.0</v>
      </c>
      <c r="I1270" s="15" t="str">
        <f>SUBSTITUTE(Sheet1!K1270, "Rp", "")</f>
        <v>3368000</v>
      </c>
    </row>
    <row r="1271">
      <c r="A1271" s="8" t="s">
        <v>2331</v>
      </c>
      <c r="B1271" s="13" t="str">
        <f>HYPERLINK("https://shopee.co.id/Lightening-Essence-Serum-Mutiara-Marwah-Skin-Care-i.357101711.3004405269", "https://shopee.co.id/Lightening-Essence-Serum-Mutiara-Marwah-Skin-Care-i.357101711.3004405269")</f>
        <v>https://shopee.co.id/Lightening-Essence-Serum-Mutiara-Marwah-Skin-Care-i.357101711.3004405269</v>
      </c>
      <c r="C1271" s="8" t="s">
        <v>2249</v>
      </c>
      <c r="D1271" s="8" t="s">
        <v>2250</v>
      </c>
      <c r="E1271" s="8" t="s">
        <v>12</v>
      </c>
      <c r="F1271" s="8" t="s">
        <v>13</v>
      </c>
      <c r="G1271" s="8" t="s">
        <v>370</v>
      </c>
      <c r="H1271" s="16">
        <v>16.0</v>
      </c>
      <c r="I1271" s="15" t="str">
        <f>SUBSTITUTE(Sheet1!K1271, "Rp", "")</f>
        <v>2160000</v>
      </c>
    </row>
    <row r="1272">
      <c r="A1272" s="8" t="s">
        <v>2326</v>
      </c>
      <c r="B1272" s="13" t="str">
        <f>HYPERLINK("https://shopee.co.id/NATURE-REACTION-CRYSTAL-BRIGHT-SERUM-NATURE-REACTION-CRYSTAL-SERUM-NATURE-REACTION-SERUM-100-ORI-i.375565670.10828129179", "https://shopee.co.id/NATURE-REACTION-CRYSTAL-BRIGHT-SERUM-NATURE-REACTION-CRYSTAL-SERUM-NATURE-REACTION-SERUM-100-ORI-i.375565670.10828129179")</f>
        <v>https://shopee.co.id/NATURE-REACTION-CRYSTAL-BRIGHT-SERUM-NATURE-REACTION-CRYSTAL-SERUM-NATURE-REACTION-SERUM-100-ORI-i.375565670.10828129179</v>
      </c>
      <c r="C1272" s="8" t="s">
        <v>530</v>
      </c>
      <c r="D1272" s="8" t="s">
        <v>531</v>
      </c>
      <c r="E1272" s="8" t="s">
        <v>12</v>
      </c>
      <c r="F1272" s="8" t="s">
        <v>13</v>
      </c>
      <c r="G1272" s="8" t="s">
        <v>532</v>
      </c>
      <c r="H1272" s="16">
        <v>16.0</v>
      </c>
      <c r="I1272" s="15" t="str">
        <f>SUBSTITUTE(Sheet1!K1272, "Rp", "")</f>
        <v>2192000</v>
      </c>
    </row>
    <row r="1273">
      <c r="A1273" s="8" t="s">
        <v>2352</v>
      </c>
      <c r="B1273" s="13" t="str">
        <f>HYPERLINK("https://shopee.co.id/Npure-Face-Essence-Centella-Asiatica-Cica-Series-20ml-i.110573301.5860838084", "https://shopee.co.id/Npure-Face-Essence-Centella-Asiatica-Cica-Series-20ml-i.110573301.5860838084")</f>
        <v>https://shopee.co.id/Npure-Face-Essence-Centella-Asiatica-Cica-Series-20ml-i.110573301.5860838084</v>
      </c>
      <c r="C1273" s="8" t="s">
        <v>266</v>
      </c>
      <c r="D1273" s="8" t="s">
        <v>227</v>
      </c>
      <c r="E1273" s="8" t="s">
        <v>12</v>
      </c>
      <c r="F1273" s="8" t="s">
        <v>13</v>
      </c>
      <c r="G1273" s="8" t="s">
        <v>61</v>
      </c>
      <c r="H1273" s="16">
        <v>16.0</v>
      </c>
      <c r="I1273" s="15" t="str">
        <f>SUBSTITUTE(Sheet1!K1273, "Rp", "")</f>
        <v>2106000</v>
      </c>
    </row>
    <row r="1274">
      <c r="A1274" s="8" t="s">
        <v>194</v>
      </c>
      <c r="B1274" s="13" t="str">
        <f>HYPERLINK("https://shopee.co.id/Nutrishe-Intensive-Bright-Glow-Serum-i.110573301.9615709116", "https://shopee.co.id/Nutrishe-Intensive-Bright-Glow-Serum-i.110573301.9615709116")</f>
        <v>https://shopee.co.id/Nutrishe-Intensive-Bright-Glow-Serum-i.110573301.9615709116</v>
      </c>
      <c r="C1274" s="8" t="s">
        <v>195</v>
      </c>
      <c r="D1274" s="8" t="s">
        <v>227</v>
      </c>
      <c r="E1274" s="8" t="s">
        <v>12</v>
      </c>
      <c r="F1274" s="8" t="s">
        <v>13</v>
      </c>
      <c r="G1274" s="8" t="s">
        <v>61</v>
      </c>
      <c r="H1274" s="16">
        <v>16.0</v>
      </c>
      <c r="I1274" s="15" t="str">
        <f>SUBSTITUTE(Sheet1!K1274, "Rp", "")</f>
        <v>2689600</v>
      </c>
    </row>
    <row r="1275">
      <c r="A1275" s="8" t="s">
        <v>2389</v>
      </c>
      <c r="B1275" s="13" t="str">
        <f>HYPERLINK("https://shopee.co.id/Qweena-Pumpkin-Whitening-Serum-with-snail-secretion-filtrate-20ML--i.198883301.4929121633", "https://shopee.co.id/Qweena-Pumpkin-Whitening-Serum-with-snail-secretion-filtrate-20ML--i.198883301.4929121633")</f>
        <v>https://shopee.co.id/Qweena-Pumpkin-Whitening-Serum-with-snail-secretion-filtrate-20ML--i.198883301.4929121633</v>
      </c>
      <c r="C1275" s="8" t="s">
        <v>2390</v>
      </c>
      <c r="D1275" s="8" t="s">
        <v>2391</v>
      </c>
      <c r="E1275" s="8" t="s">
        <v>12</v>
      </c>
      <c r="F1275" s="8" t="s">
        <v>13</v>
      </c>
      <c r="G1275" s="8" t="s">
        <v>2392</v>
      </c>
      <c r="H1275" s="16">
        <v>16.0</v>
      </c>
      <c r="I1275" s="15" t="str">
        <f>SUBSTITUTE(Sheet1!K1275, "Rp", "")</f>
        <v>2000000</v>
      </c>
    </row>
    <row r="1276">
      <c r="A1276" s="8" t="s">
        <v>1784</v>
      </c>
      <c r="B1276" s="13" t="str">
        <f>HYPERLINK("https://shopee.co.id/Somethinc-Bakuchiol-Skinpair-Oil-Serum-20ml-i.10689.8315210720", "https://shopee.co.id/Somethinc-Bakuchiol-Skinpair-Oil-Serum-20ml-i.10689.8315210720")</f>
        <v>https://shopee.co.id/Somethinc-Bakuchiol-Skinpair-Oil-Serum-20ml-i.10689.8315210720</v>
      </c>
      <c r="C1276" s="8" t="s">
        <v>45</v>
      </c>
      <c r="D1276" s="8" t="s">
        <v>745</v>
      </c>
      <c r="E1276" s="8" t="s">
        <v>12</v>
      </c>
      <c r="F1276" s="8" t="s">
        <v>13</v>
      </c>
      <c r="G1276" s="8" t="s">
        <v>61</v>
      </c>
      <c r="H1276" s="16">
        <v>16.0</v>
      </c>
      <c r="I1276" s="15" t="str">
        <f>SUBSTITUTE(Sheet1!K1276, "Rp", "")</f>
        <v>1424000</v>
      </c>
    </row>
    <row r="1277">
      <c r="A1277" s="8" t="s">
        <v>2135</v>
      </c>
      <c r="B1277" s="13" t="str">
        <f>HYPERLINK("https://shopee.co.id/SOMETHINC-Bright-Skin-Pair-20-ml-i.68111.13905900970", "https://shopee.co.id/SOMETHINC-Bright-Skin-Pair-20-ml-i.68111.13905900970")</f>
        <v>https://shopee.co.id/SOMETHINC-Bright-Skin-Pair-20-ml-i.68111.13905900970</v>
      </c>
      <c r="C1277" s="8" t="s">
        <v>45</v>
      </c>
      <c r="D1277" s="8" t="s">
        <v>441</v>
      </c>
      <c r="E1277" s="8" t="s">
        <v>12</v>
      </c>
      <c r="F1277" s="8" t="s">
        <v>13</v>
      </c>
      <c r="G1277" s="8" t="s">
        <v>130</v>
      </c>
      <c r="H1277" s="16">
        <v>16.0</v>
      </c>
      <c r="I1277" s="15" t="str">
        <f>SUBSTITUTE(Sheet1!K1277, "Rp", "")</f>
        <v>2781200</v>
      </c>
    </row>
    <row r="1278">
      <c r="A1278" s="8" t="s">
        <v>2440</v>
      </c>
      <c r="B1278" s="13" t="str">
        <f>HYPERLINK("https://shopee.co.id/Somethinc-Hyaluronic9-Advanced-B5-Serum-20ml-i.825870.10314002386", "https://shopee.co.id/Somethinc-Hyaluronic9-Advanced-B5-Serum-20ml-i.825870.10314002386")</f>
        <v>https://shopee.co.id/Somethinc-Hyaluronic9-Advanced-B5-Serum-20ml-i.825870.10314002386</v>
      </c>
      <c r="C1278" s="8" t="s">
        <v>45</v>
      </c>
      <c r="D1278" s="8" t="s">
        <v>1184</v>
      </c>
      <c r="E1278" s="8" t="s">
        <v>12</v>
      </c>
      <c r="F1278" s="8" t="s">
        <v>13</v>
      </c>
      <c r="G1278" s="8" t="s">
        <v>21</v>
      </c>
      <c r="H1278" s="16">
        <v>16.0</v>
      </c>
      <c r="I1278" s="15" t="str">
        <f>SUBSTITUTE(Sheet1!K1278, "Rp", "")</f>
        <v>1848000</v>
      </c>
    </row>
    <row r="1279">
      <c r="A1279" s="8" t="s">
        <v>2370</v>
      </c>
      <c r="B1279" s="13" t="str">
        <f>HYPERLINK("https://shopee.co.id/SOMETHINC-Niacinamide-Moisture-Beet-Serum-20ml-i.30736001.9335381182", "https://shopee.co.id/SOMETHINC-Niacinamide-Moisture-Beet-Serum-20ml-i.30736001.9335381182")</f>
        <v>https://shopee.co.id/SOMETHINC-Niacinamide-Moisture-Beet-Serum-20ml-i.30736001.9335381182</v>
      </c>
      <c r="C1279" s="8" t="s">
        <v>45</v>
      </c>
      <c r="D1279" s="8" t="s">
        <v>335</v>
      </c>
      <c r="E1279" s="8" t="s">
        <v>12</v>
      </c>
      <c r="F1279" s="8" t="s">
        <v>13</v>
      </c>
      <c r="G1279" s="8" t="s">
        <v>36</v>
      </c>
      <c r="H1279" s="16">
        <v>16.0</v>
      </c>
      <c r="I1279" s="15" t="str">
        <f>SUBSTITUTE(Sheet1!K1279, "Rp", "")</f>
        <v>2040000</v>
      </c>
    </row>
    <row r="1280">
      <c r="A1280" s="8" t="s">
        <v>2610</v>
      </c>
      <c r="B1280" s="13" t="str">
        <f>HYPERLINK("https://shopee.co.id/The-Aubree-Niacinamide-Skin-Booster-30ml-i.136011044.2922909543", "https://shopee.co.id/The-Aubree-Niacinamide-Skin-Booster-30ml-i.136011044.2922909543")</f>
        <v>https://shopee.co.id/The-Aubree-Niacinamide-Skin-Booster-30ml-i.136011044.2922909543</v>
      </c>
      <c r="C1280" s="8" t="s">
        <v>772</v>
      </c>
      <c r="D1280" s="8" t="s">
        <v>632</v>
      </c>
      <c r="E1280" s="8" t="s">
        <v>12</v>
      </c>
      <c r="F1280" s="8" t="s">
        <v>13</v>
      </c>
      <c r="G1280" s="8" t="s">
        <v>21</v>
      </c>
      <c r="H1280" s="16">
        <v>16.0</v>
      </c>
      <c r="I1280" s="15" t="str">
        <f>SUBSTITUTE(Sheet1!K1280, "Rp", "")</f>
        <v>1425600</v>
      </c>
    </row>
    <row r="1281">
      <c r="A1281" s="8" t="s">
        <v>1825</v>
      </c>
      <c r="B1281" s="13" t="str">
        <f>HYPERLINK("https://shopee.co.id/Votre-Peau-Skin-Care-Bye-Bye-Wrinkles-Package-i.46300234.7277393145", "https://shopee.co.id/Votre-Peau-Skin-Care-Bye-Bye-Wrinkles-Package-i.46300234.7277393145")</f>
        <v>https://shopee.co.id/Votre-Peau-Skin-Care-Bye-Bye-Wrinkles-Package-i.46300234.7277393145</v>
      </c>
      <c r="C1281" s="8" t="s">
        <v>999</v>
      </c>
      <c r="D1281" s="8" t="s">
        <v>472</v>
      </c>
      <c r="E1281" s="8" t="s">
        <v>12</v>
      </c>
      <c r="F1281" s="8" t="s">
        <v>13</v>
      </c>
      <c r="G1281" s="8" t="s">
        <v>98</v>
      </c>
      <c r="H1281" s="16">
        <v>16.0</v>
      </c>
      <c r="I1281" s="15" t="str">
        <f>SUBSTITUTE(Sheet1!K1281, "Rp", "")</f>
        <v>4557300</v>
      </c>
    </row>
    <row r="1282">
      <c r="A1282" s="8" t="s">
        <v>3102</v>
      </c>
      <c r="B1282" s="13" t="str">
        <f>HYPERLINK("https://shopee.co.id/Yoqueen-Beauty-Light-Booster-Serum-30ml-Buy-1-Get-1--i.48380572.10516489582", "https://shopee.co.id/Yoqueen-Beauty-Light-Booster-Serum-30ml-Buy-1-Get-1--i.48380572.10516489582")</f>
        <v>https://shopee.co.id/Yoqueen-Beauty-Light-Booster-Serum-30ml-Buy-1-Get-1--i.48380572.10516489582</v>
      </c>
      <c r="C1282" s="8" t="s">
        <v>3103</v>
      </c>
      <c r="D1282" s="8" t="s">
        <v>2119</v>
      </c>
      <c r="E1282" s="8" t="s">
        <v>12</v>
      </c>
      <c r="F1282" s="8" t="s">
        <v>13</v>
      </c>
      <c r="G1282" s="8" t="s">
        <v>2120</v>
      </c>
      <c r="H1282" s="16">
        <v>16.0</v>
      </c>
      <c r="I1282" s="15" t="str">
        <f>SUBSTITUTE(Sheet1!K1282, "Rp", "")</f>
        <v>622999</v>
      </c>
    </row>
    <row r="1283">
      <c r="A1283" s="8" t="s">
        <v>1681</v>
      </c>
      <c r="B1283" s="13" t="str">
        <f>HYPERLINK("https://shopee.co.id/-Buy-1-Get-1-Bio-Essence-Bio-Gold-Gold-Water-100-Ml-i.63822287.3366720284", "https://shopee.co.id/-Buy-1-Get-1-Bio-Essence-Bio-Gold-Gold-Water-100-Ml-i.63822287.3366720284")</f>
        <v>https://shopee.co.id/-Buy-1-Get-1-Bio-Essence-Bio-Gold-Gold-Water-100-Ml-i.63822287.3366720284</v>
      </c>
      <c r="C1283" s="8" t="s">
        <v>834</v>
      </c>
      <c r="D1283" s="8" t="s">
        <v>835</v>
      </c>
      <c r="E1283" s="8" t="s">
        <v>12</v>
      </c>
      <c r="F1283" s="8" t="s">
        <v>13</v>
      </c>
      <c r="G1283" s="8" t="s">
        <v>61</v>
      </c>
      <c r="H1283" s="16">
        <v>15.0</v>
      </c>
      <c r="I1283" s="15" t="str">
        <f>SUBSTITUTE(Sheet1!K1283, "Rp", "")</f>
        <v>5612500</v>
      </c>
    </row>
    <row r="1284">
      <c r="A1284" s="8" t="s">
        <v>1686</v>
      </c>
      <c r="B1284" s="13" t="str">
        <f>HYPERLINK("https://shopee.co.id/-innisfree-Green-Tea-Seed-Serum-Bundle-i.61504589.7691561356", "https://shopee.co.id/-innisfree-Green-Tea-Seed-Serum-Bundle-i.61504589.7691561356")</f>
        <v>https://shopee.co.id/-innisfree-Green-Tea-Seed-Serum-Bundle-i.61504589.7691561356</v>
      </c>
      <c r="C1284" s="8" t="s">
        <v>294</v>
      </c>
      <c r="D1284" s="8" t="s">
        <v>295</v>
      </c>
      <c r="E1284" s="8" t="s">
        <v>12</v>
      </c>
      <c r="F1284" s="8" t="s">
        <v>13</v>
      </c>
      <c r="G1284" s="8" t="s">
        <v>296</v>
      </c>
      <c r="H1284" s="16">
        <v>15.0</v>
      </c>
      <c r="I1284" s="15" t="str">
        <f>SUBSTITUTE(Sheet1!K1284, "Rp", "")</f>
        <v>5550000</v>
      </c>
    </row>
    <row r="1285">
      <c r="A1285" s="8" t="s">
        <v>867</v>
      </c>
      <c r="B1285" s="13" t="str">
        <f>HYPERLINK("https://shopee.co.id/Ultimune-Power-Infusing-Concentrate-Serum-3-0-50ml-i.345419471.5895630356", "https://shopee.co.id/Ultimune-Power-Infusing-Concentrate-Serum-3-0-50ml-i.345419471.5895630356")</f>
        <v>https://shopee.co.id/Ultimune-Power-Infusing-Concentrate-Serum-3-0-50ml-i.345419471.5895630356</v>
      </c>
      <c r="C1285" s="8" t="s">
        <v>868</v>
      </c>
      <c r="D1285" s="8" t="s">
        <v>869</v>
      </c>
      <c r="E1285" s="8" t="s">
        <v>12</v>
      </c>
      <c r="F1285" s="8" t="s">
        <v>13</v>
      </c>
      <c r="G1285" s="8" t="s">
        <v>130</v>
      </c>
      <c r="H1285" s="16">
        <v>15.0</v>
      </c>
      <c r="I1285" s="15" t="str">
        <f>SUBSTITUTE(Sheet1!K1285, "Rp", "")</f>
        <v>26250000</v>
      </c>
    </row>
    <row r="1286">
      <c r="A1286" s="8" t="s">
        <v>1103</v>
      </c>
      <c r="B1286" s="13" t="str">
        <f>HYPERLINK("https://shopee.co.id/-TIDAK-DIJUAL-Vitamin-C-pour-Maharis-Travel-Size-10ml-i.46300234.11913429618", "https://shopee.co.id/-TIDAK-DIJUAL-Vitamin-C-pour-Maharis-Travel-Size-10ml-i.46300234.11913429618")</f>
        <v>https://shopee.co.id/-TIDAK-DIJUAL-Vitamin-C-pour-Maharis-Travel-Size-10ml-i.46300234.11913429618</v>
      </c>
      <c r="C1286" s="8" t="s">
        <v>471</v>
      </c>
      <c r="D1286" s="8" t="s">
        <v>472</v>
      </c>
      <c r="E1286" s="8" t="s">
        <v>12</v>
      </c>
      <c r="F1286" s="8" t="s">
        <v>13</v>
      </c>
      <c r="G1286" s="8" t="s">
        <v>98</v>
      </c>
      <c r="H1286" s="16">
        <v>15.0</v>
      </c>
      <c r="I1286" s="15" t="str">
        <f>SUBSTITUTE(Sheet1!K1286, "Rp", "")</f>
        <v>14999985</v>
      </c>
    </row>
    <row r="1287">
      <c r="A1287" s="8" t="s">
        <v>2349</v>
      </c>
      <c r="B1287" s="13" t="str">
        <f>HYPERLINK("https://shopee.co.id/Ariul-Watermelon-Hydro-Glow-Serum-Size-55-ml-Edit-by-Sociolla-i.224957239.3361105880", "https://shopee.co.id/Ariul-Watermelon-Hydro-Glow-Serum-Size-55-ml-Edit-by-Sociolla-i.224957239.3361105880")</f>
        <v>https://shopee.co.id/Ariul-Watermelon-Hydro-Glow-Serum-Size-55-ml-Edit-by-Sociolla-i.224957239.3361105880</v>
      </c>
      <c r="C1287" s="8" t="s">
        <v>2350</v>
      </c>
      <c r="D1287" s="8" t="s">
        <v>492</v>
      </c>
      <c r="E1287" s="8" t="s">
        <v>12</v>
      </c>
      <c r="F1287" s="8" t="s">
        <v>13</v>
      </c>
      <c r="G1287" s="8" t="s">
        <v>21</v>
      </c>
      <c r="H1287" s="16">
        <v>15.0</v>
      </c>
      <c r="I1287" s="15" t="str">
        <f>SUBSTITUTE(Sheet1!K1287, "Rp", "")</f>
        <v>2130600</v>
      </c>
    </row>
    <row r="1288">
      <c r="A1288" s="8" t="s">
        <v>2415</v>
      </c>
      <c r="B1288" s="13" t="str">
        <f>HYPERLINK("https://shopee.co.id/AVOSKIN-Your-Skin-Bae-Lactid-Acid-10-Kiwi-Fruit-5-Niacinamide-2-5-High-Dose-Serum-30ml-i.270965687.8528351220", "https://shopee.co.id/AVOSKIN-Your-Skin-Bae-Lactid-Acid-10-Kiwi-Fruit-5-Niacinamide-2-5-High-Dose-Serum-30ml-i.270965687.8528351220")</f>
        <v>https://shopee.co.id/AVOSKIN-Your-Skin-Bae-Lactid-Acid-10-Kiwi-Fruit-5-Niacinamide-2-5-High-Dose-Serum-30ml-i.270965687.8528351220</v>
      </c>
      <c r="C1288" s="8" t="s">
        <v>83</v>
      </c>
      <c r="D1288" s="8" t="s">
        <v>379</v>
      </c>
      <c r="E1288" s="8" t="s">
        <v>12</v>
      </c>
      <c r="F1288" s="8" t="s">
        <v>13</v>
      </c>
      <c r="G1288" s="8" t="s">
        <v>380</v>
      </c>
      <c r="H1288" s="16">
        <v>15.0</v>
      </c>
      <c r="I1288" s="15" t="str">
        <f>SUBSTITUTE(Sheet1!K1288, "Rp", "")</f>
        <v>1907000</v>
      </c>
    </row>
    <row r="1289">
      <c r="A1289" s="8" t="s">
        <v>2432</v>
      </c>
      <c r="B1289" s="13" t="str">
        <f>HYPERLINK("https://shopee.co.id/AVOSKIN-YOUR-SKIN-BAE-SERIES-Lactic-Acid-10-Kiwi-Fruit-Exctract-5-Niacinamide-2-5-High-Dose-S-i.68111.10516418890", "https://shopee.co.id/AVOSKIN-YOUR-SKIN-BAE-SERIES-Lactic-Acid-10-Kiwi-Fruit-Exctract-5-Niacinamide-2-5-High-Dose-S-i.68111.10516418890")</f>
        <v>https://shopee.co.id/AVOSKIN-YOUR-SKIN-BAE-SERIES-Lactic-Acid-10-Kiwi-Fruit-Exctract-5-Niacinamide-2-5-High-Dose-S-i.68111.10516418890</v>
      </c>
      <c r="C1289" s="8" t="s">
        <v>83</v>
      </c>
      <c r="D1289" s="8" t="s">
        <v>441</v>
      </c>
      <c r="E1289" s="8" t="s">
        <v>12</v>
      </c>
      <c r="F1289" s="8" t="s">
        <v>13</v>
      </c>
      <c r="G1289" s="8" t="s">
        <v>130</v>
      </c>
      <c r="H1289" s="16">
        <v>15.0</v>
      </c>
      <c r="I1289" s="15" t="str">
        <f>SUBSTITUTE(Sheet1!K1289, "Rp", "")</f>
        <v>1870500</v>
      </c>
    </row>
    <row r="1290">
      <c r="A1290" s="8" t="s">
        <v>1338</v>
      </c>
      <c r="B1290" s="13" t="str">
        <f>HYPERLINK("https://shopee.co.id/Bio-Essence-Bio-Gold-Full-Set-Package-i.63822287.3656037876", "https://shopee.co.id/Bio-Essence-Bio-Gold-Full-Set-Package-i.63822287.3656037876")</f>
        <v>https://shopee.co.id/Bio-Essence-Bio-Gold-Full-Set-Package-i.63822287.3656037876</v>
      </c>
      <c r="C1290" s="8" t="s">
        <v>834</v>
      </c>
      <c r="D1290" s="8" t="s">
        <v>835</v>
      </c>
      <c r="E1290" s="8" t="s">
        <v>12</v>
      </c>
      <c r="F1290" s="8" t="s">
        <v>13</v>
      </c>
      <c r="G1290" s="8" t="s">
        <v>61</v>
      </c>
      <c r="H1290" s="16">
        <v>15.0</v>
      </c>
      <c r="I1290" s="15" t="str">
        <f>SUBSTITUTE(Sheet1!K1290, "Rp", "")</f>
        <v>10012600</v>
      </c>
    </row>
    <row r="1291">
      <c r="A1291" s="8" t="s">
        <v>1282</v>
      </c>
      <c r="B1291" s="13" t="str">
        <f>HYPERLINK("https://shopee.co.id/Bioessence-Bio-White-Full-Set-Regime-i.63822287.5532965919", "https://shopee.co.id/Bioessence-Bio-White-Full-Set-Regime-i.63822287.5532965919")</f>
        <v>https://shopee.co.id/Bioessence-Bio-White-Full-Set-Regime-i.63822287.5532965919</v>
      </c>
      <c r="C1291" s="8" t="s">
        <v>1254</v>
      </c>
      <c r="D1291" s="8" t="s">
        <v>835</v>
      </c>
      <c r="E1291" s="8" t="s">
        <v>12</v>
      </c>
      <c r="F1291" s="8" t="s">
        <v>13</v>
      </c>
      <c r="G1291" s="8" t="s">
        <v>61</v>
      </c>
      <c r="H1291" s="16">
        <v>15.0</v>
      </c>
      <c r="I1291" s="15" t="str">
        <f>SUBSTITUTE(Sheet1!K1291, "Rp", "")</f>
        <v>11085800</v>
      </c>
    </row>
    <row r="1292">
      <c r="A1292" s="8" t="s">
        <v>2626</v>
      </c>
      <c r="B1292" s="13" t="str">
        <f>HYPERLINK("https://shopee.co.id/Dear-Me-Beauty-2-Salicylic-Acid-BHA-Lemon-Extract-Face-Serum-i.270965687.10106239765", "https://shopee.co.id/Dear-Me-Beauty-2-Salicylic-Acid-BHA-Lemon-Extract-Face-Serum-i.270965687.10106239765")</f>
        <v>https://shopee.co.id/Dear-Me-Beauty-2-Salicylic-Acid-BHA-Lemon-Extract-Face-Serum-i.270965687.10106239765</v>
      </c>
      <c r="C1292" s="8" t="s">
        <v>70</v>
      </c>
      <c r="D1292" s="8" t="s">
        <v>379</v>
      </c>
      <c r="E1292" s="8" t="s">
        <v>12</v>
      </c>
      <c r="F1292" s="8" t="s">
        <v>13</v>
      </c>
      <c r="G1292" s="8" t="s">
        <v>380</v>
      </c>
      <c r="H1292" s="16">
        <v>15.0</v>
      </c>
      <c r="I1292" s="15" t="str">
        <f>SUBSTITUTE(Sheet1!K1292, "Rp", "")</f>
        <v>1379700</v>
      </c>
    </row>
    <row r="1293">
      <c r="A1293" s="8" t="s">
        <v>2259</v>
      </c>
      <c r="B1293" s="13" t="str">
        <f>HYPERLINK("https://shopee.co.id/Double-Anti-Aging-Brightening-Intensive-Serum-i.58821479.11345996379", "https://shopee.co.id/Double-Anti-Aging-Brightening-Intensive-Serum-i.58821479.11345996379")</f>
        <v>https://shopee.co.id/Double-Anti-Aging-Brightening-Intensive-Serum-i.58821479.11345996379</v>
      </c>
      <c r="C1293" s="8" t="s">
        <v>2260</v>
      </c>
      <c r="D1293" s="8" t="s">
        <v>2261</v>
      </c>
      <c r="E1293" s="8" t="s">
        <v>12</v>
      </c>
      <c r="F1293" s="8" t="s">
        <v>13</v>
      </c>
      <c r="G1293" s="8" t="s">
        <v>80</v>
      </c>
      <c r="H1293" s="16">
        <v>15.0</v>
      </c>
      <c r="I1293" s="15" t="str">
        <f>SUBSTITUTE(Sheet1!K1293, "Rp", "")</f>
        <v>2385000</v>
      </c>
    </row>
    <row r="1294">
      <c r="A1294" s="8" t="s">
        <v>1922</v>
      </c>
      <c r="B1294" s="13" t="str">
        <f>HYPERLINK("https://shopee.co.id/FACE-UP-ACTIVATE-ESSENCE-LE-SERUM-ULTIME-i.131135447.9145261909", "https://shopee.co.id/FACE-UP-ACTIVATE-ESSENCE-LE-SERUM-ULTIME-i.131135447.9145261909")</f>
        <v>https://shopee.co.id/FACE-UP-ACTIVATE-ESSENCE-LE-SERUM-ULTIME-i.131135447.9145261909</v>
      </c>
      <c r="C1294" s="8" t="s">
        <v>1923</v>
      </c>
      <c r="D1294" s="8" t="s">
        <v>1924</v>
      </c>
      <c r="E1294" s="8" t="s">
        <v>12</v>
      </c>
      <c r="F1294" s="8" t="s">
        <v>13</v>
      </c>
      <c r="G1294" s="8" t="s">
        <v>469</v>
      </c>
      <c r="H1294" s="16">
        <v>15.0</v>
      </c>
      <c r="I1294" s="15" t="str">
        <f>SUBSTITUTE(Sheet1!K1294, "Rp", "")</f>
        <v>3839000</v>
      </c>
    </row>
    <row r="1295">
      <c r="A1295" s="8" t="s">
        <v>1682</v>
      </c>
      <c r="B1295" s="13" t="str">
        <f>HYPERLINK("https://shopee.co.id/Frudia-Pomegranate-Nutri-Moisturizing-Serum-FREE-Frudia-Pouch-Garis-Vertikal-i.98124209.1610700520", "https://shopee.co.id/Frudia-Pomegranate-Nutri-Moisturizing-Serum-FREE-Frudia-Pouch-Garis-Vertikal-i.98124209.1610700520")</f>
        <v>https://shopee.co.id/Frudia-Pomegranate-Nutri-Moisturizing-Serum-FREE-Frudia-Pouch-Garis-Vertikal-i.98124209.1610700520</v>
      </c>
      <c r="C1295" s="8" t="s">
        <v>790</v>
      </c>
      <c r="D1295" s="8" t="s">
        <v>791</v>
      </c>
      <c r="E1295" s="8" t="s">
        <v>12</v>
      </c>
      <c r="F1295" s="8" t="s">
        <v>13</v>
      </c>
      <c r="G1295" s="8" t="s">
        <v>85</v>
      </c>
      <c r="H1295" s="16">
        <v>15.0</v>
      </c>
      <c r="I1295" s="15" t="str">
        <f>SUBSTITUTE(Sheet1!K1295, "Rp", "")</f>
        <v>5600000</v>
      </c>
    </row>
    <row r="1296">
      <c r="A1296" s="8" t="s">
        <v>2645</v>
      </c>
      <c r="B1296" s="13" t="str">
        <f>HYPERLINK("https://shopee.co.id/GLOWINC-POTION-FOREVER-Pro-Youth-Serum-i.487788169.11332270255", "https://shopee.co.id/GLOWINC-POTION-FOREVER-Pro-Youth-Serum-i.487788169.11332270255")</f>
        <v>https://shopee.co.id/GLOWINC-POTION-FOREVER-Pro-Youth-Serum-i.487788169.11332270255</v>
      </c>
      <c r="C1296" s="8" t="s">
        <v>1898</v>
      </c>
      <c r="D1296" s="8" t="s">
        <v>1899</v>
      </c>
      <c r="E1296" s="8" t="s">
        <v>12</v>
      </c>
      <c r="F1296" s="8" t="s">
        <v>13</v>
      </c>
      <c r="G1296" s="8" t="s">
        <v>21</v>
      </c>
      <c r="H1296" s="16">
        <v>15.0</v>
      </c>
      <c r="I1296" s="15" t="str">
        <f>SUBSTITUTE(Sheet1!K1296, "Rp", "")</f>
        <v>1335000</v>
      </c>
    </row>
    <row r="1297">
      <c r="A1297" s="8" t="s">
        <v>2939</v>
      </c>
      <c r="B1297" s="13" t="str">
        <f>HYPERLINK("https://shopee.co.id/Hanasui-Serum-Whitening-Gold-Pemutih-Kulit-Serum-Wajah-20mL-isi-3--i.175375997.6900249542", "https://shopee.co.id/Hanasui-Serum-Whitening-Gold-Pemutih-Kulit-Serum-Wajah-20mL-isi-3--i.175375997.6900249542")</f>
        <v>https://shopee.co.id/Hanasui-Serum-Whitening-Gold-Pemutih-Kulit-Serum-Wajah-20mL-isi-3--i.175375997.6900249542</v>
      </c>
      <c r="C1297" s="8" t="s">
        <v>784</v>
      </c>
      <c r="D1297" s="8" t="s">
        <v>2123</v>
      </c>
      <c r="E1297" s="8" t="s">
        <v>12</v>
      </c>
      <c r="F1297" s="8" t="s">
        <v>13</v>
      </c>
      <c r="G1297" s="8" t="s">
        <v>36</v>
      </c>
      <c r="H1297" s="16">
        <v>15.0</v>
      </c>
      <c r="I1297" s="15" t="str">
        <f>SUBSTITUTE(Sheet1!K1297, "Rp", "")</f>
        <v>842265</v>
      </c>
    </row>
    <row r="1298">
      <c r="A1298" s="8" t="s">
        <v>2766</v>
      </c>
      <c r="B1298" s="13" t="str">
        <f>HYPERLINK("https://shopee.co.id/Hiqween-Face-Essence-Preparing-Serum-i.481417149.11418033228", "https://shopee.co.id/Hiqween-Face-Essence-Preparing-Serum-i.481417149.11418033228")</f>
        <v>https://shopee.co.id/Hiqween-Face-Essence-Preparing-Serum-i.481417149.11418033228</v>
      </c>
      <c r="C1298" s="8" t="s">
        <v>2270</v>
      </c>
      <c r="D1298" s="8" t="s">
        <v>2271</v>
      </c>
      <c r="E1298" s="8" t="s">
        <v>12</v>
      </c>
      <c r="F1298" s="8" t="s">
        <v>13</v>
      </c>
      <c r="G1298" s="8" t="s">
        <v>350</v>
      </c>
      <c r="H1298" s="16">
        <v>15.0</v>
      </c>
      <c r="I1298" s="15" t="str">
        <f>SUBSTITUTE(Sheet1!K1298, "Rp", "")</f>
        <v>1118250</v>
      </c>
    </row>
    <row r="1299">
      <c r="A1299" s="8" t="s">
        <v>3819</v>
      </c>
      <c r="B1299" s="13" t="str">
        <f>HYPERLINK("https://shopee.co.id/ISOI-Blemish-Care-Serum-II-1ml-i.240712269.7779244068", "https://shopee.co.id/ISOI-Blemish-Care-Serum-II-1ml-i.240712269.7779244068")</f>
        <v>https://shopee.co.id/ISOI-Blemish-Care-Serum-II-1ml-i.240712269.7779244068</v>
      </c>
      <c r="C1299" s="8" t="s">
        <v>3499</v>
      </c>
      <c r="D1299" s="8" t="s">
        <v>762</v>
      </c>
      <c r="E1299" s="8" t="s">
        <v>12</v>
      </c>
      <c r="F1299" s="8" t="s">
        <v>13</v>
      </c>
      <c r="G1299" s="8" t="s">
        <v>98</v>
      </c>
      <c r="H1299" s="16">
        <v>15.0</v>
      </c>
      <c r="I1299" s="15" t="str">
        <f>SUBSTITUTE(Sheet1!K1299, "Rp", "")</f>
        <v>118500</v>
      </c>
    </row>
    <row r="1300">
      <c r="A1300" s="8" t="s">
        <v>2761</v>
      </c>
      <c r="B1300" s="13" t="str">
        <f>HYPERLINK("https://shopee.co.id/KEZIA-Skincare-Whitening-Serum-15ml-i.193506655.7404563615", "https://shopee.co.id/KEZIA-Skincare-Whitening-Serum-15ml-i.193506655.7404563615")</f>
        <v>https://shopee.co.id/KEZIA-Skincare-Whitening-Serum-15ml-i.193506655.7404563615</v>
      </c>
      <c r="C1300" s="8" t="s">
        <v>2762</v>
      </c>
      <c r="D1300" s="8" t="s">
        <v>2763</v>
      </c>
      <c r="E1300" s="8" t="s">
        <v>12</v>
      </c>
      <c r="F1300" s="8" t="s">
        <v>13</v>
      </c>
      <c r="G1300" s="8" t="s">
        <v>532</v>
      </c>
      <c r="H1300" s="16">
        <v>15.0</v>
      </c>
      <c r="I1300" s="15" t="str">
        <f>SUBSTITUTE(Sheet1!K1300, "Rp", "")</f>
        <v>1125000</v>
      </c>
    </row>
    <row r="1301">
      <c r="A1301" s="8" t="s">
        <v>2407</v>
      </c>
      <c r="B1301" s="13" t="str">
        <f>HYPERLINK("https://shopee.co.id/KLEVERU-Glass-Skin-Overnight-Serum-20ml-i.270965687.7137705881", "https://shopee.co.id/KLEVERU-Glass-Skin-Overnight-Serum-20ml-i.270965687.7137705881")</f>
        <v>https://shopee.co.id/KLEVERU-Glass-Skin-Overnight-Serum-20ml-i.270965687.7137705881</v>
      </c>
      <c r="C1301" s="8" t="s">
        <v>2408</v>
      </c>
      <c r="D1301" s="8" t="s">
        <v>379</v>
      </c>
      <c r="E1301" s="8" t="s">
        <v>12</v>
      </c>
      <c r="F1301" s="8" t="s">
        <v>13</v>
      </c>
      <c r="G1301" s="8" t="s">
        <v>380</v>
      </c>
      <c r="H1301" s="16">
        <v>15.0</v>
      </c>
      <c r="I1301" s="15" t="str">
        <f>SUBSTITUTE(Sheet1!K1301, "Rp", "")</f>
        <v>1930500</v>
      </c>
    </row>
    <row r="1302">
      <c r="A1302" s="8" t="s">
        <v>2463</v>
      </c>
      <c r="B1302" s="13" t="str">
        <f>HYPERLINK("https://shopee.co.id/MD-Glowing-Serum-Glowing-Platinum-i.98061713.1801083788", "https://shopee.co.id/MD-Glowing-Serum-Glowing-Platinum-i.98061713.1801083788")</f>
        <v>https://shopee.co.id/MD-Glowing-Serum-Glowing-Platinum-i.98061713.1801083788</v>
      </c>
      <c r="C1302" s="8" t="s">
        <v>1353</v>
      </c>
      <c r="D1302" s="8" t="s">
        <v>1354</v>
      </c>
      <c r="E1302" s="8" t="s">
        <v>12</v>
      </c>
      <c r="F1302" s="8" t="s">
        <v>13</v>
      </c>
      <c r="G1302" s="8" t="s">
        <v>370</v>
      </c>
      <c r="H1302" s="16">
        <v>15.0</v>
      </c>
      <c r="I1302" s="15" t="str">
        <f>SUBSTITUTE(Sheet1!K1302, "Rp", "")</f>
        <v>1793400</v>
      </c>
    </row>
    <row r="1303">
      <c r="A1303" s="8" t="s">
        <v>2914</v>
      </c>
      <c r="B1303" s="13" t="str">
        <f>HYPERLINK("https://shopee.co.id/Mireya-Mochi-Mochi-Gold-Serum-i.101578297.7119959722", "https://shopee.co.id/Mireya-Mochi-Mochi-Gold-Serum-i.101578297.7119959722")</f>
        <v>https://shopee.co.id/Mireya-Mochi-Mochi-Gold-Serum-i.101578297.7119959722</v>
      </c>
      <c r="C1303" s="8" t="s">
        <v>2430</v>
      </c>
      <c r="D1303" s="8" t="s">
        <v>2431</v>
      </c>
      <c r="E1303" s="8" t="s">
        <v>12</v>
      </c>
      <c r="F1303" s="8" t="s">
        <v>13</v>
      </c>
      <c r="G1303" s="8" t="s">
        <v>21</v>
      </c>
      <c r="H1303" s="16">
        <v>15.0</v>
      </c>
      <c r="I1303" s="15" t="str">
        <f>SUBSTITUTE(Sheet1!K1303, "Rp", "")</f>
        <v>888300</v>
      </c>
    </row>
    <row r="1304">
      <c r="A1304" s="8" t="s">
        <v>2262</v>
      </c>
      <c r="B1304" s="13" t="str">
        <f>HYPERLINK("https://shopee.co.id/Nacific-Fresh-Cica-Plus-Clear-Serum-50ml-i.270965687.4837720398", "https://shopee.co.id/Nacific-Fresh-Cica-Plus-Clear-Serum-50ml-i.270965687.4837720398")</f>
        <v>https://shopee.co.id/Nacific-Fresh-Cica-Plus-Clear-Serum-50ml-i.270965687.4837720398</v>
      </c>
      <c r="C1304" s="8" t="s">
        <v>344</v>
      </c>
      <c r="D1304" s="8" t="s">
        <v>379</v>
      </c>
      <c r="E1304" s="8" t="s">
        <v>12</v>
      </c>
      <c r="F1304" s="8" t="s">
        <v>13</v>
      </c>
      <c r="G1304" s="8" t="s">
        <v>380</v>
      </c>
      <c r="H1304" s="16">
        <v>15.0</v>
      </c>
      <c r="I1304" s="15" t="str">
        <f>SUBSTITUTE(Sheet1!K1304, "Rp", "")</f>
        <v>2385000</v>
      </c>
    </row>
    <row r="1305">
      <c r="A1305" s="8" t="s">
        <v>2061</v>
      </c>
      <c r="B1305" s="13" t="str">
        <f>HYPERLINK("https://shopee.co.id/Natasha-by-dr-Fredi-Setyawan-L22-Lightening-Oil-Serum-i.40121814.2337496957", "https://shopee.co.id/Natasha-by-dr-Fredi-Setyawan-L22-Lightening-Oil-Serum-i.40121814.2337496957")</f>
        <v>https://shopee.co.id/Natasha-by-dr-Fredi-Setyawan-L22-Lightening-Oil-Serum-i.40121814.2337496957</v>
      </c>
      <c r="C1305" s="8" t="s">
        <v>1752</v>
      </c>
      <c r="D1305" s="8" t="s">
        <v>794</v>
      </c>
      <c r="E1305" s="8" t="s">
        <v>12</v>
      </c>
      <c r="F1305" s="8" t="s">
        <v>13</v>
      </c>
      <c r="G1305" s="8" t="s">
        <v>380</v>
      </c>
      <c r="H1305" s="16">
        <v>15.0</v>
      </c>
      <c r="I1305" s="15" t="str">
        <f>SUBSTITUTE(Sheet1!K1305, "Rp", "")</f>
        <v>3204720</v>
      </c>
    </row>
    <row r="1306">
      <c r="A1306" s="8" t="s">
        <v>2790</v>
      </c>
      <c r="B1306" s="13" t="str">
        <f>HYPERLINK("https://shopee.co.id/Ovale-Essential-Vitamin-Lightening-Jar-0-35-ml-30-capsules--i.38301814.574092630", "https://shopee.co.id/Ovale-Essential-Vitamin-Lightening-Jar-0-35-ml-30-capsules--i.38301814.574092630")</f>
        <v>https://shopee.co.id/Ovale-Essential-Vitamin-Lightening-Jar-0-35-ml-30-capsules--i.38301814.574092630</v>
      </c>
      <c r="C1306" s="8" t="s">
        <v>2791</v>
      </c>
      <c r="D1306" s="8" t="s">
        <v>2792</v>
      </c>
      <c r="E1306" s="8" t="s">
        <v>12</v>
      </c>
      <c r="F1306" s="8" t="s">
        <v>13</v>
      </c>
      <c r="G1306" s="8" t="s">
        <v>61</v>
      </c>
      <c r="H1306" s="16">
        <v>15.0</v>
      </c>
      <c r="I1306" s="15" t="str">
        <f>SUBSTITUTE(Sheet1!K1306, "Rp", "")</f>
        <v>1077000</v>
      </c>
    </row>
    <row r="1307">
      <c r="A1307" s="8" t="s">
        <v>2680</v>
      </c>
      <c r="B1307" s="13" t="str">
        <f>HYPERLINK("https://shopee.co.id/Pore-Minimizer-Serum-i.3087844.9230637960", "https://shopee.co.id/Pore-Minimizer-Serum-i.3087844.9230637960")</f>
        <v>https://shopee.co.id/Pore-Minimizer-Serum-i.3087844.9230637960</v>
      </c>
      <c r="C1307" s="8" t="s">
        <v>2465</v>
      </c>
      <c r="D1307" s="8" t="s">
        <v>1158</v>
      </c>
      <c r="E1307" s="8" t="s">
        <v>12</v>
      </c>
      <c r="F1307" s="8" t="s">
        <v>13</v>
      </c>
      <c r="G1307" s="8" t="s">
        <v>241</v>
      </c>
      <c r="H1307" s="16">
        <v>15.0</v>
      </c>
      <c r="I1307" s="15" t="str">
        <f>SUBSTITUTE(Sheet1!K1307, "Rp", "")</f>
        <v>1269000</v>
      </c>
    </row>
    <row r="1308">
      <c r="A1308" s="8" t="s">
        <v>2652</v>
      </c>
      <c r="B1308" s="13" t="str">
        <f>HYPERLINK("https://shopee.co.id/Raiku-Anti-Aging-Serum-30ml-i.82041605.1467890833", "https://shopee.co.id/Raiku-Anti-Aging-Serum-30ml-i.82041605.1467890833")</f>
        <v>https://shopee.co.id/Raiku-Anti-Aging-Serum-30ml-i.82041605.1467890833</v>
      </c>
      <c r="C1308" s="8" t="s">
        <v>2281</v>
      </c>
      <c r="D1308" s="8" t="s">
        <v>2282</v>
      </c>
      <c r="E1308" s="8" t="s">
        <v>12</v>
      </c>
      <c r="F1308" s="8" t="s">
        <v>13</v>
      </c>
      <c r="G1308" s="8" t="s">
        <v>21</v>
      </c>
      <c r="H1308" s="16">
        <v>15.0</v>
      </c>
      <c r="I1308" s="15" t="str">
        <f>SUBSTITUTE(Sheet1!K1308, "Rp", "")</f>
        <v>1313502</v>
      </c>
    </row>
    <row r="1309">
      <c r="A1309" s="8" t="s">
        <v>2514</v>
      </c>
      <c r="B1309" s="13" t="str">
        <f>HYPERLINK("https://shopee.co.id/Serum-Nature-Reaction-Crystal-Bright-Serum-Pencerah-Wajah-Glowing-dan-Bebas-Jerawat-Flek-Hitam-i.375565670.10126471077", "https://shopee.co.id/Serum-Nature-Reaction-Crystal-Bright-Serum-Pencerah-Wajah-Glowing-dan-Bebas-Jerawat-Flek-Hitam-i.375565670.10126471077")</f>
        <v>https://shopee.co.id/Serum-Nature-Reaction-Crystal-Bright-Serum-Pencerah-Wajah-Glowing-dan-Bebas-Jerawat-Flek-Hitam-i.375565670.10126471077</v>
      </c>
      <c r="C1309" s="8" t="s">
        <v>530</v>
      </c>
      <c r="D1309" s="8" t="s">
        <v>531</v>
      </c>
      <c r="E1309" s="8" t="s">
        <v>12</v>
      </c>
      <c r="F1309" s="8" t="s">
        <v>13</v>
      </c>
      <c r="G1309" s="8" t="s">
        <v>532</v>
      </c>
      <c r="H1309" s="16">
        <v>15.0</v>
      </c>
      <c r="I1309" s="15" t="str">
        <f>SUBSTITUTE(Sheet1!K1309, "Rp", "")</f>
        <v>1665000</v>
      </c>
    </row>
    <row r="1310">
      <c r="A1310" s="8" t="s">
        <v>2332</v>
      </c>
      <c r="B1310" s="13" t="str">
        <f>HYPERLINK("https://shopee.co.id/SNP-Prep-Cicaronic-Toning-Essence-220ml-i.270965687.5657254165", "https://shopee.co.id/SNP-Prep-Cicaronic-Toning-Essence-220ml-i.270965687.5657254165")</f>
        <v>https://shopee.co.id/SNP-Prep-Cicaronic-Toning-Essence-220ml-i.270965687.5657254165</v>
      </c>
      <c r="C1310" s="8" t="s">
        <v>565</v>
      </c>
      <c r="D1310" s="8" t="s">
        <v>379</v>
      </c>
      <c r="E1310" s="8" t="s">
        <v>12</v>
      </c>
      <c r="F1310" s="8" t="s">
        <v>13</v>
      </c>
      <c r="G1310" s="8" t="s">
        <v>380</v>
      </c>
      <c r="H1310" s="16">
        <v>15.0</v>
      </c>
      <c r="I1310" s="15" t="str">
        <f>SUBSTITUTE(Sheet1!K1310, "Rp", "")</f>
        <v>2160000</v>
      </c>
    </row>
    <row r="1311">
      <c r="A1311" s="8" t="s">
        <v>2444</v>
      </c>
      <c r="B1311" s="13" t="str">
        <f>HYPERLINK("https://shopee.co.id/Solcare-Ultra-Glow-Serum-i.266902345.4163825195", "https://shopee.co.id/Solcare-Ultra-Glow-Serum-i.266902345.4163825195")</f>
        <v>https://shopee.co.id/Solcare-Ultra-Glow-Serum-i.266902345.4163825195</v>
      </c>
      <c r="C1311" s="8" t="s">
        <v>910</v>
      </c>
      <c r="D1311" s="8" t="s">
        <v>911</v>
      </c>
      <c r="E1311" s="8" t="s">
        <v>12</v>
      </c>
      <c r="F1311" s="8" t="s">
        <v>13</v>
      </c>
      <c r="G1311" s="8" t="s">
        <v>241</v>
      </c>
      <c r="H1311" s="16">
        <v>15.0</v>
      </c>
      <c r="I1311" s="15" t="str">
        <f>SUBSTITUTE(Sheet1!K1311, "Rp", "")</f>
        <v>1829130</v>
      </c>
    </row>
    <row r="1312">
      <c r="A1312" s="8" t="s">
        <v>2647</v>
      </c>
      <c r="B1312" s="13" t="str">
        <f>HYPERLINK("https://shopee.co.id/Somethinc-Bakuchiol-Skinpair-Oil-Serum-20-mL-i.65323877.7394819874", "https://shopee.co.id/Somethinc-Bakuchiol-Skinpair-Oil-Serum-20-mL-i.65323877.7394819874")</f>
        <v>https://shopee.co.id/Somethinc-Bakuchiol-Skinpair-Oil-Serum-20-mL-i.65323877.7394819874</v>
      </c>
      <c r="C1312" s="8" t="s">
        <v>45</v>
      </c>
      <c r="D1312" s="8" t="s">
        <v>1600</v>
      </c>
      <c r="E1312" s="8" t="s">
        <v>12</v>
      </c>
      <c r="F1312" s="8" t="s">
        <v>13</v>
      </c>
      <c r="G1312" s="8" t="s">
        <v>296</v>
      </c>
      <c r="H1312" s="16">
        <v>15.0</v>
      </c>
      <c r="I1312" s="15" t="str">
        <f>SUBSTITUTE(Sheet1!K1312, "Rp", "")</f>
        <v>1327500</v>
      </c>
    </row>
    <row r="1313">
      <c r="A1313" s="8" t="s">
        <v>1039</v>
      </c>
      <c r="B1313" s="13" t="str">
        <f>HYPERLINK("https://shopee.co.id/Sulwhasoo-First-Care-Activating-Serum-30ml-i.274949344.5339211729", "https://shopee.co.id/Sulwhasoo-First-Care-Activating-Serum-30ml-i.274949344.5339211729")</f>
        <v>https://shopee.co.id/Sulwhasoo-First-Care-Activating-Serum-30ml-i.274949344.5339211729</v>
      </c>
      <c r="C1313" s="8" t="s">
        <v>282</v>
      </c>
      <c r="D1313" s="8" t="s">
        <v>283</v>
      </c>
      <c r="E1313" s="8" t="s">
        <v>12</v>
      </c>
      <c r="F1313" s="8" t="s">
        <v>13</v>
      </c>
      <c r="G1313" s="8" t="s">
        <v>61</v>
      </c>
      <c r="H1313" s="16">
        <v>15.0</v>
      </c>
      <c r="I1313" s="15" t="str">
        <f>SUBSTITUTE(Sheet1!K1313, "Rp", "")</f>
        <v>10174600</v>
      </c>
    </row>
    <row r="1314">
      <c r="A1314" s="8" t="s">
        <v>2275</v>
      </c>
      <c r="B1314" s="13" t="str">
        <f>HYPERLINK("https://shopee.co.id/THE-POTIONS-Peptide-Ampoule-20ml-i.379239733.4478479214", "https://shopee.co.id/THE-POTIONS-Peptide-Ampoule-20ml-i.379239733.4478479214")</f>
        <v>https://shopee.co.id/THE-POTIONS-Peptide-Ampoule-20ml-i.379239733.4478479214</v>
      </c>
      <c r="C1314" s="8" t="s">
        <v>2245</v>
      </c>
      <c r="D1314" s="8" t="s">
        <v>2246</v>
      </c>
      <c r="E1314" s="8" t="s">
        <v>12</v>
      </c>
      <c r="F1314" s="8" t="s">
        <v>13</v>
      </c>
      <c r="G1314" s="8" t="s">
        <v>130</v>
      </c>
      <c r="H1314" s="16">
        <v>15.0</v>
      </c>
      <c r="I1314" s="15" t="str">
        <f>SUBSTITUTE(Sheet1!K1314, "Rp", "")</f>
        <v>2357550</v>
      </c>
    </row>
    <row r="1315">
      <c r="A1315" s="8" t="s">
        <v>2732</v>
      </c>
      <c r="B1315" s="13" t="str">
        <f>HYPERLINK("https://shopee.co.id/Whitelab-Brightening-Face-Serum-20ml-i.825870.4946390798", "https://shopee.co.id/Whitelab-Brightening-Face-Serum-20ml-i.825870.4946390798")</f>
        <v>https://shopee.co.id/Whitelab-Brightening-Face-Serum-20ml-i.825870.4946390798</v>
      </c>
      <c r="C1315" s="8" t="s">
        <v>59</v>
      </c>
      <c r="D1315" s="8" t="s">
        <v>1184</v>
      </c>
      <c r="E1315" s="8" t="s">
        <v>12</v>
      </c>
      <c r="F1315" s="8" t="s">
        <v>13</v>
      </c>
      <c r="G1315" s="8" t="s">
        <v>21</v>
      </c>
      <c r="H1315" s="16">
        <v>15.0</v>
      </c>
      <c r="I1315" s="15" t="str">
        <f>SUBSTITUTE(Sheet1!K1315, "Rp", "")</f>
        <v>1181250</v>
      </c>
    </row>
    <row r="1316">
      <c r="A1316" s="8" t="s">
        <v>2948</v>
      </c>
      <c r="B1316" s="13" t="str">
        <f>HYPERLINK("https://shopee.co.id/Beauty-In-The-Pot-1-pcs-Acne-Care-Serum-With-Centella-Asiatica-Niacinamide-Green-Tea-Extract-i.254413838.9021029120", "https://shopee.co.id/Beauty-In-The-Pot-1-pcs-Acne-Care-Serum-With-Centella-Asiatica-Niacinamide-Green-Tea-Extract-i.254413838.9021029120")</f>
        <v>https://shopee.co.id/Beauty-In-The-Pot-1-pcs-Acne-Care-Serum-With-Centella-Asiatica-Niacinamide-Green-Tea-Extract-i.254413838.9021029120</v>
      </c>
      <c r="C1316" s="8" t="s">
        <v>1495</v>
      </c>
      <c r="D1316" s="8" t="s">
        <v>1496</v>
      </c>
      <c r="E1316" s="8" t="s">
        <v>12</v>
      </c>
      <c r="F1316" s="8" t="s">
        <v>13</v>
      </c>
      <c r="G1316" s="8" t="s">
        <v>85</v>
      </c>
      <c r="H1316" s="16">
        <v>14.0</v>
      </c>
      <c r="I1316" s="15" t="str">
        <f>SUBSTITUTE(Sheet1!K1316, "Rp", "")</f>
        <v>826000</v>
      </c>
    </row>
    <row r="1317">
      <c r="A1317" s="8" t="s">
        <v>2544</v>
      </c>
      <c r="B1317" s="13" t="str">
        <f>HYPERLINK("https://shopee.co.id/Somethinc-10-Niacinamide-Barrier-Serum-20ml-40ml-i.50948181.11213799628", "https://shopee.co.id/Somethinc-10-Niacinamide-Barrier-Serum-20ml-40ml-i.50948181.11213799628")</f>
        <v>https://shopee.co.id/Somethinc-10-Niacinamide-Barrier-Serum-20ml-40ml-i.50948181.11213799628</v>
      </c>
      <c r="C1317" s="8" t="s">
        <v>45</v>
      </c>
      <c r="D1317" s="8" t="s">
        <v>1129</v>
      </c>
      <c r="E1317" s="8" t="s">
        <v>12</v>
      </c>
      <c r="F1317" s="8" t="s">
        <v>13</v>
      </c>
      <c r="G1317" s="8" t="s">
        <v>1130</v>
      </c>
      <c r="H1317" s="16">
        <v>14.0</v>
      </c>
      <c r="I1317" s="15" t="str">
        <f>SUBSTITUTE(Sheet1!K1317, "Rp", "")</f>
        <v>1593900</v>
      </c>
    </row>
    <row r="1318">
      <c r="A1318" s="8" t="s">
        <v>2487</v>
      </c>
      <c r="B1318" s="13" t="str">
        <f>HYPERLINK("https://shopee.co.id/Somethinc-Holygrail-Multipeptide-Youth-Elixir-20ml-i.50948181.3888578774", "https://shopee.co.id/Somethinc-Holygrail-Multipeptide-Youth-Elixir-20ml-i.50948181.3888578774")</f>
        <v>https://shopee.co.id/Somethinc-Holygrail-Multipeptide-Youth-Elixir-20ml-i.50948181.3888578774</v>
      </c>
      <c r="C1318" s="8" t="s">
        <v>45</v>
      </c>
      <c r="D1318" s="8" t="s">
        <v>1129</v>
      </c>
      <c r="E1318" s="8" t="s">
        <v>12</v>
      </c>
      <c r="F1318" s="8" t="s">
        <v>13</v>
      </c>
      <c r="G1318" s="8" t="s">
        <v>1130</v>
      </c>
      <c r="H1318" s="16">
        <v>14.0</v>
      </c>
      <c r="I1318" s="15" t="str">
        <f>SUBSTITUTE(Sheet1!K1318, "Rp", "")</f>
        <v>1741500</v>
      </c>
    </row>
    <row r="1319">
      <c r="A1319" s="8" t="s">
        <v>1133</v>
      </c>
      <c r="B1319" s="13" t="str">
        <f>HYPERLINK("https://shopee.co.id/Aish-Serum-Paket-12-Pcs-Bebas-Pilih-Varian-isi-di-catatan-i.406360531.9886683424", "https://shopee.co.id/Aish-Serum-Paket-12-Pcs-Bebas-Pilih-Varian-isi-di-catatan-i.406360531.9886683424")</f>
        <v>https://shopee.co.id/Aish-Serum-Paket-12-Pcs-Bebas-Pilih-Varian-isi-di-catatan-i.406360531.9886683424</v>
      </c>
      <c r="C1319" s="8" t="s">
        <v>1015</v>
      </c>
      <c r="D1319" s="8" t="s">
        <v>444</v>
      </c>
      <c r="E1319" s="8" t="s">
        <v>12</v>
      </c>
      <c r="F1319" s="8" t="s">
        <v>13</v>
      </c>
      <c r="G1319" s="8" t="s">
        <v>241</v>
      </c>
      <c r="H1319" s="16">
        <v>14.0</v>
      </c>
      <c r="I1319" s="15" t="str">
        <f>SUBSTITUTE(Sheet1!K1319, "Rp", "")</f>
        <v>14448000</v>
      </c>
    </row>
    <row r="1320">
      <c r="A1320" s="8" t="s">
        <v>2641</v>
      </c>
      <c r="B1320" s="13" t="str">
        <f>HYPERLINK("https://shopee.co.id/Aubree-Niacinamide-Skin-Booster-30ml-i.825870.5522871423", "https://shopee.co.id/Aubree-Niacinamide-Skin-Booster-30ml-i.825870.5522871423")</f>
        <v>https://shopee.co.id/Aubree-Niacinamide-Skin-Booster-30ml-i.825870.5522871423</v>
      </c>
      <c r="C1320" s="8" t="s">
        <v>2642</v>
      </c>
      <c r="D1320" s="8" t="s">
        <v>1184</v>
      </c>
      <c r="E1320" s="8" t="s">
        <v>12</v>
      </c>
      <c r="F1320" s="8" t="s">
        <v>13</v>
      </c>
      <c r="G1320" s="8" t="s">
        <v>21</v>
      </c>
      <c r="H1320" s="16">
        <v>14.0</v>
      </c>
      <c r="I1320" s="15" t="str">
        <f>SUBSTITUTE(Sheet1!K1320, "Rp", "")</f>
        <v>1346400</v>
      </c>
    </row>
    <row r="1321">
      <c r="A1321" s="8" t="s">
        <v>2364</v>
      </c>
      <c r="B1321" s="13" t="str">
        <f>HYPERLINK("https://shopee.co.id/AVOSKIN-Your-Skin-Bae-Azeclair-10-Kombucha-3-Niacinamide-2-5-Vaccine-Serum-30ml-i.270965687.3982587579", "https://shopee.co.id/AVOSKIN-Your-Skin-Bae-Azeclair-10-Kombucha-3-Niacinamide-2-5-Vaccine-Serum-30ml-i.270965687.3982587579")</f>
        <v>https://shopee.co.id/AVOSKIN-Your-Skin-Bae-Azeclair-10-Kombucha-3-Niacinamide-2-5-Vaccine-Serum-30ml-i.270965687.3982587579</v>
      </c>
      <c r="C1321" s="8" t="s">
        <v>83</v>
      </c>
      <c r="D1321" s="8" t="s">
        <v>379</v>
      </c>
      <c r="E1321" s="8" t="s">
        <v>12</v>
      </c>
      <c r="F1321" s="8" t="s">
        <v>13</v>
      </c>
      <c r="G1321" s="8" t="s">
        <v>380</v>
      </c>
      <c r="H1321" s="16">
        <v>14.0</v>
      </c>
      <c r="I1321" s="15" t="str">
        <f>SUBSTITUTE(Sheet1!K1321, "Rp", "")</f>
        <v>2062000</v>
      </c>
    </row>
    <row r="1322">
      <c r="A1322" s="8" t="s">
        <v>1409</v>
      </c>
      <c r="B1322" s="13" t="str">
        <f>HYPERLINK("https://shopee.co.id/Azarine-AHA-BHA-Miraclear-Herbal-Peeling-Serum-20ml-i.136011044.10715354896", "https://shopee.co.id/Azarine-AHA-BHA-Miraclear-Herbal-Peeling-Serum-20ml-i.136011044.10715354896")</f>
        <v>https://shopee.co.id/Azarine-AHA-BHA-Miraclear-Herbal-Peeling-Serum-20ml-i.136011044.10715354896</v>
      </c>
      <c r="C1322" s="8" t="s">
        <v>233</v>
      </c>
      <c r="D1322" s="8" t="s">
        <v>632</v>
      </c>
      <c r="E1322" s="8" t="s">
        <v>12</v>
      </c>
      <c r="F1322" s="8" t="s">
        <v>13</v>
      </c>
      <c r="G1322" s="8" t="s">
        <v>21</v>
      </c>
      <c r="H1322" s="16">
        <v>14.0</v>
      </c>
      <c r="I1322" s="15" t="str">
        <f>SUBSTITUTE(Sheet1!K1322, "Rp", "")</f>
        <v>412500</v>
      </c>
    </row>
    <row r="1323">
      <c r="A1323" s="8" t="s">
        <v>2458</v>
      </c>
      <c r="B1323" s="13" t="str">
        <f>HYPERLINK("https://shopee.co.id/Benton-Cacao-Moist-and-Mild-Serum-50gr-i.180415888.4203411477", "https://shopee.co.id/Benton-Cacao-Moist-and-Mild-Serum-50gr-i.180415888.4203411477")</f>
        <v>https://shopee.co.id/Benton-Cacao-Moist-and-Mild-Serum-50gr-i.180415888.4203411477</v>
      </c>
      <c r="C1323" s="8" t="s">
        <v>456</v>
      </c>
      <c r="D1323" s="8" t="s">
        <v>457</v>
      </c>
      <c r="E1323" s="8" t="s">
        <v>12</v>
      </c>
      <c r="F1323" s="8" t="s">
        <v>13</v>
      </c>
      <c r="G1323" s="8" t="s">
        <v>80</v>
      </c>
      <c r="H1323" s="16">
        <v>14.0</v>
      </c>
      <c r="I1323" s="15" t="str">
        <f>SUBSTITUTE(Sheet1!K1323, "Rp", "")</f>
        <v>1800000</v>
      </c>
    </row>
    <row r="1324">
      <c r="A1324" s="8" t="s">
        <v>2283</v>
      </c>
      <c r="B1324" s="13" t="str">
        <f>HYPERLINK("https://shopee.co.id/Berdua-Lebih-Hemat-Glowing-Night-Cream-Glowing-Serum-i.63439817.6291203781", "https://shopee.co.id/Berdua-Lebih-Hemat-Glowing-Night-Cream-Glowing-Serum-i.63439817.6291203781")</f>
        <v>https://shopee.co.id/Berdua-Lebih-Hemat-Glowing-Night-Cream-Glowing-Serum-i.63439817.6291203781</v>
      </c>
      <c r="C1324" s="8" t="s">
        <v>2030</v>
      </c>
      <c r="D1324" s="8" t="s">
        <v>2031</v>
      </c>
      <c r="E1324" s="8" t="s">
        <v>12</v>
      </c>
      <c r="F1324" s="8" t="s">
        <v>13</v>
      </c>
      <c r="G1324" s="8" t="s">
        <v>2032</v>
      </c>
      <c r="H1324" s="16">
        <v>14.0</v>
      </c>
      <c r="I1324" s="15" t="str">
        <f>SUBSTITUTE(Sheet1!K1324, "Rp", "")</f>
        <v>2338000</v>
      </c>
    </row>
    <row r="1325">
      <c r="A1325" s="8" t="s">
        <v>374</v>
      </c>
      <c r="B1325" s="13" t="str">
        <f>HYPERLINK("https://shopee.co.id/Bloomka-Bakuchiol-Vitamin-B3-Facial-Treatment-Serum-Brightening-acne--i.52581685.5776255561", "https://shopee.co.id/Bloomka-Bakuchiol-Vitamin-B3-Facial-Treatment-Serum-Brightening-acne--i.52581685.5776255561")</f>
        <v>https://shopee.co.id/Bloomka-Bakuchiol-Vitamin-B3-Facial-Treatment-Serum-Brightening-acne--i.52581685.5776255561</v>
      </c>
      <c r="C1325" s="8" t="s">
        <v>375</v>
      </c>
      <c r="D1325" s="8" t="s">
        <v>614</v>
      </c>
      <c r="E1325" s="8" t="s">
        <v>12</v>
      </c>
      <c r="F1325" s="8" t="s">
        <v>13</v>
      </c>
      <c r="G1325" s="8" t="s">
        <v>61</v>
      </c>
      <c r="H1325" s="16">
        <v>14.0</v>
      </c>
      <c r="I1325" s="15" t="str">
        <f>SUBSTITUTE(Sheet1!K1325, "Rp", "")</f>
        <v>1522600</v>
      </c>
    </row>
    <row r="1326">
      <c r="A1326" s="8" t="s">
        <v>2818</v>
      </c>
      <c r="B1326" s="13" t="str">
        <f>HYPERLINK("https://shopee.co.id/BREYLEE-VC-HA-Retinol-Series-3-pcs--i.324706771.8576350096", "https://shopee.co.id/BREYLEE-VC-HA-Retinol-Series-3-pcs--i.324706771.8576350096")</f>
        <v>https://shopee.co.id/BREYLEE-VC-HA-Retinol-Series-3-pcs--i.324706771.8576350096</v>
      </c>
      <c r="C1326" s="8" t="s">
        <v>852</v>
      </c>
      <c r="D1326" s="8" t="s">
        <v>853</v>
      </c>
      <c r="E1326" s="8" t="s">
        <v>12</v>
      </c>
      <c r="F1326" s="8" t="s">
        <v>13</v>
      </c>
      <c r="G1326" s="8" t="s">
        <v>532</v>
      </c>
      <c r="H1326" s="16">
        <v>14.0</v>
      </c>
      <c r="I1326" s="15" t="str">
        <f>SUBSTITUTE(Sheet1!K1326, "Rp", "")</f>
        <v>1032200</v>
      </c>
    </row>
    <row r="1327">
      <c r="A1327" s="8" t="s">
        <v>2646</v>
      </c>
      <c r="B1327" s="13" t="str">
        <f>HYPERLINK("https://shopee.co.id/Calysta-C-Light-Essence-i.3188555.6952497196", "https://shopee.co.id/Calysta-C-Light-Essence-i.3188555.6952497196")</f>
        <v>https://shopee.co.id/Calysta-C-Light-Essence-i.3188555.6952497196</v>
      </c>
      <c r="C1327" s="8" t="s">
        <v>1954</v>
      </c>
      <c r="D1327" s="8" t="s">
        <v>1692</v>
      </c>
      <c r="E1327" s="8" t="s">
        <v>12</v>
      </c>
      <c r="F1327" s="8" t="s">
        <v>13</v>
      </c>
      <c r="G1327" s="8" t="s">
        <v>241</v>
      </c>
      <c r="H1327" s="16">
        <v>14.0</v>
      </c>
      <c r="I1327" s="15" t="str">
        <f>SUBSTITUTE(Sheet1!K1327, "Rp", "")</f>
        <v>1331000</v>
      </c>
    </row>
    <row r="1328">
      <c r="A1328" s="8" t="s">
        <v>3513</v>
      </c>
      <c r="B1328" s="13" t="str">
        <f>HYPERLINK("https://shopee.co.id/Dove-Deodorant-Dry-Serum-Regenerate-Care-50-mL-i.65323877.10918290167", "https://shopee.co.id/Dove-Deodorant-Dry-Serum-Regenerate-Care-50-mL-i.65323877.10918290167")</f>
        <v>https://shopee.co.id/Dove-Deodorant-Dry-Serum-Regenerate-Care-50-mL-i.65323877.10918290167</v>
      </c>
      <c r="C1328" s="8" t="s">
        <v>591</v>
      </c>
      <c r="D1328" s="8" t="s">
        <v>1600</v>
      </c>
      <c r="E1328" s="8" t="s">
        <v>12</v>
      </c>
      <c r="F1328" s="8" t="s">
        <v>13</v>
      </c>
      <c r="G1328" s="8" t="s">
        <v>296</v>
      </c>
      <c r="H1328" s="16">
        <v>14.0</v>
      </c>
      <c r="I1328" s="15" t="str">
        <f>SUBSTITUTE(Sheet1!K1328, "Rp", "")</f>
        <v>281000</v>
      </c>
    </row>
    <row r="1329">
      <c r="A1329" s="8" t="s">
        <v>2285</v>
      </c>
      <c r="B1329" s="13" t="str">
        <f>HYPERLINK("https://shopee.co.id/Femmue-Lumi-re-Vital-C-i.293180359.7145461691", "https://shopee.co.id/Femmue-Lumi-re-Vital-C-i.293180359.7145461691")</f>
        <v>https://shopee.co.id/Femmue-Lumi-re-Vital-C-i.293180359.7145461691</v>
      </c>
      <c r="C1329" s="8" t="s">
        <v>2286</v>
      </c>
      <c r="D1329" s="8" t="s">
        <v>2287</v>
      </c>
      <c r="E1329" s="8" t="s">
        <v>12</v>
      </c>
      <c r="F1329" s="8" t="s">
        <v>13</v>
      </c>
      <c r="G1329" s="8" t="s">
        <v>61</v>
      </c>
      <c r="H1329" s="16">
        <v>14.0</v>
      </c>
      <c r="I1329" s="15" t="str">
        <f>SUBSTITUTE(Sheet1!K1329, "Rp", "")</f>
        <v>2333800</v>
      </c>
    </row>
    <row r="1330">
      <c r="A1330" s="8" t="s">
        <v>2229</v>
      </c>
      <c r="B1330" s="13" t="str">
        <f>HYPERLINK("https://shopee.co.id/FIRST-LAB-FIRST-LAB-Probiotic-Pore-Tightening-Essence-30ml-i.68111.2258676170", "https://shopee.co.id/FIRST-LAB-FIRST-LAB-Probiotic-Pore-Tightening-Essence-30ml-i.68111.2258676170")</f>
        <v>https://shopee.co.id/FIRST-LAB-FIRST-LAB-Probiotic-Pore-Tightening-Essence-30ml-i.68111.2258676170</v>
      </c>
      <c r="C1330" s="8" t="s">
        <v>1617</v>
      </c>
      <c r="D1330" s="8" t="s">
        <v>441</v>
      </c>
      <c r="E1330" s="8" t="s">
        <v>12</v>
      </c>
      <c r="F1330" s="8" t="s">
        <v>13</v>
      </c>
      <c r="G1330" s="8" t="s">
        <v>130</v>
      </c>
      <c r="H1330" s="16">
        <v>14.0</v>
      </c>
      <c r="I1330" s="15" t="str">
        <f>SUBSTITUTE(Sheet1!K1330, "Rp", "")</f>
        <v>2491060</v>
      </c>
    </row>
    <row r="1331">
      <c r="A1331" s="8" t="s">
        <v>2085</v>
      </c>
      <c r="B1331" s="13" t="str">
        <f>HYPERLINK("https://shopee.co.id/For-Skin-s-Sake-FSS-Vitamin-C-Serum-i.99513899.1620713040", "https://shopee.co.id/For-Skin-s-Sake-FSS-Vitamin-C-Serum-i.99513899.1620713040")</f>
        <v>https://shopee.co.id/For-Skin-s-Sake-FSS-Vitamin-C-Serum-i.99513899.1620713040</v>
      </c>
      <c r="C1331" s="8" t="s">
        <v>1772</v>
      </c>
      <c r="D1331" s="8" t="s">
        <v>1773</v>
      </c>
      <c r="E1331" s="8" t="s">
        <v>12</v>
      </c>
      <c r="F1331" s="8" t="s">
        <v>13</v>
      </c>
      <c r="G1331" s="8" t="s">
        <v>130</v>
      </c>
      <c r="H1331" s="16">
        <v>14.0</v>
      </c>
      <c r="I1331" s="15" t="str">
        <f>SUBSTITUTE(Sheet1!K1331, "Rp", "")</f>
        <v>3072000</v>
      </c>
    </row>
    <row r="1332">
      <c r="A1332" s="8" t="s">
        <v>2770</v>
      </c>
      <c r="B1332" s="13" t="str">
        <f>HYPERLINK("https://shopee.co.id/GLOWINC-POTION-HYDRALIVE-Moisture-Lock-Skin-Drink-Essence-i.487788169.9190420639", "https://shopee.co.id/GLOWINC-POTION-HYDRALIVE-Moisture-Lock-Skin-Drink-Essence-i.487788169.9190420639")</f>
        <v>https://shopee.co.id/GLOWINC-POTION-HYDRALIVE-Moisture-Lock-Skin-Drink-Essence-i.487788169.9190420639</v>
      </c>
      <c r="C1332" s="8" t="s">
        <v>1898</v>
      </c>
      <c r="D1332" s="8" t="s">
        <v>1899</v>
      </c>
      <c r="E1332" s="8" t="s">
        <v>12</v>
      </c>
      <c r="F1332" s="8" t="s">
        <v>13</v>
      </c>
      <c r="G1332" s="8" t="s">
        <v>21</v>
      </c>
      <c r="H1332" s="16">
        <v>14.0</v>
      </c>
      <c r="I1332" s="15" t="str">
        <f>SUBSTITUTE(Sheet1!K1332, "Rp", "")</f>
        <v>1106000</v>
      </c>
    </row>
    <row r="1333">
      <c r="A1333" s="8" t="s">
        <v>2434</v>
      </c>
      <c r="B1333" s="13" t="str">
        <f>HYPERLINK("https://shopee.co.id/Hiqween-10-00pm-Advanced-Serum-i.481417149.9477591449", "https://shopee.co.id/Hiqween-10-00pm-Advanced-Serum-i.481417149.9477591449")</f>
        <v>https://shopee.co.id/Hiqween-10-00pm-Advanced-Serum-i.481417149.9477591449</v>
      </c>
      <c r="C1333" s="8" t="s">
        <v>2270</v>
      </c>
      <c r="D1333" s="8" t="s">
        <v>2271</v>
      </c>
      <c r="E1333" s="8" t="s">
        <v>12</v>
      </c>
      <c r="F1333" s="8" t="s">
        <v>13</v>
      </c>
      <c r="G1333" s="8" t="s">
        <v>350</v>
      </c>
      <c r="H1333" s="16">
        <v>14.0</v>
      </c>
      <c r="I1333" s="15" t="str">
        <f>SUBSTITUTE(Sheet1!K1333, "Rp", "")</f>
        <v>1869750</v>
      </c>
    </row>
    <row r="1334">
      <c r="A1334" s="8" t="s">
        <v>1883</v>
      </c>
      <c r="B1334" s="13" t="str">
        <f>HYPERLINK("https://shopee.co.id/HUXLEY-Essence-Brightly-Ever-After-30ml-i.199277424.3506728243", "https://shopee.co.id/HUXLEY-Essence-Brightly-Ever-After-30ml-i.199277424.3506728243")</f>
        <v>https://shopee.co.id/HUXLEY-Essence-Brightly-Ever-After-30ml-i.199277424.3506728243</v>
      </c>
      <c r="C1334" s="8" t="s">
        <v>1635</v>
      </c>
      <c r="D1334" s="8" t="s">
        <v>1884</v>
      </c>
      <c r="E1334" s="8" t="s">
        <v>12</v>
      </c>
      <c r="F1334" s="8" t="s">
        <v>13</v>
      </c>
      <c r="G1334" s="8" t="s">
        <v>80</v>
      </c>
      <c r="H1334" s="16">
        <v>14.0</v>
      </c>
      <c r="I1334" s="15" t="str">
        <f>SUBSTITUTE(Sheet1!K1334, "Rp", "")</f>
        <v>4170853</v>
      </c>
    </row>
    <row r="1335">
      <c r="A1335" s="8" t="s">
        <v>2567</v>
      </c>
      <c r="B1335" s="13" t="str">
        <f>HYPERLINK("https://shopee.co.id/Illuminare-Brightening-Serum-30-gram-Serum-Wajah-i.204185841.6318655718", "https://shopee.co.id/Illuminare-Brightening-Serum-30-gram-Serum-Wajah-i.204185841.6318655718")</f>
        <v>https://shopee.co.id/Illuminare-Brightening-Serum-30-gram-Serum-Wajah-i.204185841.6318655718</v>
      </c>
      <c r="C1335" s="8" t="s">
        <v>1750</v>
      </c>
      <c r="D1335" s="8" t="s">
        <v>2568</v>
      </c>
      <c r="E1335" s="8" t="s">
        <v>12</v>
      </c>
      <c r="F1335" s="8" t="s">
        <v>13</v>
      </c>
      <c r="G1335" s="8" t="s">
        <v>36</v>
      </c>
      <c r="H1335" s="16">
        <v>14.0</v>
      </c>
      <c r="I1335" s="15" t="str">
        <f>SUBSTITUTE(Sheet1!K1335, "Rp", "")</f>
        <v>1549800</v>
      </c>
    </row>
    <row r="1336">
      <c r="A1336" s="8" t="s">
        <v>2087</v>
      </c>
      <c r="B1336" s="13" t="str">
        <f>HYPERLINK("https://shopee.co.id/Iunik-Beta-Glucan-Power-Moisture-Serum-50ml-i.825870.3621746757", "https://shopee.co.id/Iunik-Beta-Glucan-Power-Moisture-Serum-50ml-i.825870.3621746757")</f>
        <v>https://shopee.co.id/Iunik-Beta-Glucan-Power-Moisture-Serum-50ml-i.825870.3621746757</v>
      </c>
      <c r="C1336" s="8" t="s">
        <v>1658</v>
      </c>
      <c r="D1336" s="8" t="s">
        <v>1184</v>
      </c>
      <c r="E1336" s="8" t="s">
        <v>12</v>
      </c>
      <c r="F1336" s="8" t="s">
        <v>13</v>
      </c>
      <c r="G1336" s="8" t="s">
        <v>21</v>
      </c>
      <c r="H1336" s="16">
        <v>14.0</v>
      </c>
      <c r="I1336" s="15" t="str">
        <f>SUBSTITUTE(Sheet1!K1336, "Rp", "")</f>
        <v>3048000</v>
      </c>
    </row>
    <row r="1337">
      <c r="A1337" s="8" t="s">
        <v>2294</v>
      </c>
      <c r="B1337" s="13" t="str">
        <f>HYPERLINK("https://shopee.co.id/J-GLOW-Serum-Ever-Glow-Memberikan-Efek-Lebih-Cerah-Glowing-15ml-i.165212611.2523288340", "https://shopee.co.id/J-GLOW-Serum-Ever-Glow-Memberikan-Efek-Lebih-Cerah-Glowing-15ml-i.165212611.2523288340")</f>
        <v>https://shopee.co.id/J-GLOW-Serum-Ever-Glow-Memberikan-Efek-Lebih-Cerah-Glowing-15ml-i.165212611.2523288340</v>
      </c>
      <c r="C1337" s="8" t="s">
        <v>1553</v>
      </c>
      <c r="D1337" s="8" t="s">
        <v>1554</v>
      </c>
      <c r="E1337" s="8" t="s">
        <v>12</v>
      </c>
      <c r="F1337" s="8" t="s">
        <v>13</v>
      </c>
      <c r="G1337" s="8" t="s">
        <v>241</v>
      </c>
      <c r="H1337" s="16">
        <v>14.0</v>
      </c>
      <c r="I1337" s="15" t="str">
        <f>SUBSTITUTE(Sheet1!K1337, "Rp", "")</f>
        <v>2310000</v>
      </c>
    </row>
    <row r="1338">
      <c r="A1338" s="8" t="s">
        <v>1905</v>
      </c>
      <c r="B1338" s="13" t="str">
        <f>HYPERLINK("https://shopee.co.id/MSBB-Avoskin-Perfect-Hydrating-Treatment-Essence-Special-Valentine-100ml-i.288588702.8815360310", "https://shopee.co.id/MSBB-Avoskin-Perfect-Hydrating-Treatment-Essence-Special-Valentine-100ml-i.288588702.8815360310")</f>
        <v>https://shopee.co.id/MSBB-Avoskin-Perfect-Hydrating-Treatment-Essence-Special-Valentine-100ml-i.288588702.8815360310</v>
      </c>
      <c r="C1338" s="8" t="s">
        <v>83</v>
      </c>
      <c r="D1338" s="8" t="s">
        <v>79</v>
      </c>
      <c r="E1338" s="8" t="s">
        <v>12</v>
      </c>
      <c r="F1338" s="8" t="s">
        <v>13</v>
      </c>
      <c r="G1338" s="8" t="s">
        <v>80</v>
      </c>
      <c r="H1338" s="16">
        <v>14.0</v>
      </c>
      <c r="I1338" s="15" t="str">
        <f>SUBSTITUTE(Sheet1!K1338, "Rp", "")</f>
        <v>3994640</v>
      </c>
    </row>
    <row r="1339">
      <c r="A1339" s="8" t="s">
        <v>2529</v>
      </c>
      <c r="B1339" s="13" t="str">
        <f>HYPERLINK("https://shopee.co.id/MSBB-Jarte-Cica-Care-Ampoule-i.288588702.8513285892", "https://shopee.co.id/MSBB-Jarte-Cica-Care-Ampoule-i.288588702.8513285892")</f>
        <v>https://shopee.co.id/MSBB-Jarte-Cica-Care-Ampoule-i.288588702.8513285892</v>
      </c>
      <c r="C1339" s="8" t="s">
        <v>78</v>
      </c>
      <c r="D1339" s="8" t="s">
        <v>79</v>
      </c>
      <c r="E1339" s="8" t="s">
        <v>12</v>
      </c>
      <c r="F1339" s="8" t="s">
        <v>13</v>
      </c>
      <c r="G1339" s="8" t="s">
        <v>80</v>
      </c>
      <c r="H1339" s="16">
        <v>14.0</v>
      </c>
      <c r="I1339" s="15" t="str">
        <f>SUBSTITUTE(Sheet1!K1339, "Rp", "")</f>
        <v>1633870</v>
      </c>
    </row>
    <row r="1340">
      <c r="A1340" s="8" t="s">
        <v>2484</v>
      </c>
      <c r="B1340" s="13" t="str">
        <f>HYPERLINK("https://shopee.co.id/MSBB-Somethinc-AHA-7-BHA-1-PHA-3-Weekly-Peeling-solution-20Ml-i.288588702.9275257023", "https://shopee.co.id/MSBB-Somethinc-AHA-7-BHA-1-PHA-3-Weekly-Peeling-solution-20Ml-i.288588702.9275257023")</f>
        <v>https://shopee.co.id/MSBB-Somethinc-AHA-7-BHA-1-PHA-3-Weekly-Peeling-solution-20Ml-i.288588702.9275257023</v>
      </c>
      <c r="C1340" s="8" t="s">
        <v>45</v>
      </c>
      <c r="D1340" s="8" t="s">
        <v>79</v>
      </c>
      <c r="E1340" s="8" t="s">
        <v>12</v>
      </c>
      <c r="F1340" s="8" t="s">
        <v>13</v>
      </c>
      <c r="G1340" s="8" t="s">
        <v>80</v>
      </c>
      <c r="H1340" s="16">
        <v>14.0</v>
      </c>
      <c r="I1340" s="15" t="str">
        <f>SUBSTITUTE(Sheet1!K1340, "Rp", "")</f>
        <v>1750000</v>
      </c>
    </row>
    <row r="1341">
      <c r="A1341" s="8" t="s">
        <v>1654</v>
      </c>
      <c r="B1341" s="13" t="str">
        <f>HYPERLINK("https://shopee.co.id/NACIFIC-Day-and-Night-Set-i.238604292.6680337872", "https://shopee.co.id/NACIFIC-Day-and-Night-Set-i.238604292.6680337872")</f>
        <v>https://shopee.co.id/NACIFIC-Day-and-Night-Set-i.238604292.6680337872</v>
      </c>
      <c r="C1341" s="8" t="s">
        <v>344</v>
      </c>
      <c r="D1341" s="8" t="s">
        <v>918</v>
      </c>
      <c r="E1341" s="8" t="s">
        <v>12</v>
      </c>
      <c r="F1341" s="8" t="s">
        <v>13</v>
      </c>
      <c r="G1341" s="8" t="s">
        <v>80</v>
      </c>
      <c r="H1341" s="16">
        <v>14.0</v>
      </c>
      <c r="I1341" s="15" t="str">
        <f>SUBSTITUTE(Sheet1!K1341, "Rp", "")</f>
        <v>5814000</v>
      </c>
    </row>
    <row r="1342">
      <c r="A1342" s="8" t="s">
        <v>2967</v>
      </c>
      <c r="B1342" s="13" t="str">
        <f>HYPERLINK("https://shopee.co.id/Natosh-Rice-Bran-Oil-i.79298106.1421394946", "https://shopee.co.id/Natosh-Rice-Bran-Oil-i.79298106.1421394946")</f>
        <v>https://shopee.co.id/Natosh-Rice-Bran-Oil-i.79298106.1421394946</v>
      </c>
      <c r="C1342" s="8" t="s">
        <v>2968</v>
      </c>
      <c r="D1342" s="8" t="s">
        <v>2969</v>
      </c>
      <c r="E1342" s="8" t="s">
        <v>12</v>
      </c>
      <c r="F1342" s="8" t="s">
        <v>13</v>
      </c>
      <c r="G1342" s="8" t="s">
        <v>350</v>
      </c>
      <c r="H1342" s="16">
        <v>14.0</v>
      </c>
      <c r="I1342" s="15" t="str">
        <f>SUBSTITUTE(Sheet1!K1342, "Rp", "")</f>
        <v>808300</v>
      </c>
    </row>
    <row r="1343">
      <c r="A1343" s="8" t="s">
        <v>2426</v>
      </c>
      <c r="B1343" s="13" t="str">
        <f>HYPERLINK("https://shopee.co.id/Nusantics-Biome-Essence-Spray-Witch-Hazel-i.156645962.2334013086", "https://shopee.co.id/Nusantics-Biome-Essence-Spray-Witch-Hazel-i.156645962.2334013086")</f>
        <v>https://shopee.co.id/Nusantics-Biome-Essence-Spray-Witch-Hazel-i.156645962.2334013086</v>
      </c>
      <c r="C1343" s="8" t="s">
        <v>2427</v>
      </c>
      <c r="D1343" s="8" t="s">
        <v>2428</v>
      </c>
      <c r="E1343" s="8" t="s">
        <v>12</v>
      </c>
      <c r="F1343" s="8" t="s">
        <v>13</v>
      </c>
      <c r="G1343" s="8" t="s">
        <v>98</v>
      </c>
      <c r="H1343" s="16">
        <v>14.0</v>
      </c>
      <c r="I1343" s="15" t="str">
        <f>SUBSTITUTE(Sheet1!K1343, "Rp", "")</f>
        <v>1877074</v>
      </c>
    </row>
    <row r="1344">
      <c r="A1344" s="8" t="s">
        <v>2288</v>
      </c>
      <c r="B1344" s="13" t="str">
        <f>HYPERLINK("https://shopee.co.id/Olay-Regenerist-Micro-Sculpting-Serum-50gr-i.30736001.606806962", "https://shopee.co.id/Olay-Regenerist-Micro-Sculpting-Serum-50gr-i.30736001.606806962")</f>
        <v>https://shopee.co.id/Olay-Regenerist-Micro-Sculpting-Serum-50gr-i.30736001.606806962</v>
      </c>
      <c r="C1344" s="8" t="s">
        <v>317</v>
      </c>
      <c r="D1344" s="8" t="s">
        <v>335</v>
      </c>
      <c r="E1344" s="8" t="s">
        <v>12</v>
      </c>
      <c r="F1344" s="8" t="s">
        <v>13</v>
      </c>
      <c r="G1344" s="8" t="s">
        <v>36</v>
      </c>
      <c r="H1344" s="16">
        <v>14.0</v>
      </c>
      <c r="I1344" s="15" t="str">
        <f>SUBSTITUTE(Sheet1!K1344, "Rp", "")</f>
        <v>2332400</v>
      </c>
    </row>
    <row r="1345">
      <c r="A1345" s="8" t="s">
        <v>2454</v>
      </c>
      <c r="B1345" s="13" t="str">
        <f>HYPERLINK("https://shopee.co.id/Osho-Phyto-Natural-Enrich-Whitening-Emultion-130-ml-i.69409544.7307898455", "https://shopee.co.id/Osho-Phyto-Natural-Enrich-Whitening-Emultion-130-ml-i.69409544.7307898455")</f>
        <v>https://shopee.co.id/Osho-Phyto-Natural-Enrich-Whitening-Emultion-130-ml-i.69409544.7307898455</v>
      </c>
      <c r="C1345" s="8" t="s">
        <v>2313</v>
      </c>
      <c r="D1345" s="8" t="s">
        <v>2314</v>
      </c>
      <c r="E1345" s="8" t="s">
        <v>12</v>
      </c>
      <c r="F1345" s="8" t="s">
        <v>13</v>
      </c>
      <c r="G1345" s="8" t="s">
        <v>98</v>
      </c>
      <c r="H1345" s="16">
        <v>14.0</v>
      </c>
      <c r="I1345" s="15" t="str">
        <f>SUBSTITUTE(Sheet1!K1345, "Rp", "")</f>
        <v>1807000</v>
      </c>
    </row>
    <row r="1346">
      <c r="A1346" s="8" t="s">
        <v>2081</v>
      </c>
      <c r="B1346" s="13" t="str">
        <f>HYPERLINK("https://shopee.co.id/Ozora-Timeless-Skin-Vitamin-C-Serum-i.33050847.4370564655", "https://shopee.co.id/Ozora-Timeless-Skin-Vitamin-C-Serum-i.33050847.4370564655")</f>
        <v>https://shopee.co.id/Ozora-Timeless-Skin-Vitamin-C-Serum-i.33050847.4370564655</v>
      </c>
      <c r="C1346" s="8" t="s">
        <v>2082</v>
      </c>
      <c r="D1346" s="8" t="s">
        <v>2083</v>
      </c>
      <c r="E1346" s="8" t="s">
        <v>12</v>
      </c>
      <c r="F1346" s="8" t="s">
        <v>13</v>
      </c>
      <c r="G1346" s="8" t="s">
        <v>85</v>
      </c>
      <c r="H1346" s="16">
        <v>14.0</v>
      </c>
      <c r="I1346" s="15" t="str">
        <f>SUBSTITUTE(Sheet1!K1346, "Rp", "")</f>
        <v>3096000</v>
      </c>
    </row>
    <row r="1347">
      <c r="A1347" s="8" t="s">
        <v>1709</v>
      </c>
      <c r="B1347" s="13" t="str">
        <f>HYPERLINK("https://shopee.co.id/Purivera-Elixir-Serum-Oil-Package-Anti-Acne-Aging-Whitening-Scar-Jerawat-Mencerahkan-i.43724442.7480086237", "https://shopee.co.id/Purivera-Elixir-Serum-Oil-Package-Anti-Acne-Aging-Whitening-Scar-Jerawat-Mencerahkan-i.43724442.7480086237")</f>
        <v>https://shopee.co.id/Purivera-Elixir-Serum-Oil-Package-Anti-Acne-Aging-Whitening-Scar-Jerawat-Mencerahkan-i.43724442.7480086237</v>
      </c>
      <c r="C1347" s="8" t="s">
        <v>428</v>
      </c>
      <c r="D1347" s="8" t="s">
        <v>429</v>
      </c>
      <c r="E1347" s="8" t="s">
        <v>12</v>
      </c>
      <c r="F1347" s="8" t="s">
        <v>13</v>
      </c>
      <c r="G1347" s="8" t="s">
        <v>61</v>
      </c>
      <c r="H1347" s="16">
        <v>14.0</v>
      </c>
      <c r="I1347" s="15" t="str">
        <f>SUBSTITUTE(Sheet1!K1347, "Rp", "")</f>
        <v>5336000</v>
      </c>
    </row>
    <row r="1348">
      <c r="A1348" s="8" t="s">
        <v>2787</v>
      </c>
      <c r="B1348" s="13" t="str">
        <f>HYPERLINK("https://shopee.co.id/SALSA-Crystal-Whitening-Serum-i.17318245.4719135283", "https://shopee.co.id/SALSA-Crystal-Whitening-Serum-i.17318245.4719135283")</f>
        <v>https://shopee.co.id/SALSA-Crystal-Whitening-Serum-i.17318245.4719135283</v>
      </c>
      <c r="C1348" s="8" t="s">
        <v>2788</v>
      </c>
      <c r="D1348" s="8" t="s">
        <v>2789</v>
      </c>
      <c r="E1348" s="8" t="s">
        <v>12</v>
      </c>
      <c r="F1348" s="8" t="s">
        <v>13</v>
      </c>
      <c r="G1348" s="8" t="s">
        <v>350</v>
      </c>
      <c r="H1348" s="16">
        <v>14.0</v>
      </c>
      <c r="I1348" s="15" t="str">
        <f>SUBSTITUTE(Sheet1!K1348, "Rp", "")</f>
        <v>1078650</v>
      </c>
    </row>
    <row r="1349">
      <c r="A1349" s="8" t="s">
        <v>2934</v>
      </c>
      <c r="B1349" s="13" t="str">
        <f>HYPERLINK("https://shopee.co.id/Sarae-Glowing-Essence-with-CICA-Hyaluronic-Acid-Face-Mist-Centella-Asiatica-i.20723335.7280582629", "https://shopee.co.id/Sarae-Glowing-Essence-with-CICA-Hyaluronic-Acid-Face-Mist-Centella-Asiatica-i.20723335.7280582629")</f>
        <v>https://shopee.co.id/Sarae-Glowing-Essence-with-CICA-Hyaluronic-Acid-Face-Mist-Centella-Asiatica-i.20723335.7280582629</v>
      </c>
      <c r="C1349" s="8" t="s">
        <v>2042</v>
      </c>
      <c r="D1349" s="8" t="s">
        <v>2043</v>
      </c>
      <c r="E1349" s="8" t="s">
        <v>12</v>
      </c>
      <c r="F1349" s="8" t="s">
        <v>13</v>
      </c>
      <c r="G1349" s="8" t="s">
        <v>241</v>
      </c>
      <c r="H1349" s="16">
        <v>14.0</v>
      </c>
      <c r="I1349" s="15" t="str">
        <f>SUBSTITUTE(Sheet1!K1349, "Rp", "")</f>
        <v>851600</v>
      </c>
    </row>
    <row r="1350">
      <c r="A1350" s="8" t="s">
        <v>2889</v>
      </c>
      <c r="B1350" s="13" t="str">
        <f>HYPERLINK("https://shopee.co.id/Scarlett-Whitening-Brightly-to-Glow-Mini-Series-5mlx2-i.136011044.8886876427", "https://shopee.co.id/Scarlett-Whitening-Brightly-to-Glow-Mini-Series-5mlx2-i.136011044.8886876427")</f>
        <v>https://shopee.co.id/Scarlett-Whitening-Brightly-to-Glow-Mini-Series-5mlx2-i.136011044.8886876427</v>
      </c>
      <c r="C1350" s="8" t="s">
        <v>19</v>
      </c>
      <c r="D1350" s="8" t="s">
        <v>632</v>
      </c>
      <c r="E1350" s="8" t="s">
        <v>12</v>
      </c>
      <c r="F1350" s="8" t="s">
        <v>13</v>
      </c>
      <c r="G1350" s="8" t="s">
        <v>21</v>
      </c>
      <c r="H1350" s="16">
        <v>14.0</v>
      </c>
      <c r="I1350" s="15" t="str">
        <f>SUBSTITUTE(Sheet1!K1350, "Rp", "")</f>
        <v>910000</v>
      </c>
    </row>
    <row r="1351">
      <c r="A1351" s="8" t="s">
        <v>2464</v>
      </c>
      <c r="B1351" s="13" t="str">
        <f>HYPERLINK("https://shopee.co.id/Serum-Dark-Spot-Solution-i.3087844.3616685984", "https://shopee.co.id/Serum-Dark-Spot-Solution-i.3087844.3616685984")</f>
        <v>https://shopee.co.id/Serum-Dark-Spot-Solution-i.3087844.3616685984</v>
      </c>
      <c r="C1351" s="8" t="s">
        <v>2465</v>
      </c>
      <c r="D1351" s="8" t="s">
        <v>1158</v>
      </c>
      <c r="E1351" s="8" t="s">
        <v>12</v>
      </c>
      <c r="F1351" s="8" t="s">
        <v>13</v>
      </c>
      <c r="G1351" s="8" t="s">
        <v>241</v>
      </c>
      <c r="H1351" s="16">
        <v>14.0</v>
      </c>
      <c r="I1351" s="15" t="str">
        <f>SUBSTITUTE(Sheet1!K1351, "Rp", "")</f>
        <v>1790750</v>
      </c>
    </row>
    <row r="1352">
      <c r="A1352" s="8" t="s">
        <v>2219</v>
      </c>
      <c r="B1352" s="13" t="str">
        <f>HYPERLINK("https://shopee.co.id/SOME-BY-MI-AHABHAPHA-30-Days-Miracle-Serum-i.125116082.10011565570", "https://shopee.co.id/SOME-BY-MI-AHABHAPHA-30-Days-Miracle-Serum-i.125116082.10011565570")</f>
        <v>https://shopee.co.id/SOME-BY-MI-AHABHAPHA-30-Days-Miracle-Serum-i.125116082.10011565570</v>
      </c>
      <c r="C1352" s="8" t="s">
        <v>213</v>
      </c>
      <c r="D1352" s="8" t="s">
        <v>713</v>
      </c>
      <c r="E1352" s="8" t="s">
        <v>12</v>
      </c>
      <c r="F1352" s="8" t="s">
        <v>13</v>
      </c>
      <c r="G1352" s="8" t="s">
        <v>61</v>
      </c>
      <c r="H1352" s="16">
        <v>14.0</v>
      </c>
      <c r="I1352" s="15" t="str">
        <f>SUBSTITUTE(Sheet1!K1352, "Rp", "")</f>
        <v>2520000</v>
      </c>
    </row>
    <row r="1353">
      <c r="A1353" s="8" t="s">
        <v>2292</v>
      </c>
      <c r="B1353" s="13" t="str">
        <f>HYPERLINK("https://shopee.co.id/The-Potions-Azulene-Ampoule-20Ml-i.186214521.8143218676", "https://shopee.co.id/The-Potions-Azulene-Ampoule-20Ml-i.186214521.8143218676")</f>
        <v>https://shopee.co.id/The-Potions-Azulene-Ampoule-20Ml-i.186214521.8143218676</v>
      </c>
      <c r="C1353" s="8" t="s">
        <v>2245</v>
      </c>
      <c r="D1353" s="8" t="s">
        <v>2293</v>
      </c>
      <c r="E1353" s="8" t="s">
        <v>12</v>
      </c>
      <c r="F1353" s="8" t="s">
        <v>13</v>
      </c>
      <c r="G1353" s="8" t="s">
        <v>61</v>
      </c>
      <c r="H1353" s="16">
        <v>14.0</v>
      </c>
      <c r="I1353" s="15" t="str">
        <f>SUBSTITUTE(Sheet1!K1353, "Rp", "")</f>
        <v>2314500</v>
      </c>
    </row>
    <row r="1354">
      <c r="A1354" s="8" t="s">
        <v>3972</v>
      </c>
      <c r="B1354" s="13" t="str">
        <f>HYPERLINK("https://shopee.co.id/THE-POTIONS-Sample-Size-Peptide-Ampoule-1ml-Individual-Pack-Maksimal-Checkout-3-pcs--i.379239733.8334321352", "https://shopee.co.id/THE-POTIONS-Sample-Size-Peptide-Ampoule-1ml-Individual-Pack-Maksimal-Checkout-3-pcs--i.379239733.8334321352")</f>
        <v>https://shopee.co.id/THE-POTIONS-Sample-Size-Peptide-Ampoule-1ml-Individual-Pack-Maksimal-Checkout-3-pcs--i.379239733.8334321352</v>
      </c>
      <c r="C1354" s="8" t="s">
        <v>2245</v>
      </c>
      <c r="D1354" s="8" t="s">
        <v>2246</v>
      </c>
      <c r="E1354" s="8" t="s">
        <v>12</v>
      </c>
      <c r="F1354" s="8" t="s">
        <v>13</v>
      </c>
      <c r="G1354" s="8" t="s">
        <v>130</v>
      </c>
      <c r="H1354" s="16">
        <v>14.0</v>
      </c>
      <c r="I1354" s="15" t="str">
        <f>SUBSTITUTE(Sheet1!K1354, "Rp", "")</f>
        <v>31500</v>
      </c>
    </row>
    <row r="1355">
      <c r="A1355" s="8" t="s">
        <v>2844</v>
      </c>
      <c r="B1355" s="13" t="str">
        <f>HYPERLINK("https://shopee.co.id/Vit-C-Whitening-Serum-Marwah-Skin-Care-i.357101711.4179524325", "https://shopee.co.id/Vit-C-Whitening-Serum-Marwah-Skin-Care-i.357101711.4179524325")</f>
        <v>https://shopee.co.id/Vit-C-Whitening-Serum-Marwah-Skin-Care-i.357101711.4179524325</v>
      </c>
      <c r="C1355" s="8" t="s">
        <v>2249</v>
      </c>
      <c r="D1355" s="8" t="s">
        <v>2250</v>
      </c>
      <c r="E1355" s="8" t="s">
        <v>12</v>
      </c>
      <c r="F1355" s="8" t="s">
        <v>13</v>
      </c>
      <c r="G1355" s="8" t="s">
        <v>370</v>
      </c>
      <c r="H1355" s="16">
        <v>14.0</v>
      </c>
      <c r="I1355" s="15" t="str">
        <f>SUBSTITUTE(Sheet1!K1355, "Rp", "")</f>
        <v>980000</v>
      </c>
    </row>
    <row r="1356">
      <c r="A1356" s="8" t="s">
        <v>2550</v>
      </c>
      <c r="B1356" s="13" t="str">
        <f>HYPERLINK("https://shopee.co.id/Npure-Face-Essence-Centella-Asiatica-20ml-i.50948181.5660652664", "https://shopee.co.id/Npure-Face-Essence-Centella-Asiatica-20ml-i.50948181.5660652664")</f>
        <v>https://shopee.co.id/Npure-Face-Essence-Centella-Asiatica-20ml-i.50948181.5660652664</v>
      </c>
      <c r="C1356" s="8" t="s">
        <v>266</v>
      </c>
      <c r="D1356" s="8" t="s">
        <v>1129</v>
      </c>
      <c r="E1356" s="8" t="s">
        <v>12</v>
      </c>
      <c r="F1356" s="8" t="s">
        <v>13</v>
      </c>
      <c r="G1356" s="8" t="s">
        <v>1130</v>
      </c>
      <c r="H1356" s="16">
        <v>13.0</v>
      </c>
      <c r="I1356" s="15" t="str">
        <f>SUBSTITUTE(Sheet1!K1356, "Rp", "")</f>
        <v>1579500</v>
      </c>
    </row>
    <row r="1357">
      <c r="A1357" s="8" t="s">
        <v>1002</v>
      </c>
      <c r="B1357" s="13" t="str">
        <f>HYPERLINK("https://shopee.co.id/Sulwhasoo-Concentrated-Ginseng-Renewing-Serum-Cream-Trial-Kit-1-1--i.274949344.8569824210", "https://shopee.co.id/Sulwhasoo-Concentrated-Ginseng-Renewing-Serum-Cream-Trial-Kit-1-1--i.274949344.8569824210")</f>
        <v>https://shopee.co.id/Sulwhasoo-Concentrated-Ginseng-Renewing-Serum-Cream-Trial-Kit-1-1--i.274949344.8569824210</v>
      </c>
      <c r="C1357" s="8" t="s">
        <v>282</v>
      </c>
      <c r="D1357" s="8" t="s">
        <v>283</v>
      </c>
      <c r="E1357" s="8" t="s">
        <v>12</v>
      </c>
      <c r="F1357" s="8" t="s">
        <v>13</v>
      </c>
      <c r="G1357" s="8" t="s">
        <v>61</v>
      </c>
      <c r="H1357" s="16">
        <v>13.0</v>
      </c>
      <c r="I1357" s="15" t="str">
        <f>SUBSTITUTE(Sheet1!K1357, "Rp", "")</f>
        <v>19177700</v>
      </c>
    </row>
    <row r="1358">
      <c r="A1358" s="8" t="s">
        <v>1638</v>
      </c>
      <c r="B1358" s="13" t="str">
        <f>HYPERLINK("https://shopee.co.id/-innisfree-Wrinkle-Science-Oil-Serum-30ML-Serum-Wajah-Perawatan-Wajah-i.61504589.3804170947", "https://shopee.co.id/-innisfree-Wrinkle-Science-Oil-Serum-30ML-Serum-Wajah-Perawatan-Wajah-i.61504589.3804170947")</f>
        <v>https://shopee.co.id/-innisfree-Wrinkle-Science-Oil-Serum-30ML-Serum-Wajah-Perawatan-Wajah-i.61504589.3804170947</v>
      </c>
      <c r="C1358" s="8" t="s">
        <v>294</v>
      </c>
      <c r="D1358" s="8" t="s">
        <v>295</v>
      </c>
      <c r="E1358" s="8" t="s">
        <v>12</v>
      </c>
      <c r="F1358" s="8" t="s">
        <v>13</v>
      </c>
      <c r="G1358" s="8" t="s">
        <v>296</v>
      </c>
      <c r="H1358" s="16">
        <v>13.0</v>
      </c>
      <c r="I1358" s="15" t="str">
        <f>SUBSTITUTE(Sheet1!K1358, "Rp", "")</f>
        <v>6027000</v>
      </c>
    </row>
    <row r="1359">
      <c r="A1359" s="8" t="s">
        <v>965</v>
      </c>
      <c r="B1359" s="13" t="str">
        <f>HYPERLINK("https://shopee.co.id/Shiseido-White-Lucent-Illuminating-Micro-Spot-Serum-30ML-i.345419471.7869899262", "https://shopee.co.id/Shiseido-White-Lucent-Illuminating-Micro-Spot-Serum-30ML-i.345419471.7869899262")</f>
        <v>https://shopee.co.id/Shiseido-White-Lucent-Illuminating-Micro-Spot-Serum-30ML-i.345419471.7869899262</v>
      </c>
      <c r="C1359" s="8" t="s">
        <v>868</v>
      </c>
      <c r="D1359" s="8" t="s">
        <v>869</v>
      </c>
      <c r="E1359" s="8" t="s">
        <v>12</v>
      </c>
      <c r="F1359" s="8" t="s">
        <v>13</v>
      </c>
      <c r="G1359" s="8" t="s">
        <v>130</v>
      </c>
      <c r="H1359" s="16">
        <v>13.0</v>
      </c>
      <c r="I1359" s="15" t="str">
        <f>SUBSTITUTE(Sheet1!K1359, "Rp", "")</f>
        <v>20460000</v>
      </c>
    </row>
    <row r="1360">
      <c r="A1360" s="8" t="s">
        <v>154</v>
      </c>
      <c r="B1360" s="13" t="str">
        <f>HYPERLINK("https://shopee.co.id/Avoskin-Miraculous-Refining-Serum-i.214358077.8227346907", "https://shopee.co.id/Avoskin-Miraculous-Refining-Serum-i.214358077.8227346907")</f>
        <v>https://shopee.co.id/Avoskin-Miraculous-Refining-Serum-i.214358077.8227346907</v>
      </c>
      <c r="C1360" s="8" t="s">
        <v>83</v>
      </c>
      <c r="D1360" s="8" t="s">
        <v>1259</v>
      </c>
      <c r="E1360" s="8" t="s">
        <v>12</v>
      </c>
      <c r="F1360" s="8" t="s">
        <v>13</v>
      </c>
      <c r="G1360" s="8" t="s">
        <v>469</v>
      </c>
      <c r="H1360" s="16">
        <v>13.0</v>
      </c>
      <c r="I1360" s="15" t="str">
        <f>SUBSTITUTE(Sheet1!K1360, "Rp", "")</f>
        <v>3107000</v>
      </c>
    </row>
    <row r="1361">
      <c r="A1361" s="8" t="s">
        <v>2056</v>
      </c>
      <c r="B1361" s="13" t="str">
        <f>HYPERLINK("https://shopee.co.id/Avoskin-Miraculous-Retinol-Ampoule-30ml-i.10689.6835643473", "https://shopee.co.id/Avoskin-Miraculous-Retinol-Ampoule-30ml-i.10689.6835643473")</f>
        <v>https://shopee.co.id/Avoskin-Miraculous-Retinol-Ampoule-30ml-i.10689.6835643473</v>
      </c>
      <c r="C1361" s="8" t="s">
        <v>83</v>
      </c>
      <c r="D1361" s="8" t="s">
        <v>745</v>
      </c>
      <c r="E1361" s="8" t="s">
        <v>12</v>
      </c>
      <c r="F1361" s="8" t="s">
        <v>13</v>
      </c>
      <c r="G1361" s="8" t="s">
        <v>61</v>
      </c>
      <c r="H1361" s="16">
        <v>13.0</v>
      </c>
      <c r="I1361" s="15" t="str">
        <f>SUBSTITUTE(Sheet1!K1361, "Rp", "")</f>
        <v>3237000</v>
      </c>
    </row>
    <row r="1362">
      <c r="A1362" s="8" t="s">
        <v>2870</v>
      </c>
      <c r="B1362" s="13" t="str">
        <f>HYPERLINK("https://shopee.co.id/Azalea-Amazing-Glass-Skin-Face-Serum-i.38631574.9434110831", "https://shopee.co.id/Azalea-Amazing-Glass-Skin-Face-Serum-i.38631574.9434110831")</f>
        <v>https://shopee.co.id/Azalea-Amazing-Glass-Skin-Face-Serum-i.38631574.9434110831</v>
      </c>
      <c r="C1362" s="8" t="s">
        <v>1463</v>
      </c>
      <c r="D1362" s="8" t="s">
        <v>1235</v>
      </c>
      <c r="E1362" s="8" t="s">
        <v>12</v>
      </c>
      <c r="F1362" s="8" t="s">
        <v>13</v>
      </c>
      <c r="G1362" s="8" t="s">
        <v>469</v>
      </c>
      <c r="H1362" s="16">
        <v>13.0</v>
      </c>
      <c r="I1362" s="15" t="str">
        <f>SUBSTITUTE(Sheet1!K1362, "Rp", "")</f>
        <v>943750</v>
      </c>
    </row>
    <row r="1363">
      <c r="A1363" s="8" t="s">
        <v>3317</v>
      </c>
      <c r="B1363" s="13" t="str">
        <f>HYPERLINK("https://shopee.co.id/Azarine-Lightening-ToneUp-Body-Serum-C-White-100-mL-i.65323877.11119054360", "https://shopee.co.id/Azarine-Lightening-ToneUp-Body-Serum-C-White-100-mL-i.65323877.11119054360")</f>
        <v>https://shopee.co.id/Azarine-Lightening-ToneUp-Body-Serum-C-White-100-mL-i.65323877.11119054360</v>
      </c>
      <c r="C1363" s="8" t="s">
        <v>233</v>
      </c>
      <c r="D1363" s="8" t="s">
        <v>1600</v>
      </c>
      <c r="E1363" s="8" t="s">
        <v>12</v>
      </c>
      <c r="F1363" s="8" t="s">
        <v>13</v>
      </c>
      <c r="G1363" s="8" t="s">
        <v>296</v>
      </c>
      <c r="H1363" s="16">
        <v>13.0</v>
      </c>
      <c r="I1363" s="15" t="str">
        <f>SUBSTITUTE(Sheet1!K1363, "Rp", "")</f>
        <v>420400</v>
      </c>
    </row>
    <row r="1364">
      <c r="A1364" s="8" t="s">
        <v>1580</v>
      </c>
      <c r="B1364" s="13" t="str">
        <f>HYPERLINK("https://shopee.co.id/Babor-Active-Purifier-7X2ML-i.131188140.5538085106", "https://shopee.co.id/Babor-Active-Purifier-7X2ML-i.131188140.5538085106")</f>
        <v>https://shopee.co.id/Babor-Active-Purifier-7X2ML-i.131188140.5538085106</v>
      </c>
      <c r="C1364" s="8" t="s">
        <v>1433</v>
      </c>
      <c r="D1364" s="8" t="s">
        <v>1434</v>
      </c>
      <c r="E1364" s="8" t="s">
        <v>12</v>
      </c>
      <c r="F1364" s="8" t="s">
        <v>13</v>
      </c>
      <c r="G1364" s="8" t="s">
        <v>61</v>
      </c>
      <c r="H1364" s="16">
        <v>13.0</v>
      </c>
      <c r="I1364" s="15" t="str">
        <f>SUBSTITUTE(Sheet1!K1364, "Rp", "")</f>
        <v>6630000</v>
      </c>
    </row>
    <row r="1365">
      <c r="A1365" s="8" t="s">
        <v>2341</v>
      </c>
      <c r="B1365" s="13" t="str">
        <f>HYPERLINK("https://shopee.co.id/Beauty-Package-Retinoid-Overnight-Oil-Hyaluronic-Acid-Serum-i.124549994.9242524111", "https://shopee.co.id/Beauty-Package-Retinoid-Overnight-Oil-Hyaluronic-Acid-Serum-i.124549994.9242524111")</f>
        <v>https://shopee.co.id/Beauty-Package-Retinoid-Overnight-Oil-Hyaluronic-Acid-Serum-i.124549994.9242524111</v>
      </c>
      <c r="C1365" s="8" t="s">
        <v>807</v>
      </c>
      <c r="D1365" s="8" t="s">
        <v>808</v>
      </c>
      <c r="E1365" s="8" t="s">
        <v>12</v>
      </c>
      <c r="F1365" s="8" t="s">
        <v>13</v>
      </c>
      <c r="G1365" s="8" t="s">
        <v>61</v>
      </c>
      <c r="H1365" s="16">
        <v>13.0</v>
      </c>
      <c r="I1365" s="15" t="str">
        <f>SUBSTITUTE(Sheet1!K1365, "Rp", "")</f>
        <v>2152000</v>
      </c>
    </row>
    <row r="1366">
      <c r="A1366" s="8" t="s">
        <v>2179</v>
      </c>
      <c r="B1366" s="13" t="str">
        <f>HYPERLINK("https://shopee.co.id/Bio-Essence-Bio-Bounce-Collagen-Essence-30-ml-Perawatan-Wajah-i.63822287.1671468807", "https://shopee.co.id/Bio-Essence-Bio-Bounce-Collagen-Essence-30-ml-Perawatan-Wajah-i.63822287.1671468807")</f>
        <v>https://shopee.co.id/Bio-Essence-Bio-Bounce-Collagen-Essence-30-ml-Perawatan-Wajah-i.63822287.1671468807</v>
      </c>
      <c r="C1366" s="8" t="s">
        <v>1254</v>
      </c>
      <c r="D1366" s="8" t="s">
        <v>835</v>
      </c>
      <c r="E1366" s="8" t="s">
        <v>12</v>
      </c>
      <c r="F1366" s="8" t="s">
        <v>13</v>
      </c>
      <c r="G1366" s="8" t="s">
        <v>61</v>
      </c>
      <c r="H1366" s="16">
        <v>13.0</v>
      </c>
      <c r="I1366" s="15" t="str">
        <f>SUBSTITUTE(Sheet1!K1366, "Rp", "")</f>
        <v>2604800</v>
      </c>
    </row>
    <row r="1367">
      <c r="A1367" s="8" t="s">
        <v>2258</v>
      </c>
      <c r="B1367" s="13" t="str">
        <f>HYPERLINK("https://shopee.co.id/Bio-Essence-BioWater-Moistin-Water-Lotion-Toner-150ml-Wajah-Sensitif-i.63822287.6817934319", "https://shopee.co.id/Bio-Essence-BioWater-Moistin-Water-Lotion-Toner-150ml-Wajah-Sensitif-i.63822287.6817934319")</f>
        <v>https://shopee.co.id/Bio-Essence-BioWater-Moistin-Water-Lotion-Toner-150ml-Wajah-Sensitif-i.63822287.6817934319</v>
      </c>
      <c r="C1367" s="8" t="s">
        <v>1254</v>
      </c>
      <c r="D1367" s="8" t="s">
        <v>835</v>
      </c>
      <c r="E1367" s="8" t="s">
        <v>12</v>
      </c>
      <c r="F1367" s="8" t="s">
        <v>13</v>
      </c>
      <c r="G1367" s="8" t="s">
        <v>61</v>
      </c>
      <c r="H1367" s="16">
        <v>13.0</v>
      </c>
      <c r="I1367" s="15" t="str">
        <f>SUBSTITUTE(Sheet1!K1367, "Rp", "")</f>
        <v>2391000</v>
      </c>
    </row>
    <row r="1368">
      <c r="A1368" s="8" t="s">
        <v>2942</v>
      </c>
      <c r="B1368" s="13" t="str">
        <f>HYPERLINK("https://shopee.co.id/BREYLEE-SETS-of-SERUM-G-Menenangkan-Menyegarkan-Wajah-2pcs--i.324706771.11516818470", "https://shopee.co.id/BREYLEE-SETS-of-SERUM-G-Menenangkan-Menyegarkan-Wajah-2pcs--i.324706771.11516818470")</f>
        <v>https://shopee.co.id/BREYLEE-SETS-of-SERUM-G-Menenangkan-Menyegarkan-Wajah-2pcs--i.324706771.11516818470</v>
      </c>
      <c r="C1368" s="8" t="s">
        <v>852</v>
      </c>
      <c r="D1368" s="8" t="s">
        <v>853</v>
      </c>
      <c r="E1368" s="8" t="s">
        <v>12</v>
      </c>
      <c r="F1368" s="8" t="s">
        <v>13</v>
      </c>
      <c r="G1368" s="8" t="s">
        <v>532</v>
      </c>
      <c r="H1368" s="16">
        <v>13.0</v>
      </c>
      <c r="I1368" s="15" t="str">
        <f>SUBSTITUTE(Sheet1!K1368, "Rp", "")</f>
        <v>838500</v>
      </c>
    </row>
    <row r="1369">
      <c r="A1369" s="8" t="s">
        <v>2901</v>
      </c>
      <c r="B1369" s="13" t="str">
        <f>HYPERLINK("https://shopee.co.id/Dear-Me-Beauty-10-Niacinamide-Watermelon-Extract-Face-Serum-i.10689.9057064202", "https://shopee.co.id/Dear-Me-Beauty-10-Niacinamide-Watermelon-Extract-Face-Serum-i.10689.9057064202")</f>
        <v>https://shopee.co.id/Dear-Me-Beauty-10-Niacinamide-Watermelon-Extract-Face-Serum-i.10689.9057064202</v>
      </c>
      <c r="C1369" s="8" t="s">
        <v>70</v>
      </c>
      <c r="D1369" s="8" t="s">
        <v>745</v>
      </c>
      <c r="E1369" s="8" t="s">
        <v>12</v>
      </c>
      <c r="F1369" s="8" t="s">
        <v>13</v>
      </c>
      <c r="G1369" s="8" t="s">
        <v>61</v>
      </c>
      <c r="H1369" s="16">
        <v>13.0</v>
      </c>
      <c r="I1369" s="15" t="str">
        <f>SUBSTITUTE(Sheet1!K1369, "Rp", "")</f>
        <v>897000</v>
      </c>
    </row>
    <row r="1370">
      <c r="A1370" s="8" t="s">
        <v>2558</v>
      </c>
      <c r="B1370" s="13" t="str">
        <f>HYPERLINK("https://shopee.co.id/dr-Erna-Serum-Vit-C-Brightening-with-Anti-Aging-Serum-Pencerah-Wajah-dr-Erna-Skincare-i.147564934.7269798199", "https://shopee.co.id/dr-Erna-Serum-Vit-C-Brightening-with-Anti-Aging-Serum-Pencerah-Wajah-dr-Erna-Skincare-i.147564934.7269798199")</f>
        <v>https://shopee.co.id/dr-Erna-Serum-Vit-C-Brightening-with-Anti-Aging-Serum-Pencerah-Wajah-dr-Erna-Skincare-i.147564934.7269798199</v>
      </c>
      <c r="C1370" s="8" t="s">
        <v>2222</v>
      </c>
      <c r="D1370" s="8" t="s">
        <v>2223</v>
      </c>
      <c r="E1370" s="8" t="s">
        <v>12</v>
      </c>
      <c r="F1370" s="8" t="s">
        <v>13</v>
      </c>
      <c r="G1370" s="8" t="s">
        <v>21</v>
      </c>
      <c r="H1370" s="16">
        <v>13.0</v>
      </c>
      <c r="I1370" s="15" t="str">
        <f>SUBSTITUTE(Sheet1!K1370, "Rp", "")</f>
        <v>1560000</v>
      </c>
    </row>
    <row r="1371">
      <c r="A1371" s="8" t="s">
        <v>1757</v>
      </c>
      <c r="B1371" s="13" t="str">
        <f>HYPERLINK("https://shopee.co.id/ElsheSkin-Active-Rejuvenating-Night-Serum-X-ElsheSkin-Sebum-Reducer-Serum-i.9035345.6849121232", "https://shopee.co.id/ElsheSkin-Active-Rejuvenating-Night-Serum-X-ElsheSkin-Sebum-Reducer-Serum-i.9035345.6849121232")</f>
        <v>https://shopee.co.id/ElsheSkin-Active-Rejuvenating-Night-Serum-X-ElsheSkin-Sebum-Reducer-Serum-i.9035345.6849121232</v>
      </c>
      <c r="C1371" s="8" t="s">
        <v>135</v>
      </c>
      <c r="D1371" s="8" t="s">
        <v>136</v>
      </c>
      <c r="E1371" s="8" t="s">
        <v>12</v>
      </c>
      <c r="F1371" s="8" t="s">
        <v>13</v>
      </c>
      <c r="G1371" s="8" t="s">
        <v>80</v>
      </c>
      <c r="H1371" s="16">
        <v>13.0</v>
      </c>
      <c r="I1371" s="15" t="str">
        <f>SUBSTITUTE(Sheet1!K1371, "Rp", "")</f>
        <v>4923500</v>
      </c>
    </row>
    <row r="1372">
      <c r="A1372" s="8" t="s">
        <v>3173</v>
      </c>
      <c r="B1372" s="13" t="str">
        <f>HYPERLINK("https://shopee.co.id/Fanbo-Skin-Goals-Acne-Rescue-Serum-i.12057760.11339250262", "https://shopee.co.id/Fanbo-Skin-Goals-Acne-Rescue-Serum-i.12057760.11339250262")</f>
        <v>https://shopee.co.id/Fanbo-Skin-Goals-Acne-Rescue-Serum-i.12057760.11339250262</v>
      </c>
      <c r="C1372" s="8" t="s">
        <v>2376</v>
      </c>
      <c r="D1372" s="8" t="s">
        <v>2377</v>
      </c>
      <c r="E1372" s="8" t="s">
        <v>12</v>
      </c>
      <c r="F1372" s="8" t="s">
        <v>13</v>
      </c>
      <c r="G1372" s="8" t="s">
        <v>21</v>
      </c>
      <c r="H1372" s="16">
        <v>13.0</v>
      </c>
      <c r="I1372" s="15" t="str">
        <f>SUBSTITUTE(Sheet1!K1372, "Rp", "")</f>
        <v>546000</v>
      </c>
    </row>
    <row r="1373">
      <c r="A1373" s="8" t="s">
        <v>3542</v>
      </c>
      <c r="B1373" s="13" t="str">
        <f>HYPERLINK("https://shopee.co.id/HANASUI-Serum-Anti-Acne-Pink-i.187117294.7243445339", "https://shopee.co.id/HANASUI-Serum-Anti-Acne-Pink-i.187117294.7243445339")</f>
        <v>https://shopee.co.id/HANASUI-Serum-Anti-Acne-Pink-i.187117294.7243445339</v>
      </c>
      <c r="C1373" s="8" t="s">
        <v>784</v>
      </c>
      <c r="D1373" s="8" t="s">
        <v>2366</v>
      </c>
      <c r="E1373" s="8" t="s">
        <v>12</v>
      </c>
      <c r="F1373" s="8" t="s">
        <v>13</v>
      </c>
      <c r="G1373" s="8" t="s">
        <v>469</v>
      </c>
      <c r="H1373" s="16">
        <v>13.0</v>
      </c>
      <c r="I1373" s="15" t="str">
        <f>SUBSTITUTE(Sheet1!K1373, "Rp", "")</f>
        <v>260000</v>
      </c>
    </row>
    <row r="1374">
      <c r="A1374" s="8" t="s">
        <v>2884</v>
      </c>
      <c r="B1374" s="13" t="str">
        <f>HYPERLINK("https://shopee.co.id/I-Face-Vitamin-Serum-C-Vitamin-wajah-Skin-Care-Pemutih-wajah-i.114789399.1878642157", "https://shopee.co.id/I-Face-Vitamin-Serum-C-Vitamin-wajah-Skin-Care-Pemutih-wajah-i.114789399.1878642157")</f>
        <v>https://shopee.co.id/I-Face-Vitamin-Serum-C-Vitamin-wajah-Skin-Care-Pemutih-wajah-i.114789399.1878642157</v>
      </c>
      <c r="C1374" s="8" t="s">
        <v>1116</v>
      </c>
      <c r="D1374" s="8" t="s">
        <v>2531</v>
      </c>
      <c r="E1374" s="8" t="s">
        <v>12</v>
      </c>
      <c r="F1374" s="8" t="s">
        <v>13</v>
      </c>
      <c r="G1374" s="8" t="s">
        <v>36</v>
      </c>
      <c r="H1374" s="16">
        <v>13.0</v>
      </c>
      <c r="I1374" s="15" t="str">
        <f>SUBSTITUTE(Sheet1!K1374, "Rp", "")</f>
        <v>923000</v>
      </c>
    </row>
    <row r="1375">
      <c r="A1375" s="8" t="s">
        <v>1794</v>
      </c>
      <c r="B1375" s="13" t="str">
        <f>HYPERLINK("https://shopee.co.id/Joylab-Skinotic-Probiotic-Package-Water-Essence-Moisture-Gel--i.127604258.4932125364", "https://shopee.co.id/Joylab-Skinotic-Probiotic-Package-Water-Essence-Moisture-Gel--i.127604258.4932125364")</f>
        <v>https://shopee.co.id/Joylab-Skinotic-Probiotic-Package-Water-Essence-Moisture-Gel--i.127604258.4932125364</v>
      </c>
      <c r="C1375" s="8" t="s">
        <v>1795</v>
      </c>
      <c r="D1375" s="8" t="s">
        <v>1796</v>
      </c>
      <c r="E1375" s="8" t="s">
        <v>12</v>
      </c>
      <c r="F1375" s="8" t="s">
        <v>13</v>
      </c>
      <c r="G1375" s="8" t="s">
        <v>98</v>
      </c>
      <c r="H1375" s="16">
        <v>13.0</v>
      </c>
      <c r="I1375" s="15" t="str">
        <f>SUBSTITUTE(Sheet1!K1375, "Rp", "")</f>
        <v>4732900</v>
      </c>
    </row>
    <row r="1376">
      <c r="A1376" s="8" t="s">
        <v>2185</v>
      </c>
      <c r="B1376" s="13" t="str">
        <f>HYPERLINK("https://shopee.co.id/Joylab-Wonderskin-Power-Serum-15ml-i.127604258.11000504229", "https://shopee.co.id/Joylab-Wonderskin-Power-Serum-15ml-i.127604258.11000504229")</f>
        <v>https://shopee.co.id/Joylab-Wonderskin-Power-Serum-15ml-i.127604258.11000504229</v>
      </c>
      <c r="C1376" s="8" t="s">
        <v>1795</v>
      </c>
      <c r="D1376" s="8" t="s">
        <v>1796</v>
      </c>
      <c r="E1376" s="8" t="s">
        <v>12</v>
      </c>
      <c r="F1376" s="8" t="s">
        <v>13</v>
      </c>
      <c r="G1376" s="8" t="s">
        <v>98</v>
      </c>
      <c r="H1376" s="16">
        <v>13.0</v>
      </c>
      <c r="I1376" s="15" t="str">
        <f>SUBSTITUTE(Sheet1!K1376, "Rp", "")</f>
        <v>2590000</v>
      </c>
    </row>
    <row r="1377">
      <c r="A1377" s="8" t="s">
        <v>2775</v>
      </c>
      <c r="B1377" s="13" t="str">
        <f>HYPERLINK("https://shopee.co.id/Kalonea-Skincare-SALE-Triple-Brightening-Serum-BPOM-Packaging-Lama-i.199590923.6422759938", "https://shopee.co.id/Kalonea-Skincare-SALE-Triple-Brightening-Serum-BPOM-Packaging-Lama-i.199590923.6422759938")</f>
        <v>https://shopee.co.id/Kalonea-Skincare-SALE-Triple-Brightening-Serum-BPOM-Packaging-Lama-i.199590923.6422759938</v>
      </c>
      <c r="C1377" s="8" t="s">
        <v>1807</v>
      </c>
      <c r="D1377" s="8" t="s">
        <v>1808</v>
      </c>
      <c r="E1377" s="8" t="s">
        <v>12</v>
      </c>
      <c r="F1377" s="8" t="s">
        <v>13</v>
      </c>
      <c r="G1377" s="8" t="s">
        <v>1048</v>
      </c>
      <c r="H1377" s="16">
        <v>13.0</v>
      </c>
      <c r="I1377" s="15" t="str">
        <f>SUBSTITUTE(Sheet1!K1377, "Rp", "")</f>
        <v>1100000</v>
      </c>
    </row>
    <row r="1378">
      <c r="A1378" s="8" t="s">
        <v>2827</v>
      </c>
      <c r="B1378" s="13" t="str">
        <f>HYPERLINK("https://shopee.co.id/KKV-Whitelab-Brightening-Acne-Face-Serum-20ml-i.313431312.7196563782", "https://shopee.co.id/KKV-Whitelab-Brightening-Acne-Face-Serum-20ml-i.313431312.7196563782")</f>
        <v>https://shopee.co.id/KKV-Whitelab-Brightening-Acne-Face-Serum-20ml-i.313431312.7196563782</v>
      </c>
      <c r="C1378" s="8" t="s">
        <v>59</v>
      </c>
      <c r="D1378" s="8" t="s">
        <v>1524</v>
      </c>
      <c r="E1378" s="8" t="s">
        <v>12</v>
      </c>
      <c r="F1378" s="8" t="s">
        <v>13</v>
      </c>
      <c r="G1378" s="8" t="s">
        <v>61</v>
      </c>
      <c r="H1378" s="16">
        <v>13.0</v>
      </c>
      <c r="I1378" s="15" t="str">
        <f>SUBSTITUTE(Sheet1!K1378, "Rp", "")</f>
        <v>1012700</v>
      </c>
    </row>
    <row r="1379">
      <c r="A1379" s="8" t="s">
        <v>2563</v>
      </c>
      <c r="B1379" s="13" t="str">
        <f>HYPERLINK("https://shopee.co.id/MISSHA-Super-Aqua-Snail-Skin-Treatment-130ml-CLEARANCE-SALE_Expired-Maret-2022-i.37557990.7403607545", "https://shopee.co.id/MISSHA-Super-Aqua-Snail-Skin-Treatment-130ml-CLEARANCE-SALE_Expired-Maret-2022-i.37557990.7403607545")</f>
        <v>https://shopee.co.id/MISSHA-Super-Aqua-Snail-Skin-Treatment-130ml-CLEARANCE-SALE_Expired-Maret-2022-i.37557990.7403607545</v>
      </c>
      <c r="C1379" s="8" t="s">
        <v>695</v>
      </c>
      <c r="D1379" s="8" t="s">
        <v>696</v>
      </c>
      <c r="E1379" s="8" t="s">
        <v>12</v>
      </c>
      <c r="F1379" s="8" t="s">
        <v>13</v>
      </c>
      <c r="G1379" s="8" t="s">
        <v>80</v>
      </c>
      <c r="H1379" s="16">
        <v>13.0</v>
      </c>
      <c r="I1379" s="15" t="str">
        <f>SUBSTITUTE(Sheet1!K1379, "Rp", "")</f>
        <v>1557400</v>
      </c>
    </row>
    <row r="1380">
      <c r="A1380" s="8" t="s">
        <v>2187</v>
      </c>
      <c r="B1380" s="13" t="str">
        <f>HYPERLINK("https://shopee.co.id/Nacific-Fresh-Cica-Plus-Clear-Serum-50ml--i.238379974.8270053689", "https://shopee.co.id/Nacific-Fresh-Cica-Plus-Clear-Serum-50ml--i.238379974.8270053689")</f>
        <v>https://shopee.co.id/Nacific-Fresh-Cica-Plus-Clear-Serum-50ml--i.238379974.8270053689</v>
      </c>
      <c r="C1380" s="8" t="s">
        <v>344</v>
      </c>
      <c r="D1380" s="8" t="s">
        <v>345</v>
      </c>
      <c r="E1380" s="8" t="s">
        <v>12</v>
      </c>
      <c r="F1380" s="8" t="s">
        <v>13</v>
      </c>
      <c r="G1380" s="8" t="s">
        <v>130</v>
      </c>
      <c r="H1380" s="16">
        <v>13.0</v>
      </c>
      <c r="I1380" s="15" t="str">
        <f>SUBSTITUTE(Sheet1!K1380, "Rp", "")</f>
        <v>2587000</v>
      </c>
    </row>
    <row r="1381">
      <c r="A1381" s="8" t="s">
        <v>2199</v>
      </c>
      <c r="B1381" s="13" t="str">
        <f>HYPERLINK("https://shopee.co.id/Nacific-Fresh-Herb-Origin-Serum-i.125116082.2752136974", "https://shopee.co.id/Nacific-Fresh-Herb-Origin-Serum-i.125116082.2752136974")</f>
        <v>https://shopee.co.id/Nacific-Fresh-Herb-Origin-Serum-i.125116082.2752136974</v>
      </c>
      <c r="C1381" s="8" t="s">
        <v>344</v>
      </c>
      <c r="D1381" s="8" t="s">
        <v>713</v>
      </c>
      <c r="E1381" s="8" t="s">
        <v>12</v>
      </c>
      <c r="F1381" s="8" t="s">
        <v>13</v>
      </c>
      <c r="G1381" s="8" t="s">
        <v>61</v>
      </c>
      <c r="H1381" s="16">
        <v>13.0</v>
      </c>
      <c r="I1381" s="15" t="str">
        <f>SUBSTITUTE(Sheet1!K1381, "Rp", "")</f>
        <v>2565000</v>
      </c>
    </row>
    <row r="1382">
      <c r="A1382" s="8" t="s">
        <v>2602</v>
      </c>
      <c r="B1382" s="13" t="str">
        <f>HYPERLINK("https://shopee.co.id/Nameera-Hydrating-Glow-Essence-Water-110-ml-i.125968756.1905000243", "https://shopee.co.id/Nameera-Hydrating-Glow-Essence-Water-110-ml-i.125968756.1905000243")</f>
        <v>https://shopee.co.id/Nameera-Hydrating-Glow-Essence-Water-110-ml-i.125968756.1905000243</v>
      </c>
      <c r="C1382" s="8" t="s">
        <v>2603</v>
      </c>
      <c r="D1382" s="8" t="s">
        <v>2604</v>
      </c>
      <c r="E1382" s="8" t="s">
        <v>12</v>
      </c>
      <c r="F1382" s="8" t="s">
        <v>13</v>
      </c>
      <c r="G1382" s="8" t="s">
        <v>296</v>
      </c>
      <c r="H1382" s="16">
        <v>13.0</v>
      </c>
      <c r="I1382" s="15" t="str">
        <f>SUBSTITUTE(Sheet1!K1382, "Rp", "")</f>
        <v>1448600</v>
      </c>
    </row>
    <row r="1383">
      <c r="A1383" s="8" t="s">
        <v>2820</v>
      </c>
      <c r="B1383" s="13" t="str">
        <f>HYPERLINK("https://shopee.co.id/Nourish-Beauty-Care-Bio-White-Serum-Whitening-Series-15-mL-i.207650136.10146979206", "https://shopee.co.id/Nourish-Beauty-Care-Bio-White-Serum-Whitening-Series-15-mL-i.207650136.10146979206")</f>
        <v>https://shopee.co.id/Nourish-Beauty-Care-Bio-White-Serum-Whitening-Series-15-mL-i.207650136.10146979206</v>
      </c>
      <c r="C1383" s="8" t="s">
        <v>1309</v>
      </c>
      <c r="D1383" s="8" t="s">
        <v>1117</v>
      </c>
      <c r="E1383" s="8" t="s">
        <v>12</v>
      </c>
      <c r="F1383" s="8" t="s">
        <v>13</v>
      </c>
      <c r="G1383" s="8" t="s">
        <v>21</v>
      </c>
      <c r="H1383" s="16">
        <v>13.0</v>
      </c>
      <c r="I1383" s="15" t="str">
        <f>SUBSTITUTE(Sheet1!K1383, "Rp", "")</f>
        <v>1027000</v>
      </c>
    </row>
    <row r="1384">
      <c r="A1384" s="8" t="s">
        <v>2767</v>
      </c>
      <c r="B1384" s="13" t="str">
        <f>HYPERLINK("https://shopee.co.id/Nourish-Beauty-Care-Wrinkle-Remover-Serum-30-mL-Serum-Wajah-i.204185841.5841475229", "https://shopee.co.id/Nourish-Beauty-Care-Wrinkle-Remover-Serum-30-mL-Serum-Wajah-i.204185841.5841475229")</f>
        <v>https://shopee.co.id/Nourish-Beauty-Care-Wrinkle-Remover-Serum-30-mL-Serum-Wajah-i.204185841.5841475229</v>
      </c>
      <c r="C1384" s="8" t="s">
        <v>1309</v>
      </c>
      <c r="D1384" s="8" t="s">
        <v>2568</v>
      </c>
      <c r="E1384" s="8" t="s">
        <v>12</v>
      </c>
      <c r="F1384" s="8" t="s">
        <v>13</v>
      </c>
      <c r="G1384" s="8" t="s">
        <v>36</v>
      </c>
      <c r="H1384" s="16">
        <v>13.0</v>
      </c>
      <c r="I1384" s="15" t="str">
        <f>SUBSTITUTE(Sheet1!K1384, "Rp", "")</f>
        <v>1118000</v>
      </c>
    </row>
    <row r="1385">
      <c r="A1385" s="8" t="s">
        <v>2488</v>
      </c>
      <c r="B1385" s="13" t="str">
        <f>HYPERLINK("https://shopee.co.id/Nusantics-Biome-Essence-Spray-Tea-Tree-i.156645962.2333209183", "https://shopee.co.id/Nusantics-Biome-Essence-Spray-Tea-Tree-i.156645962.2333209183")</f>
        <v>https://shopee.co.id/Nusantics-Biome-Essence-Spray-Tea-Tree-i.156645962.2333209183</v>
      </c>
      <c r="C1385" s="8" t="s">
        <v>2427</v>
      </c>
      <c r="D1385" s="8" t="s">
        <v>2428</v>
      </c>
      <c r="E1385" s="8" t="s">
        <v>12</v>
      </c>
      <c r="F1385" s="8" t="s">
        <v>13</v>
      </c>
      <c r="G1385" s="8" t="s">
        <v>98</v>
      </c>
      <c r="H1385" s="16">
        <v>13.0</v>
      </c>
      <c r="I1385" s="15" t="str">
        <f>SUBSTITUTE(Sheet1!K1385, "Rp", "")</f>
        <v>1740437</v>
      </c>
    </row>
    <row r="1386">
      <c r="A1386" s="8" t="s">
        <v>2805</v>
      </c>
      <c r="B1386" s="13" t="str">
        <f>HYPERLINK("https://shopee.co.id/Ponds-Bright-Beauty-Power-Serum-30-gr-i.65323877.5094470207", "https://shopee.co.id/Ponds-Bright-Beauty-Power-Serum-30-gr-i.65323877.5094470207")</f>
        <v>https://shopee.co.id/Ponds-Bright-Beauty-Power-Serum-30-gr-i.65323877.5094470207</v>
      </c>
      <c r="C1386" s="8" t="s">
        <v>325</v>
      </c>
      <c r="D1386" s="8" t="s">
        <v>1600</v>
      </c>
      <c r="E1386" s="8" t="s">
        <v>12</v>
      </c>
      <c r="F1386" s="8" t="s">
        <v>13</v>
      </c>
      <c r="G1386" s="8" t="s">
        <v>296</v>
      </c>
      <c r="H1386" s="16">
        <v>13.0</v>
      </c>
      <c r="I1386" s="15" t="str">
        <f>SUBSTITUTE(Sheet1!K1386, "Rp", "")</f>
        <v>1052700</v>
      </c>
    </row>
    <row r="1387">
      <c r="A1387" s="8" t="s">
        <v>1992</v>
      </c>
      <c r="B1387" s="13" t="str">
        <f>HYPERLINK("https://shopee.co.id/PURITO-Pure-Vitamin-C-Serum-i.233721470.3319413216", "https://shopee.co.id/PURITO-Pure-Vitamin-C-Serum-i.233721470.3319413216")</f>
        <v>https://shopee.co.id/PURITO-Pure-Vitamin-C-Serum-i.233721470.3319413216</v>
      </c>
      <c r="C1387" s="8" t="s">
        <v>1993</v>
      </c>
      <c r="D1387" s="8" t="s">
        <v>1994</v>
      </c>
      <c r="E1387" s="8" t="s">
        <v>12</v>
      </c>
      <c r="F1387" s="8" t="s">
        <v>13</v>
      </c>
      <c r="G1387" s="8" t="s">
        <v>21</v>
      </c>
      <c r="H1387" s="16">
        <v>13.0</v>
      </c>
      <c r="I1387" s="15" t="str">
        <f>SUBSTITUTE(Sheet1!K1387, "Rp", "")</f>
        <v>3517500</v>
      </c>
    </row>
    <row r="1388">
      <c r="A1388" s="8" t="s">
        <v>2551</v>
      </c>
      <c r="B1388" s="13" t="str">
        <f>HYPERLINK("https://shopee.co.id/Radi-Skin-Niacinamide-Clear-Serum-i.147850476.2272960948", "https://shopee.co.id/Radi-Skin-Niacinamide-Clear-Serum-i.147850476.2272960948")</f>
        <v>https://shopee.co.id/Radi-Skin-Niacinamide-Clear-Serum-i.147850476.2272960948</v>
      </c>
      <c r="C1388" s="8" t="s">
        <v>1879</v>
      </c>
      <c r="D1388" s="8" t="s">
        <v>1880</v>
      </c>
      <c r="E1388" s="8" t="s">
        <v>12</v>
      </c>
      <c r="F1388" s="8" t="s">
        <v>13</v>
      </c>
      <c r="G1388" s="8" t="s">
        <v>61</v>
      </c>
      <c r="H1388" s="16">
        <v>13.0</v>
      </c>
      <c r="I1388" s="15" t="str">
        <f>SUBSTITUTE(Sheet1!K1388, "Rp", "")</f>
        <v>1579200</v>
      </c>
    </row>
    <row r="1389">
      <c r="A1389" s="8" t="s">
        <v>2235</v>
      </c>
      <c r="B1389" s="13" t="str">
        <f>HYPERLINK("https://shopee.co.id/SHAPELYNE-V-Shape-Facial-Lift-Serum-Untuk-Merampingkan-Wajah-i.285944023.8693367288", "https://shopee.co.id/SHAPELYNE-V-Shape-Facial-Lift-Serum-Untuk-Merampingkan-Wajah-i.285944023.8693367288")</f>
        <v>https://shopee.co.id/SHAPELYNE-V-Shape-Facial-Lift-Serum-Untuk-Merampingkan-Wajah-i.285944023.8693367288</v>
      </c>
      <c r="C1389" s="8" t="s">
        <v>2236</v>
      </c>
      <c r="D1389" s="8" t="s">
        <v>2237</v>
      </c>
      <c r="E1389" s="8" t="s">
        <v>12</v>
      </c>
      <c r="F1389" s="8" t="s">
        <v>13</v>
      </c>
      <c r="G1389" s="8" t="s">
        <v>2238</v>
      </c>
      <c r="H1389" s="16">
        <v>13.0</v>
      </c>
      <c r="I1389" s="15" t="str">
        <f>SUBSTITUTE(Sheet1!K1389, "Rp", "")</f>
        <v>2457000</v>
      </c>
    </row>
    <row r="1390">
      <c r="A1390" s="8" t="s">
        <v>2436</v>
      </c>
      <c r="B1390" s="13" t="str">
        <f>HYPERLINK("https://shopee.co.id/SNP-PREP-Cicaronic-SOS-Ampoule-i.88399725.4455211238", "https://shopee.co.id/SNP-PREP-Cicaronic-SOS-Ampoule-i.88399725.4455211238")</f>
        <v>https://shopee.co.id/SNP-PREP-Cicaronic-SOS-Ampoule-i.88399725.4455211238</v>
      </c>
      <c r="C1390" s="8" t="s">
        <v>565</v>
      </c>
      <c r="D1390" s="8" t="s">
        <v>566</v>
      </c>
      <c r="E1390" s="8" t="s">
        <v>12</v>
      </c>
      <c r="F1390" s="8" t="s">
        <v>13</v>
      </c>
      <c r="G1390" s="8" t="s">
        <v>98</v>
      </c>
      <c r="H1390" s="16">
        <v>13.0</v>
      </c>
      <c r="I1390" s="15" t="str">
        <f>SUBSTITUTE(Sheet1!K1390, "Rp", "")</f>
        <v>1860900</v>
      </c>
    </row>
    <row r="1391">
      <c r="A1391" s="8" t="s">
        <v>2683</v>
      </c>
      <c r="B1391" s="13" t="str">
        <f>HYPERLINK("https://shopee.co.id/Soleluna-Brightening-Serum-i.466641910.11518733912", "https://shopee.co.id/Soleluna-Brightening-Serum-i.466641910.11518733912")</f>
        <v>https://shopee.co.id/Soleluna-Brightening-Serum-i.466641910.11518733912</v>
      </c>
      <c r="C1391" s="8" t="s">
        <v>2684</v>
      </c>
      <c r="D1391" s="8" t="s">
        <v>2685</v>
      </c>
      <c r="E1391" s="8" t="s">
        <v>12</v>
      </c>
      <c r="F1391" s="8" t="s">
        <v>13</v>
      </c>
      <c r="G1391" s="8" t="s">
        <v>98</v>
      </c>
      <c r="H1391" s="16">
        <v>13.0</v>
      </c>
      <c r="I1391" s="15" t="str">
        <f>SUBSTITUTE(Sheet1!K1391, "Rp", "")</f>
        <v>1266100</v>
      </c>
    </row>
    <row r="1392">
      <c r="A1392" s="8" t="s">
        <v>2743</v>
      </c>
      <c r="B1392" s="13" t="str">
        <f>HYPERLINK("https://shopee.co.id/Somethinc-5-Niacinamide-Barrier-Serum-20ml-i.825870.8471092024", "https://shopee.co.id/Somethinc-5-Niacinamide-Barrier-Serum-20ml-i.825870.8471092024")</f>
        <v>https://shopee.co.id/Somethinc-5-Niacinamide-Barrier-Serum-20ml-i.825870.8471092024</v>
      </c>
      <c r="C1392" s="8" t="s">
        <v>45</v>
      </c>
      <c r="D1392" s="8" t="s">
        <v>1184</v>
      </c>
      <c r="E1392" s="8" t="s">
        <v>12</v>
      </c>
      <c r="F1392" s="8" t="s">
        <v>13</v>
      </c>
      <c r="G1392" s="8" t="s">
        <v>21</v>
      </c>
      <c r="H1392" s="16">
        <v>13.0</v>
      </c>
      <c r="I1392" s="15" t="str">
        <f>SUBSTITUTE(Sheet1!K1392, "Rp", "")</f>
        <v>1157000</v>
      </c>
    </row>
    <row r="1393">
      <c r="A1393" s="8" t="s">
        <v>2410</v>
      </c>
      <c r="B1393" s="13" t="str">
        <f>HYPERLINK("https://shopee.co.id/THANA-Spotless-Glow-Night-Cream-i.313062064.5754482258", "https://shopee.co.id/THANA-Spotless-Glow-Night-Cream-i.313062064.5754482258")</f>
        <v>https://shopee.co.id/THANA-Spotless-Glow-Night-Cream-i.313062064.5754482258</v>
      </c>
      <c r="C1393" s="8" t="s">
        <v>1312</v>
      </c>
      <c r="D1393" s="8" t="s">
        <v>1313</v>
      </c>
      <c r="E1393" s="8" t="s">
        <v>12</v>
      </c>
      <c r="F1393" s="8" t="s">
        <v>13</v>
      </c>
      <c r="G1393" s="8" t="s">
        <v>1314</v>
      </c>
      <c r="H1393" s="16">
        <v>13.0</v>
      </c>
      <c r="I1393" s="15" t="str">
        <f>SUBSTITUTE(Sheet1!K1393, "Rp", "")</f>
        <v>1924000</v>
      </c>
    </row>
    <row r="1394">
      <c r="A1394" s="8" t="s">
        <v>2244</v>
      </c>
      <c r="B1394" s="13" t="str">
        <f>HYPERLINK("https://shopee.co.id/THE-POTIONS-Azulene-Ampoule-20ml-i.379239733.6178488068", "https://shopee.co.id/THE-POTIONS-Azulene-Ampoule-20ml-i.379239733.6178488068")</f>
        <v>https://shopee.co.id/THE-POTIONS-Azulene-Ampoule-20ml-i.379239733.6178488068</v>
      </c>
      <c r="C1394" s="8" t="s">
        <v>2245</v>
      </c>
      <c r="D1394" s="8" t="s">
        <v>2246</v>
      </c>
      <c r="E1394" s="8" t="s">
        <v>12</v>
      </c>
      <c r="F1394" s="8" t="s">
        <v>13</v>
      </c>
      <c r="G1394" s="8" t="s">
        <v>130</v>
      </c>
      <c r="H1394" s="16">
        <v>13.0</v>
      </c>
      <c r="I1394" s="15" t="str">
        <f>SUBSTITUTE(Sheet1!K1394, "Rp", "")</f>
        <v>2405000</v>
      </c>
    </row>
    <row r="1395">
      <c r="A1395" s="8" t="s">
        <v>1680</v>
      </c>
      <c r="B1395" s="13" t="str">
        <f>HYPERLINK("https://shopee.co.id/Votre-Peau-Skin-Care-Bright-Clear-Package-i.46300234.3173903868", "https://shopee.co.id/Votre-Peau-Skin-Care-Bright-Clear-Package-i.46300234.3173903868")</f>
        <v>https://shopee.co.id/Votre-Peau-Skin-Care-Bright-Clear-Package-i.46300234.3173903868</v>
      </c>
      <c r="C1395" s="8" t="s">
        <v>999</v>
      </c>
      <c r="D1395" s="8" t="s">
        <v>472</v>
      </c>
      <c r="E1395" s="8" t="s">
        <v>12</v>
      </c>
      <c r="F1395" s="8" t="s">
        <v>13</v>
      </c>
      <c r="G1395" s="8" t="s">
        <v>98</v>
      </c>
      <c r="H1395" s="16">
        <v>13.0</v>
      </c>
      <c r="I1395" s="15" t="str">
        <f>SUBSTITUTE(Sheet1!K1395, "Rp", "")</f>
        <v>5633440</v>
      </c>
    </row>
    <row r="1396">
      <c r="A1396" s="8" t="s">
        <v>3015</v>
      </c>
      <c r="B1396" s="13" t="str">
        <f>HYPERLINK("https://shopee.co.id/-BPOM-LANBENA-Serum-Treatment-C-2pcs--i.397732085.8378885712", "https://shopee.co.id/-BPOM-LANBENA-Serum-Treatment-C-2pcs--i.397732085.8378885712")</f>
        <v>https://shopee.co.id/-BPOM-LANBENA-Serum-Treatment-C-2pcs--i.397732085.8378885712</v>
      </c>
      <c r="C1396" s="8" t="s">
        <v>1427</v>
      </c>
      <c r="D1396" s="8" t="s">
        <v>1428</v>
      </c>
      <c r="E1396" s="8" t="s">
        <v>12</v>
      </c>
      <c r="F1396" s="8" t="s">
        <v>13</v>
      </c>
      <c r="G1396" s="8" t="s">
        <v>532</v>
      </c>
      <c r="H1396" s="16">
        <v>12.0</v>
      </c>
      <c r="I1396" s="15" t="str">
        <f>SUBSTITUTE(Sheet1!K1396, "Rp", "")</f>
        <v>725500</v>
      </c>
    </row>
    <row r="1397">
      <c r="A1397" s="8" t="s">
        <v>2996</v>
      </c>
      <c r="B1397" s="13" t="str">
        <f>HYPERLINK("https://shopee.co.id/Scarlett-Whitening-Brightly-to-Glow-Mini-Series-i.50948181.11724381461", "https://shopee.co.id/Scarlett-Whitening-Brightly-to-Glow-Mini-Series-i.50948181.11724381461")</f>
        <v>https://shopee.co.id/Scarlett-Whitening-Brightly-to-Glow-Mini-Series-i.50948181.11724381461</v>
      </c>
      <c r="C1397" s="8" t="s">
        <v>19</v>
      </c>
      <c r="D1397" s="8" t="s">
        <v>1129</v>
      </c>
      <c r="E1397" s="8" t="s">
        <v>12</v>
      </c>
      <c r="F1397" s="8" t="s">
        <v>13</v>
      </c>
      <c r="G1397" s="8" t="s">
        <v>1130</v>
      </c>
      <c r="H1397" s="16">
        <v>12.0</v>
      </c>
      <c r="I1397" s="15" t="str">
        <f>SUBSTITUTE(Sheet1!K1397, "Rp", "")</f>
        <v>752493</v>
      </c>
    </row>
    <row r="1398">
      <c r="A1398" s="8" t="s">
        <v>2468</v>
      </c>
      <c r="B1398" s="13" t="str">
        <f>HYPERLINK("https://shopee.co.id/Somethinc-Salmon-DNA-Marine-Collagen-Elixir-20ml-i.50948181.10302974433", "https://shopee.co.id/Somethinc-Salmon-DNA-Marine-Collagen-Elixir-20ml-i.50948181.10302974433")</f>
        <v>https://shopee.co.id/Somethinc-Salmon-DNA-Marine-Collagen-Elixir-20ml-i.50948181.10302974433</v>
      </c>
      <c r="C1398" s="8" t="s">
        <v>45</v>
      </c>
      <c r="D1398" s="8" t="s">
        <v>1129</v>
      </c>
      <c r="E1398" s="8" t="s">
        <v>12</v>
      </c>
      <c r="F1398" s="8" t="s">
        <v>13</v>
      </c>
      <c r="G1398" s="8" t="s">
        <v>1130</v>
      </c>
      <c r="H1398" s="16">
        <v>12.0</v>
      </c>
      <c r="I1398" s="15" t="str">
        <f>SUBSTITUTE(Sheet1!K1398, "Rp", "")</f>
        <v>1782500</v>
      </c>
    </row>
    <row r="1399">
      <c r="A1399" s="8" t="s">
        <v>2545</v>
      </c>
      <c r="B1399" s="13" t="str">
        <f>HYPERLINK("https://shopee.co.id/AIZEN-Bakuchiol-10-Ultra-Ampoule-i.68111.5284599306", "https://shopee.co.id/AIZEN-Bakuchiol-10-Ultra-Ampoule-i.68111.5284599306")</f>
        <v>https://shopee.co.id/AIZEN-Bakuchiol-10-Ultra-Ampoule-i.68111.5284599306</v>
      </c>
      <c r="C1399" s="8" t="s">
        <v>1325</v>
      </c>
      <c r="D1399" s="8" t="s">
        <v>441</v>
      </c>
      <c r="E1399" s="8" t="s">
        <v>12</v>
      </c>
      <c r="F1399" s="8" t="s">
        <v>13</v>
      </c>
      <c r="G1399" s="8" t="s">
        <v>130</v>
      </c>
      <c r="H1399" s="16">
        <v>12.0</v>
      </c>
      <c r="I1399" s="15" t="str">
        <f>SUBSTITUTE(Sheet1!K1399, "Rp", "")</f>
        <v>1591550</v>
      </c>
    </row>
    <row r="1400">
      <c r="A1400" s="8" t="s">
        <v>2547</v>
      </c>
      <c r="B1400" s="13" t="str">
        <f>HYPERLINK("https://shopee.co.id/AIZEN-SymWhite-377-3-Ultra-Ampoule-i.68111.5584597893", "https://shopee.co.id/AIZEN-SymWhite-377-3-Ultra-Ampoule-i.68111.5584597893")</f>
        <v>https://shopee.co.id/AIZEN-SymWhite-377-3-Ultra-Ampoule-i.68111.5584597893</v>
      </c>
      <c r="C1400" s="8" t="s">
        <v>1325</v>
      </c>
      <c r="D1400" s="8" t="s">
        <v>441</v>
      </c>
      <c r="E1400" s="8" t="s">
        <v>12</v>
      </c>
      <c r="F1400" s="8" t="s">
        <v>13</v>
      </c>
      <c r="G1400" s="8" t="s">
        <v>130</v>
      </c>
      <c r="H1400" s="16">
        <v>12.0</v>
      </c>
      <c r="I1400" s="15" t="str">
        <f>SUBSTITUTE(Sheet1!K1400, "Rp", "")</f>
        <v>1584600</v>
      </c>
    </row>
    <row r="1401">
      <c r="A1401" s="8" t="s">
        <v>2837</v>
      </c>
      <c r="B1401" s="13" t="str">
        <f>HYPERLINK("https://shopee.co.id/Avione-White-Expert-Serum-20ml-FREE-Facial-Foam-i.23426842.1095678673", "https://shopee.co.id/Avione-White-Expert-Serum-20ml-FREE-Facial-Foam-i.23426842.1095678673")</f>
        <v>https://shopee.co.id/Avione-White-Expert-Serum-20ml-FREE-Facial-Foam-i.23426842.1095678673</v>
      </c>
      <c r="C1401" s="8" t="s">
        <v>2838</v>
      </c>
      <c r="D1401" s="8" t="s">
        <v>2839</v>
      </c>
      <c r="E1401" s="8" t="s">
        <v>12</v>
      </c>
      <c r="F1401" s="8" t="s">
        <v>13</v>
      </c>
      <c r="G1401" s="8" t="s">
        <v>115</v>
      </c>
      <c r="H1401" s="16">
        <v>12.0</v>
      </c>
      <c r="I1401" s="15" t="str">
        <f>SUBSTITUTE(Sheet1!K1401, "Rp", "")</f>
        <v>994500</v>
      </c>
    </row>
    <row r="1402">
      <c r="A1402" s="8" t="s">
        <v>2577</v>
      </c>
      <c r="B1402" s="13" t="str">
        <f>HYPERLINK("https://shopee.co.id/AVOSKIN-Travel-Size-Perfect-Hydrating-Treatment-Essence-30ml-i.68111.2262614348", "https://shopee.co.id/AVOSKIN-Travel-Size-Perfect-Hydrating-Treatment-Essence-30ml-i.68111.2262614348")</f>
        <v>https://shopee.co.id/AVOSKIN-Travel-Size-Perfect-Hydrating-Treatment-Essence-30ml-i.68111.2262614348</v>
      </c>
      <c r="C1402" s="8" t="s">
        <v>83</v>
      </c>
      <c r="D1402" s="8" t="s">
        <v>441</v>
      </c>
      <c r="E1402" s="8" t="s">
        <v>12</v>
      </c>
      <c r="F1402" s="8" t="s">
        <v>13</v>
      </c>
      <c r="G1402" s="8" t="s">
        <v>130</v>
      </c>
      <c r="H1402" s="16">
        <v>12.0</v>
      </c>
      <c r="I1402" s="15" t="str">
        <f>SUBSTITUTE(Sheet1!K1402, "Rp", "")</f>
        <v>1526220</v>
      </c>
    </row>
    <row r="1403">
      <c r="A1403" s="8" t="s">
        <v>3510</v>
      </c>
      <c r="B1403" s="13" t="str">
        <f>HYPERLINK("https://shopee.co.id/Azarine-Easy-White-Herbal-Moisturizer-Serum-20ml-i.825870.4055450265", "https://shopee.co.id/Azarine-Easy-White-Herbal-Moisturizer-Serum-20ml-i.825870.4055450265")</f>
        <v>https://shopee.co.id/Azarine-Easy-White-Herbal-Moisturizer-Serum-20ml-i.825870.4055450265</v>
      </c>
      <c r="C1403" s="8" t="s">
        <v>233</v>
      </c>
      <c r="D1403" s="8" t="s">
        <v>1184</v>
      </c>
      <c r="E1403" s="8" t="s">
        <v>12</v>
      </c>
      <c r="F1403" s="8" t="s">
        <v>13</v>
      </c>
      <c r="G1403" s="8" t="s">
        <v>21</v>
      </c>
      <c r="H1403" s="16">
        <v>12.0</v>
      </c>
      <c r="I1403" s="15" t="str">
        <f>SUBSTITUTE(Sheet1!K1403, "Rp", "")</f>
        <v>282000</v>
      </c>
    </row>
    <row r="1404">
      <c r="A1404" s="8" t="s">
        <v>2605</v>
      </c>
      <c r="B1404" s="13" t="str">
        <f>HYPERLINK("https://shopee.co.id/Calysta-Serum-Vitamin-C-i.3188555.8145885", "https://shopee.co.id/Calysta-Serum-Vitamin-C-i.3188555.8145885")</f>
        <v>https://shopee.co.id/Calysta-Serum-Vitamin-C-i.3188555.8145885</v>
      </c>
      <c r="C1404" s="8" t="s">
        <v>1954</v>
      </c>
      <c r="D1404" s="8" t="s">
        <v>1692</v>
      </c>
      <c r="E1404" s="8" t="s">
        <v>12</v>
      </c>
      <c r="F1404" s="8" t="s">
        <v>13</v>
      </c>
      <c r="G1404" s="8" t="s">
        <v>241</v>
      </c>
      <c r="H1404" s="16">
        <v>12.0</v>
      </c>
      <c r="I1404" s="15" t="str">
        <f>SUBSTITUTE(Sheet1!K1404, "Rp", "")</f>
        <v>1440500</v>
      </c>
    </row>
    <row r="1405">
      <c r="A1405" s="8" t="s">
        <v>2007</v>
      </c>
      <c r="B1405" s="13" t="str">
        <f>HYPERLINK("https://shopee.co.id/COSRX-Hydrium-Triple-Hyaluronic-Moisture-Ampoule-40-ml-Ampul-untuk-kulit-kering-Skincare-i.224957239.6931552454", "https://shopee.co.id/COSRX-Hydrium-Triple-Hyaluronic-Moisture-Ampoule-40-ml-Ampul-untuk-kulit-kering-Skincare-i.224957239.6931552454")</f>
        <v>https://shopee.co.id/COSRX-Hydrium-Triple-Hyaluronic-Moisture-Ampoule-40-ml-Ampul-untuk-kulit-kering-Skincare-i.224957239.6931552454</v>
      </c>
      <c r="C1405" s="8" t="s">
        <v>305</v>
      </c>
      <c r="D1405" s="8" t="s">
        <v>492</v>
      </c>
      <c r="E1405" s="8" t="s">
        <v>12</v>
      </c>
      <c r="F1405" s="8" t="s">
        <v>13</v>
      </c>
      <c r="G1405" s="8" t="s">
        <v>21</v>
      </c>
      <c r="H1405" s="16">
        <v>12.0</v>
      </c>
      <c r="I1405" s="15" t="str">
        <f>SUBSTITUTE(Sheet1!K1405, "Rp", "")</f>
        <v>3465000</v>
      </c>
    </row>
    <row r="1406">
      <c r="A1406" s="8" t="s">
        <v>2571</v>
      </c>
      <c r="B1406" s="13" t="str">
        <f>HYPERLINK("https://shopee.co.id/Dear-Me-Beauty-10-Vitamin-C-Orange-Extract-Face-Serum-12ml-i.10689.8573936008", "https://shopee.co.id/Dear-Me-Beauty-10-Vitamin-C-Orange-Extract-Face-Serum-12ml-i.10689.8573936008")</f>
        <v>https://shopee.co.id/Dear-Me-Beauty-10-Vitamin-C-Orange-Extract-Face-Serum-12ml-i.10689.8573936008</v>
      </c>
      <c r="C1406" s="8" t="s">
        <v>70</v>
      </c>
      <c r="D1406" s="8" t="s">
        <v>745</v>
      </c>
      <c r="E1406" s="8" t="s">
        <v>12</v>
      </c>
      <c r="F1406" s="8" t="s">
        <v>13</v>
      </c>
      <c r="G1406" s="8" t="s">
        <v>61</v>
      </c>
      <c r="H1406" s="16">
        <v>12.0</v>
      </c>
      <c r="I1406" s="15" t="str">
        <f>SUBSTITUTE(Sheet1!K1406, "Rp", "")</f>
        <v>1548000</v>
      </c>
    </row>
    <row r="1407">
      <c r="A1407" s="8" t="s">
        <v>3594</v>
      </c>
      <c r="B1407" s="13" t="str">
        <f>HYPERLINK("https://shopee.co.id/DeBiuryn-Removind-Lotion-10ml-Anti-Jerawat-i.231437504.6140482011", "https://shopee.co.id/DeBiuryn-Removind-Lotion-10ml-Anti-Jerawat-i.231437504.6140482011")</f>
        <v>https://shopee.co.id/DeBiuryn-Removind-Lotion-10ml-Anti-Jerawat-i.231437504.6140482011</v>
      </c>
      <c r="C1407" s="8" t="s">
        <v>3484</v>
      </c>
      <c r="D1407" s="8" t="s">
        <v>3485</v>
      </c>
      <c r="E1407" s="8" t="s">
        <v>12</v>
      </c>
      <c r="F1407" s="8" t="s">
        <v>13</v>
      </c>
      <c r="G1407" s="8" t="s">
        <v>1480</v>
      </c>
      <c r="H1407" s="16">
        <v>12.0</v>
      </c>
      <c r="I1407" s="15" t="str">
        <f>SUBSTITUTE(Sheet1!K1407, "Rp", "")</f>
        <v>228000</v>
      </c>
    </row>
    <row r="1408">
      <c r="A1408" s="8" t="s">
        <v>2278</v>
      </c>
      <c r="B1408" s="13" t="str">
        <f>HYPERLINK("https://shopee.co.id/Dermacept-RX-VC-10-Serum-10ml-i.10689.1098356886", "https://shopee.co.id/Dermacept-RX-VC-10-Serum-10ml-i.10689.1098356886")</f>
        <v>https://shopee.co.id/Dermacept-RX-VC-10-Serum-10ml-i.10689.1098356886</v>
      </c>
      <c r="C1408" s="8" t="s">
        <v>2279</v>
      </c>
      <c r="D1408" s="8" t="s">
        <v>745</v>
      </c>
      <c r="E1408" s="8" t="s">
        <v>12</v>
      </c>
      <c r="F1408" s="8" t="s">
        <v>13</v>
      </c>
      <c r="G1408" s="8" t="s">
        <v>61</v>
      </c>
      <c r="H1408" s="16">
        <v>12.0</v>
      </c>
      <c r="I1408" s="15" t="str">
        <f>SUBSTITUTE(Sheet1!K1408, "Rp", "")</f>
        <v>2340000</v>
      </c>
    </row>
    <row r="1409">
      <c r="A1409" s="8" t="s">
        <v>1829</v>
      </c>
      <c r="B1409" s="13" t="str">
        <f>HYPERLINK("https://shopee.co.id/ElsheSkin-Active-Rejuvenating-Serum-X-ElsheSkin-Smoothing-Serum-For-Acne-Skin-i.9035345.7649123051", "https://shopee.co.id/ElsheSkin-Active-Rejuvenating-Serum-X-ElsheSkin-Smoothing-Serum-For-Acne-Skin-i.9035345.7649123051")</f>
        <v>https://shopee.co.id/ElsheSkin-Active-Rejuvenating-Serum-X-ElsheSkin-Smoothing-Serum-For-Acne-Skin-i.9035345.7649123051</v>
      </c>
      <c r="C1409" s="8" t="s">
        <v>135</v>
      </c>
      <c r="D1409" s="8" t="s">
        <v>136</v>
      </c>
      <c r="E1409" s="8" t="s">
        <v>12</v>
      </c>
      <c r="F1409" s="8" t="s">
        <v>13</v>
      </c>
      <c r="G1409" s="8" t="s">
        <v>80</v>
      </c>
      <c r="H1409" s="16">
        <v>12.0</v>
      </c>
      <c r="I1409" s="15" t="str">
        <f>SUBSTITUTE(Sheet1!K1409, "Rp", "")</f>
        <v>4525950</v>
      </c>
    </row>
    <row r="1410">
      <c r="A1410" s="8" t="s">
        <v>3531</v>
      </c>
      <c r="B1410" s="13" t="str">
        <f>HYPERLINK("https://shopee.co.id/Garnier-Bright-Complete-White-Speed-Day-Serum-Cream-20-mL-i.65323877.9379238580", "https://shopee.co.id/Garnier-Bright-Complete-White-Speed-Day-Serum-Cream-20-mL-i.65323877.9379238580")</f>
        <v>https://shopee.co.id/Garnier-Bright-Complete-White-Speed-Day-Serum-Cream-20-mL-i.65323877.9379238580</v>
      </c>
      <c r="C1410" s="8" t="s">
        <v>74</v>
      </c>
      <c r="D1410" s="8" t="s">
        <v>1600</v>
      </c>
      <c r="E1410" s="8" t="s">
        <v>12</v>
      </c>
      <c r="F1410" s="8" t="s">
        <v>13</v>
      </c>
      <c r="G1410" s="8" t="s">
        <v>296</v>
      </c>
      <c r="H1410" s="16">
        <v>12.0</v>
      </c>
      <c r="I1410" s="15" t="str">
        <f>SUBSTITUTE(Sheet1!K1410, "Rp", "")</f>
        <v>269300</v>
      </c>
    </row>
    <row r="1411">
      <c r="A1411" s="8" t="s">
        <v>3120</v>
      </c>
      <c r="B1411" s="13" t="str">
        <f>HYPERLINK("https://shopee.co.id/Garnier-Light-Complete-White-Speed-Serum-Cream-Extra-SPF19-PA-50-ml-i.30736001.664800082", "https://shopee.co.id/Garnier-Light-Complete-White-Speed-Serum-Cream-Extra-SPF19-PA-50-ml-i.30736001.664800082")</f>
        <v>https://shopee.co.id/Garnier-Light-Complete-White-Speed-Serum-Cream-Extra-SPF19-PA-50-ml-i.30736001.664800082</v>
      </c>
      <c r="C1411" s="8" t="s">
        <v>74</v>
      </c>
      <c r="D1411" s="8" t="s">
        <v>335</v>
      </c>
      <c r="E1411" s="8" t="s">
        <v>12</v>
      </c>
      <c r="F1411" s="8" t="s">
        <v>13</v>
      </c>
      <c r="G1411" s="8" t="s">
        <v>36</v>
      </c>
      <c r="H1411" s="16">
        <v>12.0</v>
      </c>
      <c r="I1411" s="15" t="str">
        <f>SUBSTITUTE(Sheet1!K1411, "Rp", "")</f>
        <v>598800</v>
      </c>
    </row>
    <row r="1412">
      <c r="A1412" s="8" t="s">
        <v>2269</v>
      </c>
      <c r="B1412" s="13" t="str">
        <f>HYPERLINK("https://shopee.co.id/Hiqween-Bundling-Face-Essence-dan-Face-Serum-i.481417149.8077580458", "https://shopee.co.id/Hiqween-Bundling-Face-Essence-dan-Face-Serum-i.481417149.8077580458")</f>
        <v>https://shopee.co.id/Hiqween-Bundling-Face-Essence-dan-Face-Serum-i.481417149.8077580458</v>
      </c>
      <c r="C1412" s="8" t="s">
        <v>2270</v>
      </c>
      <c r="D1412" s="8" t="s">
        <v>2271</v>
      </c>
      <c r="E1412" s="8" t="s">
        <v>12</v>
      </c>
      <c r="F1412" s="8" t="s">
        <v>13</v>
      </c>
      <c r="G1412" s="8" t="s">
        <v>350</v>
      </c>
      <c r="H1412" s="16">
        <v>12.0</v>
      </c>
      <c r="I1412" s="15" t="str">
        <f>SUBSTITUTE(Sheet1!K1412, "Rp", "")</f>
        <v>2376000</v>
      </c>
    </row>
    <row r="1413">
      <c r="A1413" s="8" t="s">
        <v>2046</v>
      </c>
      <c r="B1413" s="13" t="str">
        <f>HYPERLINK("https://shopee.co.id/HUXLEY-Oil-Essence-Essence-Like-Oil-Like-30ml-i.199277424.7906629882", "https://shopee.co.id/HUXLEY-Oil-Essence-Essence-Like-Oil-Like-30ml-i.199277424.7906629882")</f>
        <v>https://shopee.co.id/HUXLEY-Oil-Essence-Essence-Like-Oil-Like-30ml-i.199277424.7906629882</v>
      </c>
      <c r="C1413" s="8" t="s">
        <v>1635</v>
      </c>
      <c r="D1413" s="8" t="s">
        <v>1884</v>
      </c>
      <c r="E1413" s="8" t="s">
        <v>12</v>
      </c>
      <c r="F1413" s="8" t="s">
        <v>13</v>
      </c>
      <c r="G1413" s="8" t="s">
        <v>80</v>
      </c>
      <c r="H1413" s="16">
        <v>12.0</v>
      </c>
      <c r="I1413" s="15" t="str">
        <f>SUBSTITUTE(Sheet1!K1413, "Rp", "")</f>
        <v>3307500</v>
      </c>
    </row>
    <row r="1414">
      <c r="A1414" s="8" t="s">
        <v>2306</v>
      </c>
      <c r="B1414" s="13" t="str">
        <f>HYPERLINK("https://shopee.co.id/Ikigai-Basic-Bundling-Set-i.39919260.5056201376", "https://shopee.co.id/Ikigai-Basic-Bundling-Set-i.39919260.5056201376")</f>
        <v>https://shopee.co.id/Ikigai-Basic-Bundling-Set-i.39919260.5056201376</v>
      </c>
      <c r="C1414" s="8" t="s">
        <v>1848</v>
      </c>
      <c r="D1414" s="8" t="s">
        <v>1849</v>
      </c>
      <c r="E1414" s="8" t="s">
        <v>12</v>
      </c>
      <c r="F1414" s="8" t="s">
        <v>13</v>
      </c>
      <c r="G1414" s="8" t="s">
        <v>21</v>
      </c>
      <c r="H1414" s="16">
        <v>12.0</v>
      </c>
      <c r="I1414" s="15" t="str">
        <f>SUBSTITUTE(Sheet1!K1414, "Rp", "")</f>
        <v>2256000</v>
      </c>
    </row>
    <row r="1415">
      <c r="A1415" s="8" t="s">
        <v>2623</v>
      </c>
      <c r="B1415" s="13" t="str">
        <f>HYPERLINK("https://shopee.co.id/Illuminare-Pore-Serum-30ml-anti-jerawat-Acne-perawatan-wajah-Skincare-Kulit-Berminyak-i.121791179.2172931596", "https://shopee.co.id/Illuminare-Pore-Serum-30ml-anti-jerawat-Acne-perawatan-wajah-Skincare-Kulit-Berminyak-i.121791179.2172931596")</f>
        <v>https://shopee.co.id/Illuminare-Pore-Serum-30ml-anti-jerawat-Acne-perawatan-wajah-Skincare-Kulit-Berminyak-i.121791179.2172931596</v>
      </c>
      <c r="C1415" s="8" t="s">
        <v>1750</v>
      </c>
      <c r="D1415" s="8" t="s">
        <v>1733</v>
      </c>
      <c r="E1415" s="8" t="s">
        <v>12</v>
      </c>
      <c r="F1415" s="8" t="s">
        <v>13</v>
      </c>
      <c r="G1415" s="8" t="s">
        <v>36</v>
      </c>
      <c r="H1415" s="16">
        <v>12.0</v>
      </c>
      <c r="I1415" s="15" t="str">
        <f>SUBSTITUTE(Sheet1!K1415, "Rp", "")</f>
        <v>1392000</v>
      </c>
    </row>
    <row r="1416">
      <c r="A1416" s="8" t="s">
        <v>2532</v>
      </c>
      <c r="B1416" s="13" t="str">
        <f>HYPERLINK("https://shopee.co.id/INGENIA-Intense-Radiance-Gold-Serum-Eventone-Series--i.175299555.2912596624", "https://shopee.co.id/INGENIA-Intense-Radiance-Gold-Serum-Eventone-Series--i.175299555.2912596624")</f>
        <v>https://shopee.co.id/INGENIA-Intense-Radiance-Gold-Serum-Eventone-Series--i.175299555.2912596624</v>
      </c>
      <c r="C1416" s="8" t="s">
        <v>2533</v>
      </c>
      <c r="D1416" s="8" t="s">
        <v>2534</v>
      </c>
      <c r="E1416" s="8" t="s">
        <v>12</v>
      </c>
      <c r="F1416" s="8" t="s">
        <v>13</v>
      </c>
      <c r="G1416" s="8" t="s">
        <v>1314</v>
      </c>
      <c r="H1416" s="16">
        <v>12.0</v>
      </c>
      <c r="I1416" s="15" t="str">
        <f>SUBSTITUTE(Sheet1!K1416, "Rp", "")</f>
        <v>1620000</v>
      </c>
    </row>
    <row r="1417">
      <c r="A1417" s="8" t="s">
        <v>1657</v>
      </c>
      <c r="B1417" s="13" t="str">
        <f>HYPERLINK("https://shopee.co.id/Iunik-Propolis-Vitamin-Synergy-Serum-50ml-i.825870.2395328956", "https://shopee.co.id/Iunik-Propolis-Vitamin-Synergy-Serum-50ml-i.825870.2395328956")</f>
        <v>https://shopee.co.id/Iunik-Propolis-Vitamin-Synergy-Serum-50ml-i.825870.2395328956</v>
      </c>
      <c r="C1417" s="8" t="s">
        <v>1658</v>
      </c>
      <c r="D1417" s="8" t="s">
        <v>1184</v>
      </c>
      <c r="E1417" s="8" t="s">
        <v>12</v>
      </c>
      <c r="F1417" s="8" t="s">
        <v>13</v>
      </c>
      <c r="G1417" s="8" t="s">
        <v>21</v>
      </c>
      <c r="H1417" s="16">
        <v>12.0</v>
      </c>
      <c r="I1417" s="15" t="str">
        <f>SUBSTITUTE(Sheet1!K1417, "Rp", "")</f>
        <v>2695000</v>
      </c>
    </row>
    <row r="1418">
      <c r="A1418" s="8" t="s">
        <v>2134</v>
      </c>
      <c r="B1418" s="13" t="str">
        <f>HYPERLINK("https://shopee.co.id/Jarkeen-Double-Brightening-Treatment-i.147936010.4566947544", "https://shopee.co.id/Jarkeen-Double-Brightening-Treatment-i.147936010.4566947544")</f>
        <v>https://shopee.co.id/Jarkeen-Double-Brightening-Treatment-i.147936010.4566947544</v>
      </c>
      <c r="C1418" s="8" t="s">
        <v>738</v>
      </c>
      <c r="D1418" s="8" t="s">
        <v>739</v>
      </c>
      <c r="E1418" s="8" t="s">
        <v>12</v>
      </c>
      <c r="F1418" s="8" t="s">
        <v>13</v>
      </c>
      <c r="G1418" s="8" t="s">
        <v>241</v>
      </c>
      <c r="H1418" s="16">
        <v>12.0</v>
      </c>
      <c r="I1418" s="15" t="str">
        <f>SUBSTITUTE(Sheet1!K1418, "Rp", "")</f>
        <v>2793600</v>
      </c>
    </row>
    <row r="1419">
      <c r="A1419" s="8" t="s">
        <v>2686</v>
      </c>
      <c r="B1419" s="13" t="str">
        <f>HYPERLINK("https://shopee.co.id/Jelly-Booster-Marwah-Skin-Treatment-i.357101711.6093072155", "https://shopee.co.id/Jelly-Booster-Marwah-Skin-Treatment-i.357101711.6093072155")</f>
        <v>https://shopee.co.id/Jelly-Booster-Marwah-Skin-Treatment-i.357101711.6093072155</v>
      </c>
      <c r="C1419" s="8" t="s">
        <v>2249</v>
      </c>
      <c r="D1419" s="8" t="s">
        <v>2250</v>
      </c>
      <c r="E1419" s="8" t="s">
        <v>12</v>
      </c>
      <c r="F1419" s="8" t="s">
        <v>13</v>
      </c>
      <c r="G1419" s="8" t="s">
        <v>370</v>
      </c>
      <c r="H1419" s="16">
        <v>12.0</v>
      </c>
      <c r="I1419" s="15" t="str">
        <f>SUBSTITUTE(Sheet1!K1419, "Rp", "")</f>
        <v>1260000</v>
      </c>
    </row>
    <row r="1420">
      <c r="A1420" s="8" t="s">
        <v>3415</v>
      </c>
      <c r="B1420" s="13" t="str">
        <f>HYPERLINK("https://shopee.co.id/L-OREAL-Revitalift-Crystal-Micro-Essence-Serum-Mask-i.30736001.6986479724", "https://shopee.co.id/L-OREAL-Revitalift-Crystal-Micro-Essence-Serum-Mask-i.30736001.6986479724")</f>
        <v>https://shopee.co.id/L-OREAL-Revitalift-Crystal-Micro-Essence-Serum-Mask-i.30736001.6986479724</v>
      </c>
      <c r="C1420" s="8" t="s">
        <v>105</v>
      </c>
      <c r="D1420" s="8" t="s">
        <v>335</v>
      </c>
      <c r="E1420" s="8" t="s">
        <v>12</v>
      </c>
      <c r="F1420" s="8" t="s">
        <v>13</v>
      </c>
      <c r="G1420" s="8" t="s">
        <v>36</v>
      </c>
      <c r="H1420" s="16">
        <v>12.0</v>
      </c>
      <c r="I1420" s="15" t="str">
        <f>SUBSTITUTE(Sheet1!K1420, "Rp", "")</f>
        <v>353800</v>
      </c>
    </row>
    <row r="1421">
      <c r="A1421" s="8" t="s">
        <v>2662</v>
      </c>
      <c r="B1421" s="13" t="str">
        <f>HYPERLINK("https://shopee.co.id/LOVILA-Glow-Activation-Booster-Serum-i.270965687.9222958432", "https://shopee.co.id/LOVILA-Glow-Activation-Booster-Serum-i.270965687.9222958432")</f>
        <v>https://shopee.co.id/LOVILA-Glow-Activation-Booster-Serum-i.270965687.9222958432</v>
      </c>
      <c r="C1421" s="8" t="s">
        <v>619</v>
      </c>
      <c r="D1421" s="8" t="s">
        <v>379</v>
      </c>
      <c r="E1421" s="8" t="s">
        <v>12</v>
      </c>
      <c r="F1421" s="8" t="s">
        <v>13</v>
      </c>
      <c r="G1421" s="8" t="s">
        <v>380</v>
      </c>
      <c r="H1421" s="16">
        <v>12.0</v>
      </c>
      <c r="I1421" s="15" t="str">
        <f>SUBSTITUTE(Sheet1!K1421, "Rp", "")</f>
        <v>1296000</v>
      </c>
    </row>
    <row r="1422">
      <c r="A1422" s="8" t="s">
        <v>2045</v>
      </c>
      <c r="B1422" s="13" t="str">
        <f>HYPERLINK("https://shopee.co.id/MSBB-Bio-Beauty-Lab-Phyto-Power-Essence-i.288588702.8341179080", "https://shopee.co.id/MSBB-Bio-Beauty-Lab-Phyto-Power-Essence-i.288588702.8341179080")</f>
        <v>https://shopee.co.id/MSBB-Bio-Beauty-Lab-Phyto-Power-Essence-i.288588702.8341179080</v>
      </c>
      <c r="C1422" s="8" t="s">
        <v>78</v>
      </c>
      <c r="D1422" s="8" t="s">
        <v>79</v>
      </c>
      <c r="E1422" s="8" t="s">
        <v>12</v>
      </c>
      <c r="F1422" s="8" t="s">
        <v>13</v>
      </c>
      <c r="G1422" s="8" t="s">
        <v>80</v>
      </c>
      <c r="H1422" s="16">
        <v>12.0</v>
      </c>
      <c r="I1422" s="15" t="str">
        <f>SUBSTITUTE(Sheet1!K1422, "Rp", "")</f>
        <v>3312400</v>
      </c>
    </row>
    <row r="1423">
      <c r="A1423" s="8" t="s">
        <v>2890</v>
      </c>
      <c r="B1423" s="13" t="str">
        <f>HYPERLINK("https://shopee.co.id/MSBB-Dear-Me-Beauty-Hyaluronic-Acid-Pomegranate-Extract-Face-Serum-12ml-i.288588702.10006398335", "https://shopee.co.id/MSBB-Dear-Me-Beauty-Hyaluronic-Acid-Pomegranate-Extract-Face-Serum-12ml-i.288588702.10006398335")</f>
        <v>https://shopee.co.id/MSBB-Dear-Me-Beauty-Hyaluronic-Acid-Pomegranate-Extract-Face-Serum-12ml-i.288588702.10006398335</v>
      </c>
      <c r="C1423" s="8" t="s">
        <v>78</v>
      </c>
      <c r="D1423" s="8" t="s">
        <v>79</v>
      </c>
      <c r="E1423" s="8" t="s">
        <v>12</v>
      </c>
      <c r="F1423" s="8" t="s">
        <v>13</v>
      </c>
      <c r="G1423" s="8" t="s">
        <v>80</v>
      </c>
      <c r="H1423" s="16">
        <v>12.0</v>
      </c>
      <c r="I1423" s="15" t="str">
        <f>SUBSTITUTE(Sheet1!K1423, "Rp", "")</f>
        <v>908500</v>
      </c>
    </row>
    <row r="1424">
      <c r="A1424" s="8" t="s">
        <v>2572</v>
      </c>
      <c r="B1424" s="13" t="str">
        <f>HYPERLINK("https://shopee.co.id/MSBB-Somethinc-Holygrail-Multipeptide-Youth-Elixir-20ml-i.288588702.8453356554", "https://shopee.co.id/MSBB-Somethinc-Holygrail-Multipeptide-Youth-Elixir-20ml-i.288588702.8453356554")</f>
        <v>https://shopee.co.id/MSBB-Somethinc-Holygrail-Multipeptide-Youth-Elixir-20ml-i.288588702.8453356554</v>
      </c>
      <c r="C1424" s="8" t="s">
        <v>45</v>
      </c>
      <c r="D1424" s="8" t="s">
        <v>79</v>
      </c>
      <c r="E1424" s="8" t="s">
        <v>12</v>
      </c>
      <c r="F1424" s="8" t="s">
        <v>13</v>
      </c>
      <c r="G1424" s="8" t="s">
        <v>80</v>
      </c>
      <c r="H1424" s="16">
        <v>12.0</v>
      </c>
      <c r="I1424" s="15" t="str">
        <f>SUBSTITUTE(Sheet1!K1424, "Rp", "")</f>
        <v>1548000</v>
      </c>
    </row>
    <row r="1425">
      <c r="A1425" s="8" t="s">
        <v>2614</v>
      </c>
      <c r="B1425" s="13" t="str">
        <f>HYPERLINK("https://shopee.co.id/MSBB-True-To-Skin-Bakuchiol-Anti-Aging-Serum-i.288588702.8728446078", "https://shopee.co.id/MSBB-True-To-Skin-Bakuchiol-Anti-Aging-Serum-i.288588702.8728446078")</f>
        <v>https://shopee.co.id/MSBB-True-To-Skin-Bakuchiol-Anti-Aging-Serum-i.288588702.8728446078</v>
      </c>
      <c r="C1425" s="8" t="s">
        <v>666</v>
      </c>
      <c r="D1425" s="8" t="s">
        <v>79</v>
      </c>
      <c r="E1425" s="8" t="s">
        <v>12</v>
      </c>
      <c r="F1425" s="8" t="s">
        <v>13</v>
      </c>
      <c r="G1425" s="8" t="s">
        <v>80</v>
      </c>
      <c r="H1425" s="16">
        <v>12.0</v>
      </c>
      <c r="I1425" s="15" t="str">
        <f>SUBSTITUTE(Sheet1!K1425, "Rp", "")</f>
        <v>1413720</v>
      </c>
    </row>
    <row r="1426">
      <c r="A1426" s="8" t="s">
        <v>1875</v>
      </c>
      <c r="B1426" s="13" t="str">
        <f>HYPERLINK("https://shopee.co.id/NATURE-REPUBLIC-Green-Derma-Mild-Cica-Serum-i.78838801.7725806757", "https://shopee.co.id/NATURE-REPUBLIC-Green-Derma-Mild-Cica-Serum-i.78838801.7725806757")</f>
        <v>https://shopee.co.id/NATURE-REPUBLIC-Green-Derma-Mild-Cica-Serum-i.78838801.7725806757</v>
      </c>
      <c r="C1426" s="8" t="s">
        <v>1079</v>
      </c>
      <c r="D1426" s="8" t="s">
        <v>1080</v>
      </c>
      <c r="E1426" s="8" t="s">
        <v>12</v>
      </c>
      <c r="F1426" s="8" t="s">
        <v>13</v>
      </c>
      <c r="G1426" s="8" t="s">
        <v>532</v>
      </c>
      <c r="H1426" s="16">
        <v>12.0</v>
      </c>
      <c r="I1426" s="15" t="str">
        <f>SUBSTITUTE(Sheet1!K1426, "Rp", "")</f>
        <v>4200000</v>
      </c>
    </row>
    <row r="1427">
      <c r="A1427" s="8" t="s">
        <v>2092</v>
      </c>
      <c r="B1427" s="13" t="str">
        <f>HYPERLINK("https://shopee.co.id/NEOGEN-DERMALOGY-REAL-C-SERUM-i.61523009.4944159618", "https://shopee.co.id/NEOGEN-DERMALOGY-REAL-C-SERUM-i.61523009.4944159618")</f>
        <v>https://shopee.co.id/NEOGEN-DERMALOGY-REAL-C-SERUM-i.61523009.4944159618</v>
      </c>
      <c r="C1427" s="8" t="s">
        <v>2093</v>
      </c>
      <c r="D1427" s="8" t="s">
        <v>2094</v>
      </c>
      <c r="E1427" s="8" t="s">
        <v>12</v>
      </c>
      <c r="F1427" s="8" t="s">
        <v>13</v>
      </c>
      <c r="G1427" s="8" t="s">
        <v>98</v>
      </c>
      <c r="H1427" s="16">
        <v>12.0</v>
      </c>
      <c r="I1427" s="15" t="str">
        <f>SUBSTITUTE(Sheet1!K1427, "Rp", "")</f>
        <v>3015600</v>
      </c>
    </row>
    <row r="1428">
      <c r="A1428" s="8" t="s">
        <v>1799</v>
      </c>
      <c r="B1428" s="13" t="str">
        <f>HYPERLINK("https://shopee.co.id/Niacid-50ml-By-Slurp-All-In-One-Anti-Acne-Serum-i.136011044.9258309276", "https://shopee.co.id/Niacid-50ml-By-Slurp-All-In-One-Anti-Acne-Serum-i.136011044.9258309276")</f>
        <v>https://shopee.co.id/Niacid-50ml-By-Slurp-All-In-One-Anti-Acne-Serum-i.136011044.9258309276</v>
      </c>
      <c r="C1428" s="8" t="s">
        <v>244</v>
      </c>
      <c r="D1428" s="8" t="s">
        <v>632</v>
      </c>
      <c r="E1428" s="8" t="s">
        <v>12</v>
      </c>
      <c r="F1428" s="8" t="s">
        <v>13</v>
      </c>
      <c r="G1428" s="8" t="s">
        <v>21</v>
      </c>
      <c r="H1428" s="16">
        <v>12.0</v>
      </c>
      <c r="I1428" s="15" t="str">
        <f>SUBSTITUTE(Sheet1!K1428, "Rp", "")</f>
        <v>4725000</v>
      </c>
    </row>
    <row r="1429">
      <c r="A1429" s="8" t="s">
        <v>2852</v>
      </c>
      <c r="B1429" s="13" t="str">
        <f>HYPERLINK("https://shopee.co.id/Ohmyskin-Essence-60ml-i.270965687.8025275174", "https://shopee.co.id/Ohmyskin-Essence-60ml-i.270965687.8025275174")</f>
        <v>https://shopee.co.id/Ohmyskin-Essence-60ml-i.270965687.8025275174</v>
      </c>
      <c r="C1429" s="8" t="s">
        <v>672</v>
      </c>
      <c r="D1429" s="8" t="s">
        <v>379</v>
      </c>
      <c r="E1429" s="8" t="s">
        <v>12</v>
      </c>
      <c r="F1429" s="8" t="s">
        <v>13</v>
      </c>
      <c r="G1429" s="8" t="s">
        <v>380</v>
      </c>
      <c r="H1429" s="16">
        <v>12.0</v>
      </c>
      <c r="I1429" s="15" t="str">
        <f>SUBSTITUTE(Sheet1!K1429, "Rp", "")</f>
        <v>960000</v>
      </c>
    </row>
    <row r="1430">
      <c r="A1430" s="8" t="s">
        <v>3287</v>
      </c>
      <c r="B1430" s="13" t="str">
        <f>HYPERLINK("https://shopee.co.id/PONDS-Serum-Burst-Day-Night-20g-i.30736001.4037497073", "https://shopee.co.id/PONDS-Serum-Burst-Day-Night-20g-i.30736001.4037497073")</f>
        <v>https://shopee.co.id/PONDS-Serum-Burst-Day-Night-20g-i.30736001.4037497073</v>
      </c>
      <c r="C1430" s="8" t="s">
        <v>325</v>
      </c>
      <c r="D1430" s="8" t="s">
        <v>335</v>
      </c>
      <c r="E1430" s="8" t="s">
        <v>12</v>
      </c>
      <c r="F1430" s="8" t="s">
        <v>13</v>
      </c>
      <c r="G1430" s="8" t="s">
        <v>36</v>
      </c>
      <c r="H1430" s="16">
        <v>12.0</v>
      </c>
      <c r="I1430" s="15" t="str">
        <f>SUBSTITUTE(Sheet1!K1430, "Rp", "")</f>
        <v>443412</v>
      </c>
    </row>
    <row r="1431">
      <c r="A1431" s="8" t="s">
        <v>2965</v>
      </c>
      <c r="B1431" s="13" t="str">
        <f>HYPERLINK("https://shopee.co.id/Safi-Age-Defy-Gold-Water-Essence-30-ml-Naturals-Micellar-Water-with-Cucumber-100-ml-i.63823668.5543846627", "https://shopee.co.id/Safi-Age-Defy-Gold-Water-Essence-30-ml-Naturals-Micellar-Water-with-Cucumber-100-ml-i.63823668.5543846627")</f>
        <v>https://shopee.co.id/Safi-Age-Defy-Gold-Water-Essence-30-ml-Naturals-Micellar-Water-with-Cucumber-100-ml-i.63823668.5543846627</v>
      </c>
      <c r="C1431" s="8" t="s">
        <v>278</v>
      </c>
      <c r="D1431" s="8" t="s">
        <v>279</v>
      </c>
      <c r="E1431" s="8" t="s">
        <v>12</v>
      </c>
      <c r="F1431" s="8" t="s">
        <v>13</v>
      </c>
      <c r="G1431" s="8" t="s">
        <v>61</v>
      </c>
      <c r="H1431" s="16">
        <v>12.0</v>
      </c>
      <c r="I1431" s="15" t="str">
        <f>SUBSTITUTE(Sheet1!K1431, "Rp", "")</f>
        <v>809100</v>
      </c>
    </row>
    <row r="1432">
      <c r="A1432" s="8" t="s">
        <v>2360</v>
      </c>
      <c r="B1432" s="13" t="str">
        <f>HYPERLINK("https://shopee.co.id/Sbcskin-Whitening-Complex-Serum-i.229435322.4617748349", "https://shopee.co.id/Sbcskin-Whitening-Complex-Serum-i.229435322.4617748349")</f>
        <v>https://shopee.co.id/Sbcskin-Whitening-Complex-Serum-i.229435322.4617748349</v>
      </c>
      <c r="C1432" s="8" t="s">
        <v>1775</v>
      </c>
      <c r="D1432" s="8" t="s">
        <v>1776</v>
      </c>
      <c r="E1432" s="8" t="s">
        <v>12</v>
      </c>
      <c r="F1432" s="8" t="s">
        <v>13</v>
      </c>
      <c r="G1432" s="8" t="s">
        <v>1777</v>
      </c>
      <c r="H1432" s="16">
        <v>12.0</v>
      </c>
      <c r="I1432" s="15" t="str">
        <f>SUBSTITUTE(Sheet1!K1432, "Rp", "")</f>
        <v>2074308</v>
      </c>
    </row>
    <row r="1433">
      <c r="A1433" s="8" t="s">
        <v>2130</v>
      </c>
      <c r="B1433" s="13" t="str">
        <f>HYPERLINK("https://shopee.co.id/SECA-Acne-Fighter-Bundle-BHA-Bakuchiol--i.373749700.8587242104", "https://shopee.co.id/SECA-Acne-Fighter-Bundle-BHA-Bakuchiol--i.373749700.8587242104")</f>
        <v>https://shopee.co.id/SECA-Acne-Fighter-Bundle-BHA-Bakuchiol--i.373749700.8587242104</v>
      </c>
      <c r="C1433" s="8" t="s">
        <v>985</v>
      </c>
      <c r="D1433" s="8" t="s">
        <v>986</v>
      </c>
      <c r="E1433" s="8" t="s">
        <v>12</v>
      </c>
      <c r="F1433" s="8" t="s">
        <v>13</v>
      </c>
      <c r="G1433" s="8" t="s">
        <v>36</v>
      </c>
      <c r="H1433" s="16">
        <v>12.0</v>
      </c>
      <c r="I1433" s="15" t="str">
        <f>SUBSTITUTE(Sheet1!K1433, "Rp", "")</f>
        <v>2827200</v>
      </c>
    </row>
    <row r="1434">
      <c r="A1434" s="8" t="s">
        <v>3248</v>
      </c>
      <c r="B1434" s="13" t="str">
        <f>HYPERLINK("https://shopee.co.id/Smooto-Premium-Sunscreen-Extra-Whitening-Essence-1-Box-isi-6pcs-i.65619901.5875415754", "https://shopee.co.id/Smooto-Premium-Sunscreen-Extra-Whitening-Essence-1-Box-isi-6pcs-i.65619901.5875415754")</f>
        <v>https://shopee.co.id/Smooto-Premium-Sunscreen-Extra-Whitening-Essence-1-Box-isi-6pcs-i.65619901.5875415754</v>
      </c>
      <c r="C1434" s="8" t="s">
        <v>2779</v>
      </c>
      <c r="D1434" s="8" t="s">
        <v>2780</v>
      </c>
      <c r="E1434" s="8" t="s">
        <v>12</v>
      </c>
      <c r="F1434" s="8" t="s">
        <v>13</v>
      </c>
      <c r="G1434" s="8" t="s">
        <v>85</v>
      </c>
      <c r="H1434" s="16">
        <v>12.0</v>
      </c>
      <c r="I1434" s="15" t="str">
        <f>SUBSTITUTE(Sheet1!K1434, "Rp", "")</f>
        <v>484000</v>
      </c>
    </row>
    <row r="1435">
      <c r="A1435" s="8" t="s">
        <v>2542</v>
      </c>
      <c r="B1435" s="13" t="str">
        <f>HYPERLINK("https://shopee.co.id/Solcare-Acne-Serum-with-Tree-Tea-Oil-i.266902345.6377304700", "https://shopee.co.id/Solcare-Acne-Serum-with-Tree-Tea-Oil-i.266902345.6377304700")</f>
        <v>https://shopee.co.id/Solcare-Acne-Serum-with-Tree-Tea-Oil-i.266902345.6377304700</v>
      </c>
      <c r="C1435" s="8" t="s">
        <v>910</v>
      </c>
      <c r="D1435" s="8" t="s">
        <v>911</v>
      </c>
      <c r="E1435" s="8" t="s">
        <v>12</v>
      </c>
      <c r="F1435" s="8" t="s">
        <v>13</v>
      </c>
      <c r="G1435" s="8" t="s">
        <v>241</v>
      </c>
      <c r="H1435" s="16">
        <v>12.0</v>
      </c>
      <c r="I1435" s="15" t="str">
        <f>SUBSTITUTE(Sheet1!K1435, "Rp", "")</f>
        <v>1598200</v>
      </c>
    </row>
    <row r="1436">
      <c r="A1436" s="8" t="s">
        <v>2607</v>
      </c>
      <c r="B1436" s="13" t="str">
        <f>HYPERLINK("https://shopee.co.id/SOMETHINC-Criously-24K-Gold-Essence-i.270965687.4338474815", "https://shopee.co.id/SOMETHINC-Criously-24K-Gold-Essence-i.270965687.4338474815")</f>
        <v>https://shopee.co.id/SOMETHINC-Criously-24K-Gold-Essence-i.270965687.4338474815</v>
      </c>
      <c r="C1436" s="8" t="s">
        <v>45</v>
      </c>
      <c r="D1436" s="8" t="s">
        <v>379</v>
      </c>
      <c r="E1436" s="8" t="s">
        <v>12</v>
      </c>
      <c r="F1436" s="8" t="s">
        <v>13</v>
      </c>
      <c r="G1436" s="8" t="s">
        <v>380</v>
      </c>
      <c r="H1436" s="16">
        <v>12.0</v>
      </c>
      <c r="I1436" s="15" t="str">
        <f>SUBSTITUTE(Sheet1!K1436, "Rp", "")</f>
        <v>1434000</v>
      </c>
    </row>
    <row r="1437">
      <c r="A1437" s="8" t="s">
        <v>1239</v>
      </c>
      <c r="B1437" s="13" t="str">
        <f>HYPERLINK("https://shopee.co.id/Sulwhasoo-Men-Recharging-Serum-i.274949344.10735980572", "https://shopee.co.id/Sulwhasoo-Men-Recharging-Serum-i.274949344.10735980572")</f>
        <v>https://shopee.co.id/Sulwhasoo-Men-Recharging-Serum-i.274949344.10735980572</v>
      </c>
      <c r="C1437" s="8" t="s">
        <v>282</v>
      </c>
      <c r="D1437" s="8" t="s">
        <v>283</v>
      </c>
      <c r="E1437" s="8" t="s">
        <v>12</v>
      </c>
      <c r="F1437" s="8" t="s">
        <v>13</v>
      </c>
      <c r="G1437" s="8" t="s">
        <v>61</v>
      </c>
      <c r="H1437" s="16">
        <v>12.0</v>
      </c>
      <c r="I1437" s="15" t="str">
        <f>SUBSTITUTE(Sheet1!K1437, "Rp", "")</f>
        <v>12000000</v>
      </c>
    </row>
    <row r="1438">
      <c r="A1438" s="8" t="s">
        <v>3700</v>
      </c>
      <c r="B1438" s="13" t="str">
        <f>HYPERLINK("https://shopee.co.id/SYB-Forte-Serum-Soothing-Aloe-Vera-i.150222332.2721513695", "https://shopee.co.id/SYB-Forte-Serum-Soothing-Aloe-Vera-i.150222332.2721513695")</f>
        <v>https://shopee.co.id/SYB-Forte-Serum-Soothing-Aloe-Vera-i.150222332.2721513695</v>
      </c>
      <c r="C1438" s="8" t="s">
        <v>3701</v>
      </c>
      <c r="D1438" s="8" t="s">
        <v>1737</v>
      </c>
      <c r="E1438" s="8" t="s">
        <v>12</v>
      </c>
      <c r="F1438" s="8" t="s">
        <v>13</v>
      </c>
      <c r="G1438" s="8" t="s">
        <v>350</v>
      </c>
      <c r="H1438" s="16">
        <v>12.0</v>
      </c>
      <c r="I1438" s="15" t="str">
        <f>SUBSTITUTE(Sheet1!K1438, "Rp", "")</f>
        <v>178500</v>
      </c>
    </row>
    <row r="1439">
      <c r="A1439" s="8" t="s">
        <v>1731</v>
      </c>
      <c r="B1439" s="13" t="str">
        <f>HYPERLINK("https://shopee.co.id/The-Body-Shop-Himalayan-Charcoal-Clarifying-Night-Peel-Serum-30ml-i.28053737.9251089636", "https://shopee.co.id/The-Body-Shop-Himalayan-Charcoal-Clarifying-Night-Peel-Serum-30ml-i.28053737.9251089636")</f>
        <v>https://shopee.co.id/The-Body-Shop-Himalayan-Charcoal-Clarifying-Night-Peel-Serum-30ml-i.28053737.9251089636</v>
      </c>
      <c r="C1439" s="8" t="s">
        <v>221</v>
      </c>
      <c r="D1439" s="8" t="s">
        <v>222</v>
      </c>
      <c r="E1439" s="8" t="s">
        <v>12</v>
      </c>
      <c r="F1439" s="8" t="s">
        <v>13</v>
      </c>
      <c r="G1439" s="8" t="s">
        <v>80</v>
      </c>
      <c r="H1439" s="16">
        <v>12.0</v>
      </c>
      <c r="I1439" s="15" t="str">
        <f>SUBSTITUTE(Sheet1!K1439, "Rp", "")</f>
        <v>5148000</v>
      </c>
    </row>
    <row r="1440">
      <c r="A1440" s="8" t="s">
        <v>1972</v>
      </c>
      <c r="B1440" s="13" t="str">
        <f>HYPERLINK("https://shopee.co.id/The-Ordinary-Buffet-60ml-i.825870.8769440863", "https://shopee.co.id/The-Ordinary-Buffet-60ml-i.825870.8769440863")</f>
        <v>https://shopee.co.id/The-Ordinary-Buffet-60ml-i.825870.8769440863</v>
      </c>
      <c r="C1440" s="8" t="s">
        <v>1245</v>
      </c>
      <c r="D1440" s="8" t="s">
        <v>1184</v>
      </c>
      <c r="E1440" s="8" t="s">
        <v>12</v>
      </c>
      <c r="F1440" s="8" t="s">
        <v>13</v>
      </c>
      <c r="G1440" s="8" t="s">
        <v>21</v>
      </c>
      <c r="H1440" s="16">
        <v>12.0</v>
      </c>
      <c r="I1440" s="15" t="str">
        <f>SUBSTITUTE(Sheet1!K1440, "Rp", "")</f>
        <v>3600000</v>
      </c>
    </row>
    <row r="1441">
      <c r="A1441" s="8" t="s">
        <v>2868</v>
      </c>
      <c r="B1441" s="13" t="str">
        <f>HYPERLINK("https://shopee.co.id/WHITELAB-PEELING-SERUM-AHA-BHA-PHA-15-ML-i.50972887.4197937667", "https://shopee.co.id/WHITELAB-PEELING-SERUM-AHA-BHA-PHA-15-ML-i.50972887.4197937667")</f>
        <v>https://shopee.co.id/WHITELAB-PEELING-SERUM-AHA-BHA-PHA-15-ML-i.50972887.4197937667</v>
      </c>
      <c r="C1441" s="8" t="s">
        <v>59</v>
      </c>
      <c r="D1441" s="8" t="s">
        <v>552</v>
      </c>
      <c r="E1441" s="8" t="s">
        <v>12</v>
      </c>
      <c r="F1441" s="8" t="s">
        <v>13</v>
      </c>
      <c r="G1441" s="8" t="s">
        <v>61</v>
      </c>
      <c r="H1441" s="16">
        <v>12.0</v>
      </c>
      <c r="I1441" s="15" t="str">
        <f>SUBSTITUTE(Sheet1!K1441, "Rp", "")</f>
        <v>944400</v>
      </c>
    </row>
    <row r="1442">
      <c r="A1442" s="8" t="s">
        <v>2419</v>
      </c>
      <c r="B1442" s="13" t="str">
        <f>HYPERLINK("https://shopee.co.id/-BPOM-BREYLEE-SERUM-SET-Paket-Hemat-Serum-Wajah-5pcs--i.324706771.9603159935", "https://shopee.co.id/-BPOM-BREYLEE-SERUM-SET-Paket-Hemat-Serum-Wajah-5pcs--i.324706771.9603159935")</f>
        <v>https://shopee.co.id/-BPOM-BREYLEE-SERUM-SET-Paket-Hemat-Serum-Wajah-5pcs--i.324706771.9603159935</v>
      </c>
      <c r="C1442" s="8" t="s">
        <v>852</v>
      </c>
      <c r="D1442" s="8" t="s">
        <v>853</v>
      </c>
      <c r="E1442" s="8" t="s">
        <v>12</v>
      </c>
      <c r="F1442" s="8" t="s">
        <v>13</v>
      </c>
      <c r="G1442" s="8" t="s">
        <v>532</v>
      </c>
      <c r="H1442" s="16">
        <v>11.0</v>
      </c>
      <c r="I1442" s="15" t="str">
        <f>SUBSTITUTE(Sheet1!K1442, "Rp", "")</f>
        <v>1890500</v>
      </c>
    </row>
    <row r="1443">
      <c r="A1443" s="8" t="s">
        <v>1461</v>
      </c>
      <c r="B1443" s="13" t="str">
        <f>HYPERLINK("https://shopee.co.id/-The-Face-Shop-Yehwadam-HGG-Rejuvenating-Serum-45ml-Original-i.34671748.9314517821", "https://shopee.co.id/-The-Face-Shop-Yehwadam-HGG-Rejuvenating-Serum-45ml-Original-i.34671748.9314517821")</f>
        <v>https://shopee.co.id/-The-Face-Shop-Yehwadam-HGG-Rejuvenating-Serum-45ml-Original-i.34671748.9314517821</v>
      </c>
      <c r="C1443" s="8" t="s">
        <v>1217</v>
      </c>
      <c r="D1443" s="8" t="s">
        <v>1218</v>
      </c>
      <c r="E1443" s="8" t="s">
        <v>12</v>
      </c>
      <c r="F1443" s="8" t="s">
        <v>13</v>
      </c>
      <c r="G1443" s="8" t="s">
        <v>61</v>
      </c>
      <c r="H1443" s="16">
        <v>11.0</v>
      </c>
      <c r="I1443" s="15" t="str">
        <f>SUBSTITUTE(Sheet1!K1443, "Rp", "")</f>
        <v>8085000</v>
      </c>
    </row>
    <row r="1444">
      <c r="A1444" s="8" t="s">
        <v>2050</v>
      </c>
      <c r="B1444" s="13" t="str">
        <f>HYPERLINK("https://shopee.co.id/Age-Defy-Glowing-Raya-3-i.63823668.10000496723", "https://shopee.co.id/Age-Defy-Glowing-Raya-3-i.63823668.10000496723")</f>
        <v>https://shopee.co.id/Age-Defy-Glowing-Raya-3-i.63823668.10000496723</v>
      </c>
      <c r="C1444" s="8" t="s">
        <v>278</v>
      </c>
      <c r="D1444" s="8" t="s">
        <v>279</v>
      </c>
      <c r="E1444" s="8" t="s">
        <v>12</v>
      </c>
      <c r="F1444" s="8" t="s">
        <v>13</v>
      </c>
      <c r="G1444" s="8" t="s">
        <v>61</v>
      </c>
      <c r="H1444" s="16">
        <v>11.0</v>
      </c>
      <c r="I1444" s="15" t="str">
        <f>SUBSTITUTE(Sheet1!K1444, "Rp", "")</f>
        <v>3278900</v>
      </c>
    </row>
    <row r="1445">
      <c r="A1445" s="8" t="s">
        <v>2442</v>
      </c>
      <c r="B1445" s="13" t="str">
        <f>HYPERLINK("https://shopee.co.id/Airnderm-Aesthetic-Anti-Aging-Serum-by-AIRIN-BEAUTY--i.112372548.2898825271", "https://shopee.co.id/Airnderm-Aesthetic-Anti-Aging-Serum-by-AIRIN-BEAUTY--i.112372548.2898825271")</f>
        <v>https://shopee.co.id/Airnderm-Aesthetic-Anti-Aging-Serum-by-AIRIN-BEAUTY--i.112372548.2898825271</v>
      </c>
      <c r="C1445" s="8" t="s">
        <v>239</v>
      </c>
      <c r="D1445" s="8" t="s">
        <v>240</v>
      </c>
      <c r="E1445" s="8" t="s">
        <v>12</v>
      </c>
      <c r="F1445" s="8" t="s">
        <v>13</v>
      </c>
      <c r="G1445" s="8" t="s">
        <v>241</v>
      </c>
      <c r="H1445" s="16">
        <v>11.0</v>
      </c>
      <c r="I1445" s="15" t="str">
        <f>SUBSTITUTE(Sheet1!K1445, "Rp", "")</f>
        <v>1833650</v>
      </c>
    </row>
    <row r="1446">
      <c r="A1446" s="8" t="s">
        <v>2812</v>
      </c>
      <c r="B1446" s="13" t="str">
        <f>HYPERLINK("https://shopee.co.id/Aubree-Centella-Herb-Serum-30ml-i.825870.3215069329", "https://shopee.co.id/Aubree-Centella-Herb-Serum-30ml-i.825870.3215069329")</f>
        <v>https://shopee.co.id/Aubree-Centella-Herb-Serum-30ml-i.825870.3215069329</v>
      </c>
      <c r="C1446" s="8" t="s">
        <v>2642</v>
      </c>
      <c r="D1446" s="8" t="s">
        <v>1184</v>
      </c>
      <c r="E1446" s="8" t="s">
        <v>12</v>
      </c>
      <c r="F1446" s="8" t="s">
        <v>13</v>
      </c>
      <c r="G1446" s="8" t="s">
        <v>21</v>
      </c>
      <c r="H1446" s="16">
        <v>11.0</v>
      </c>
      <c r="I1446" s="15" t="str">
        <f>SUBSTITUTE(Sheet1!K1446, "Rp", "")</f>
        <v>1039500</v>
      </c>
    </row>
    <row r="1447">
      <c r="A1447" s="8" t="s">
        <v>3265</v>
      </c>
      <c r="B1447" s="13" t="str">
        <f>HYPERLINK("https://shopee.co.id/AZARINE-C-White-Eyeluminate-Firming-Serum-i.270965687.6793398018", "https://shopee.co.id/AZARINE-C-White-Eyeluminate-Firming-Serum-i.270965687.6793398018")</f>
        <v>https://shopee.co.id/AZARINE-C-White-Eyeluminate-Firming-Serum-i.270965687.6793398018</v>
      </c>
      <c r="C1447" s="8" t="s">
        <v>233</v>
      </c>
      <c r="D1447" s="8" t="s">
        <v>379</v>
      </c>
      <c r="E1447" s="8" t="s">
        <v>12</v>
      </c>
      <c r="F1447" s="8" t="s">
        <v>13</v>
      </c>
      <c r="G1447" s="8" t="s">
        <v>380</v>
      </c>
      <c r="H1447" s="16">
        <v>11.0</v>
      </c>
      <c r="I1447" s="15" t="str">
        <f>SUBSTITUTE(Sheet1!K1447, "Rp", "")</f>
        <v>462000</v>
      </c>
    </row>
    <row r="1448">
      <c r="A1448" s="8" t="s">
        <v>658</v>
      </c>
      <c r="B1448" s="13" t="str">
        <f>HYPERLINK("https://shopee.co.id/Azarine-Easy-White-Herbal-Moisturizer-Serum-20ml-i.68111.9013168035", "https://shopee.co.id/Azarine-Easy-White-Herbal-Moisturizer-Serum-20ml-i.68111.9013168035")</f>
        <v>https://shopee.co.id/Azarine-Easy-White-Herbal-Moisturizer-Serum-20ml-i.68111.9013168035</v>
      </c>
      <c r="C1448" s="8" t="s">
        <v>233</v>
      </c>
      <c r="D1448" s="8" t="s">
        <v>441</v>
      </c>
      <c r="E1448" s="8" t="s">
        <v>12</v>
      </c>
      <c r="F1448" s="8" t="s">
        <v>13</v>
      </c>
      <c r="G1448" s="8" t="s">
        <v>130</v>
      </c>
      <c r="H1448" s="16">
        <v>11.0</v>
      </c>
      <c r="I1448" s="15" t="str">
        <f>SUBSTITUTE(Sheet1!K1448, "Rp", "")</f>
        <v>247925</v>
      </c>
    </row>
    <row r="1449">
      <c r="A1449" s="8" t="s">
        <v>2618</v>
      </c>
      <c r="B1449" s="13" t="str">
        <f>HYPERLINK("https://shopee.co.id/Azarine-Eyeluminate-Firming-Serum-15ml-C-White-i.136011044.6490136780", "https://shopee.co.id/Azarine-Eyeluminate-Firming-Serum-15ml-C-White-i.136011044.6490136780")</f>
        <v>https://shopee.co.id/Azarine-Eyeluminate-Firming-Serum-15ml-C-White-i.136011044.6490136780</v>
      </c>
      <c r="C1449" s="8" t="s">
        <v>233</v>
      </c>
      <c r="D1449" s="8" t="s">
        <v>632</v>
      </c>
      <c r="E1449" s="8" t="s">
        <v>12</v>
      </c>
      <c r="F1449" s="8" t="s">
        <v>13</v>
      </c>
      <c r="G1449" s="8" t="s">
        <v>21</v>
      </c>
      <c r="H1449" s="16">
        <v>11.0</v>
      </c>
      <c r="I1449" s="15" t="str">
        <f>SUBSTITUTE(Sheet1!K1449, "Rp", "")</f>
        <v>453700</v>
      </c>
    </row>
    <row r="1450">
      <c r="A1450" s="8" t="s">
        <v>2520</v>
      </c>
      <c r="B1450" s="13" t="str">
        <f>HYPERLINK("https://shopee.co.id/Beauty-Package-Hyaluronic-Acid-Ceramide-Serum-i.124549994.9484554293", "https://shopee.co.id/Beauty-Package-Hyaluronic-Acid-Ceramide-Serum-i.124549994.9484554293")</f>
        <v>https://shopee.co.id/Beauty-Package-Hyaluronic-Acid-Ceramide-Serum-i.124549994.9484554293</v>
      </c>
      <c r="C1450" s="8" t="s">
        <v>807</v>
      </c>
      <c r="D1450" s="8" t="s">
        <v>808</v>
      </c>
      <c r="E1450" s="8" t="s">
        <v>12</v>
      </c>
      <c r="F1450" s="8" t="s">
        <v>13</v>
      </c>
      <c r="G1450" s="8" t="s">
        <v>61</v>
      </c>
      <c r="H1450" s="16">
        <v>11.0</v>
      </c>
      <c r="I1450" s="15" t="str">
        <f>SUBSTITUTE(Sheet1!K1450, "Rp", "")</f>
        <v>1652000</v>
      </c>
    </row>
    <row r="1451">
      <c r="A1451" s="8" t="s">
        <v>2296</v>
      </c>
      <c r="B1451" s="13" t="str">
        <f>HYPERLINK("https://shopee.co.id/Bio-Essence-Bio-Gold-Rose-Gold-Water-30-ml-Twinpack-Special-i.63822287.5684987628", "https://shopee.co.id/Bio-Essence-Bio-Gold-Rose-Gold-Water-30-ml-Twinpack-Special-i.63822287.5684987628")</f>
        <v>https://shopee.co.id/Bio-Essence-Bio-Gold-Rose-Gold-Water-30-ml-Twinpack-Special-i.63822287.5684987628</v>
      </c>
      <c r="C1451" s="8" t="s">
        <v>1688</v>
      </c>
      <c r="D1451" s="8" t="s">
        <v>835</v>
      </c>
      <c r="E1451" s="8" t="s">
        <v>12</v>
      </c>
      <c r="F1451" s="8" t="s">
        <v>13</v>
      </c>
      <c r="G1451" s="8" t="s">
        <v>61</v>
      </c>
      <c r="H1451" s="16">
        <v>11.0</v>
      </c>
      <c r="I1451" s="15" t="str">
        <f>SUBSTITUTE(Sheet1!K1451, "Rp", "")</f>
        <v>2293600</v>
      </c>
    </row>
    <row r="1452">
      <c r="A1452" s="8" t="s">
        <v>1981</v>
      </c>
      <c r="B1452" s="13" t="str">
        <f>HYPERLINK("https://shopee.co.id/Bio-Essence-Bio-Gold-Water-Essence-150ml-Perawatan-Wajah-Anti-Aging-i.63822287.1671468802", "https://shopee.co.id/Bio-Essence-Bio-Gold-Water-Essence-150ml-Perawatan-Wajah-Anti-Aging-i.63822287.1671468802")</f>
        <v>https://shopee.co.id/Bio-Essence-Bio-Gold-Water-Essence-150ml-Perawatan-Wajah-Anti-Aging-i.63822287.1671468802</v>
      </c>
      <c r="C1452" s="8" t="s">
        <v>834</v>
      </c>
      <c r="D1452" s="8" t="s">
        <v>835</v>
      </c>
      <c r="E1452" s="8" t="s">
        <v>12</v>
      </c>
      <c r="F1452" s="8" t="s">
        <v>13</v>
      </c>
      <c r="G1452" s="8" t="s">
        <v>61</v>
      </c>
      <c r="H1452" s="16">
        <v>11.0</v>
      </c>
      <c r="I1452" s="15" t="str">
        <f>SUBSTITUTE(Sheet1!K1452, "Rp", "")</f>
        <v>3561500</v>
      </c>
    </row>
    <row r="1453">
      <c r="A1453" s="8" t="s">
        <v>1915</v>
      </c>
      <c r="B1453" s="13" t="str">
        <f>HYPERLINK("https://shopee.co.id/Biokos-Derma-Bright-Intensive-Brightening-Serum-i.34904037.640287595", "https://shopee.co.id/Biokos-Derma-Bright-Intensive-Brightening-Serum-i.34904037.640287595")</f>
        <v>https://shopee.co.id/Biokos-Derma-Bright-Intensive-Brightening-Serum-i.34904037.640287595</v>
      </c>
      <c r="C1453" s="8" t="s">
        <v>1873</v>
      </c>
      <c r="D1453" s="8" t="s">
        <v>1874</v>
      </c>
      <c r="E1453" s="8" t="s">
        <v>12</v>
      </c>
      <c r="F1453" s="8" t="s">
        <v>13</v>
      </c>
      <c r="G1453" s="8" t="s">
        <v>469</v>
      </c>
      <c r="H1453" s="16">
        <v>11.0</v>
      </c>
      <c r="I1453" s="15" t="str">
        <f>SUBSTITUTE(Sheet1!K1453, "Rp", "")</f>
        <v>3948930</v>
      </c>
    </row>
    <row r="1454">
      <c r="A1454" s="8" t="s">
        <v>2102</v>
      </c>
      <c r="B1454" s="13" t="str">
        <f>HYPERLINK("https://shopee.co.id/ElsheSkin-Radiant-Supple-Serum-Daily-Protection-for-Acne-i.9035345.6685118955", "https://shopee.co.id/ElsheSkin-Radiant-Supple-Serum-Daily-Protection-for-Acne-i.9035345.6685118955")</f>
        <v>https://shopee.co.id/ElsheSkin-Radiant-Supple-Serum-Daily-Protection-for-Acne-i.9035345.6685118955</v>
      </c>
      <c r="C1454" s="8" t="s">
        <v>135</v>
      </c>
      <c r="D1454" s="8" t="s">
        <v>136</v>
      </c>
      <c r="E1454" s="8" t="s">
        <v>12</v>
      </c>
      <c r="F1454" s="8" t="s">
        <v>13</v>
      </c>
      <c r="G1454" s="8" t="s">
        <v>80</v>
      </c>
      <c r="H1454" s="16">
        <v>11.0</v>
      </c>
      <c r="I1454" s="15" t="str">
        <f>SUBSTITUTE(Sheet1!K1454, "Rp", "")</f>
        <v>2959600</v>
      </c>
    </row>
    <row r="1455">
      <c r="A1455" s="8" t="s">
        <v>2715</v>
      </c>
      <c r="B1455" s="13" t="str">
        <f>HYPERLINK("https://shopee.co.id/Fat-Panda-10-Niacinamide-Collagen-Ampoule-20ml-Brightening-Serum-i.206623679.8884923223", "https://shopee.co.id/Fat-Panda-10-Niacinamide-Collagen-Ampoule-20ml-Brightening-Serum-i.206623679.8884923223")</f>
        <v>https://shopee.co.id/Fat-Panda-10-Niacinamide-Collagen-Ampoule-20ml-Brightening-Serum-i.206623679.8884923223</v>
      </c>
      <c r="C1455" s="8" t="s">
        <v>2716</v>
      </c>
      <c r="D1455" s="8" t="s">
        <v>2717</v>
      </c>
      <c r="E1455" s="8" t="s">
        <v>12</v>
      </c>
      <c r="F1455" s="8" t="s">
        <v>13</v>
      </c>
      <c r="G1455" s="8" t="s">
        <v>130</v>
      </c>
      <c r="H1455" s="16">
        <v>11.0</v>
      </c>
      <c r="I1455" s="15" t="str">
        <f>SUBSTITUTE(Sheet1!K1455, "Rp", "")</f>
        <v>1199000</v>
      </c>
    </row>
    <row r="1456">
      <c r="A1456" s="8" t="s">
        <v>3046</v>
      </c>
      <c r="B1456" s="13" t="str">
        <f>HYPERLINK("https://shopee.co.id/Garnier-Serum-Light-Complete-Vitamin-C-30x-Booster-Skin-Care-15-mL-i.65323877.9279219849", "https://shopee.co.id/Garnier-Serum-Light-Complete-Vitamin-C-30x-Booster-Skin-Care-15-mL-i.65323877.9279219849")</f>
        <v>https://shopee.co.id/Garnier-Serum-Light-Complete-Vitamin-C-30x-Booster-Skin-Care-15-mL-i.65323877.9279219849</v>
      </c>
      <c r="C1456" s="8" t="s">
        <v>74</v>
      </c>
      <c r="D1456" s="8" t="s">
        <v>1600</v>
      </c>
      <c r="E1456" s="8" t="s">
        <v>12</v>
      </c>
      <c r="F1456" s="8" t="s">
        <v>13</v>
      </c>
      <c r="G1456" s="8" t="s">
        <v>296</v>
      </c>
      <c r="H1456" s="16">
        <v>11.0</v>
      </c>
      <c r="I1456" s="15" t="str">
        <f>SUBSTITUTE(Sheet1!K1456, "Rp", "")</f>
        <v>681300</v>
      </c>
    </row>
    <row r="1457">
      <c r="A1457" s="8" t="s">
        <v>1897</v>
      </c>
      <c r="B1457" s="13" t="str">
        <f>HYPERLINK("https://shopee.co.id/GLOWINC-POTION-ACNECORE-Clear-AC-Serum-i.68111.10833694885", "https://shopee.co.id/GLOWINC-POTION-ACNECORE-Clear-AC-Serum-i.68111.10833694885")</f>
        <v>https://shopee.co.id/GLOWINC-POTION-ACNECORE-Clear-AC-Serum-i.68111.10833694885</v>
      </c>
      <c r="C1457" s="8" t="s">
        <v>1898</v>
      </c>
      <c r="D1457" s="8" t="s">
        <v>441</v>
      </c>
      <c r="E1457" s="8" t="s">
        <v>12</v>
      </c>
      <c r="F1457" s="8" t="s">
        <v>13</v>
      </c>
      <c r="G1457" s="8" t="s">
        <v>130</v>
      </c>
      <c r="H1457" s="16">
        <v>11.0</v>
      </c>
      <c r="I1457" s="15" t="str">
        <f>SUBSTITUTE(Sheet1!K1457, "Rp", "")</f>
        <v>869000</v>
      </c>
    </row>
    <row r="1458">
      <c r="A1458" s="8" t="s">
        <v>2141</v>
      </c>
      <c r="B1458" s="13" t="str">
        <f>HYPERLINK("https://shopee.co.id/Glowlabs-AM-PM-Routine-Glo-C-Serum-Retinol-Cica-Night-Serum--i.336869851.9453874964", "https://shopee.co.id/Glowlabs-AM-PM-Routine-Glo-C-Serum-Retinol-Cica-Night-Serum--i.336869851.9453874964")</f>
        <v>https://shopee.co.id/Glowlabs-AM-PM-Routine-Glo-C-Serum-Retinol-Cica-Night-Serum--i.336869851.9453874964</v>
      </c>
      <c r="C1458" s="8" t="s">
        <v>407</v>
      </c>
      <c r="D1458" s="8" t="s">
        <v>408</v>
      </c>
      <c r="E1458" s="8" t="s">
        <v>12</v>
      </c>
      <c r="F1458" s="8" t="s">
        <v>13</v>
      </c>
      <c r="G1458" s="8" t="s">
        <v>409</v>
      </c>
      <c r="H1458" s="16">
        <v>11.0</v>
      </c>
      <c r="I1458" s="15" t="str">
        <f>SUBSTITUTE(Sheet1!K1458, "Rp", "")</f>
        <v>2760000</v>
      </c>
    </row>
    <row r="1459">
      <c r="A1459" s="8" t="s">
        <v>2104</v>
      </c>
      <c r="B1459" s="13" t="str">
        <f>HYPERLINK("https://shopee.co.id/HUXLEY-Essence-Grab-Water-30ml-i.199277424.4606630653", "https://shopee.co.id/HUXLEY-Essence-Grab-Water-30ml-i.199277424.4606630653")</f>
        <v>https://shopee.co.id/HUXLEY-Essence-Grab-Water-30ml-i.199277424.4606630653</v>
      </c>
      <c r="C1459" s="8" t="s">
        <v>1635</v>
      </c>
      <c r="D1459" s="8" t="s">
        <v>1884</v>
      </c>
      <c r="E1459" s="8" t="s">
        <v>12</v>
      </c>
      <c r="F1459" s="8" t="s">
        <v>13</v>
      </c>
      <c r="G1459" s="8" t="s">
        <v>80</v>
      </c>
      <c r="H1459" s="16">
        <v>11.0</v>
      </c>
      <c r="I1459" s="15" t="str">
        <f>SUBSTITUTE(Sheet1!K1459, "Rp", "")</f>
        <v>2959500</v>
      </c>
    </row>
    <row r="1460">
      <c r="A1460" s="8" t="s">
        <v>2556</v>
      </c>
      <c r="B1460" s="13" t="str">
        <f>HYPERLINK("https://shopee.co.id/Iunik-Tea-Tree-Relief-Serum-15ml-i.270765534.4053263300", "https://shopee.co.id/Iunik-Tea-Tree-Relief-Serum-15ml-i.270765534.4053263300")</f>
        <v>https://shopee.co.id/Iunik-Tea-Tree-Relief-Serum-15ml-i.270765534.4053263300</v>
      </c>
      <c r="C1460" s="8" t="s">
        <v>1658</v>
      </c>
      <c r="D1460" s="8" t="s">
        <v>1659</v>
      </c>
      <c r="E1460" s="8" t="s">
        <v>12</v>
      </c>
      <c r="F1460" s="8" t="s">
        <v>13</v>
      </c>
      <c r="G1460" s="8" t="s">
        <v>21</v>
      </c>
      <c r="H1460" s="16">
        <v>11.0</v>
      </c>
      <c r="I1460" s="15" t="str">
        <f>SUBSTITUTE(Sheet1!K1460, "Rp", "")</f>
        <v>1103200</v>
      </c>
    </row>
    <row r="1461">
      <c r="A1461" s="8" t="s">
        <v>2040</v>
      </c>
      <c r="B1461" s="13" t="str">
        <f>HYPERLINK("https://shopee.co.id/Iunik-Tea-Tree-Relief-Serum-50ml-i.825870.2357270767", "https://shopee.co.id/Iunik-Tea-Tree-Relief-Serum-50ml-i.825870.2357270767")</f>
        <v>https://shopee.co.id/Iunik-Tea-Tree-Relief-Serum-50ml-i.825870.2357270767</v>
      </c>
      <c r="C1461" s="8" t="s">
        <v>1658</v>
      </c>
      <c r="D1461" s="8" t="s">
        <v>1184</v>
      </c>
      <c r="E1461" s="8" t="s">
        <v>12</v>
      </c>
      <c r="F1461" s="8" t="s">
        <v>13</v>
      </c>
      <c r="G1461" s="8" t="s">
        <v>21</v>
      </c>
      <c r="H1461" s="16">
        <v>11.0</v>
      </c>
      <c r="I1461" s="15" t="str">
        <f>SUBSTITUTE(Sheet1!K1461, "Rp", "")</f>
        <v>2550800</v>
      </c>
    </row>
    <row r="1462">
      <c r="A1462" s="8" t="s">
        <v>3177</v>
      </c>
      <c r="B1462" s="13" t="str">
        <f>HYPERLINK("https://shopee.co.id/L-Oreal-Paris-Pro-Youth-Face-Mask-Skin-Care-Untuk-Kulit-Kencang-Sebening-Kristal-Bundle-Set-3-i.62579622.6932632222", "https://shopee.co.id/L-Oreal-Paris-Pro-Youth-Face-Mask-Skin-Care-Untuk-Kulit-Kencang-Sebening-Kristal-Bundle-Set-3-i.62579622.6932632222")</f>
        <v>https://shopee.co.id/L-Oreal-Paris-Pro-Youth-Face-Mask-Skin-Care-Untuk-Kulit-Kencang-Sebening-Kristal-Bundle-Set-3-i.62579622.6932632222</v>
      </c>
      <c r="C1462" s="8" t="s">
        <v>105</v>
      </c>
      <c r="D1462" s="8" t="s">
        <v>106</v>
      </c>
      <c r="E1462" s="8" t="s">
        <v>12</v>
      </c>
      <c r="F1462" s="8" t="s">
        <v>13</v>
      </c>
      <c r="G1462" s="8" t="s">
        <v>61</v>
      </c>
      <c r="H1462" s="16">
        <v>11.0</v>
      </c>
      <c r="I1462" s="15" t="str">
        <f>SUBSTITUTE(Sheet1!K1462, "Rp", "")</f>
        <v>541200</v>
      </c>
    </row>
    <row r="1463">
      <c r="A1463" s="8" t="s">
        <v>2582</v>
      </c>
      <c r="B1463" s="13" t="str">
        <f>HYPERLINK("https://shopee.co.id/La-Tulipe-La-Tulipe-C-Serum-La-Tulipe-La-Tulipe-C-Night-Cream-i.131133483.7456104445", "https://shopee.co.id/La-Tulipe-La-Tulipe-C-Serum-La-Tulipe-La-Tulipe-C-Night-Cream-i.131133483.7456104445")</f>
        <v>https://shopee.co.id/La-Tulipe-La-Tulipe-C-Serum-La-Tulipe-La-Tulipe-C-Night-Cream-i.131133483.7456104445</v>
      </c>
      <c r="C1463" s="8" t="s">
        <v>1761</v>
      </c>
      <c r="D1463" s="8" t="s">
        <v>1762</v>
      </c>
      <c r="E1463" s="8" t="s">
        <v>12</v>
      </c>
      <c r="F1463" s="8" t="s">
        <v>13</v>
      </c>
      <c r="G1463" s="8" t="s">
        <v>61</v>
      </c>
      <c r="H1463" s="16">
        <v>11.0</v>
      </c>
      <c r="I1463" s="15" t="str">
        <f>SUBSTITUTE(Sheet1!K1463, "Rp", "")</f>
        <v>1516800</v>
      </c>
    </row>
    <row r="1464">
      <c r="A1464" s="8" t="s">
        <v>2424</v>
      </c>
      <c r="B1464" s="13" t="str">
        <f>HYPERLINK("https://shopee.co.id/MISSHA-Misa-Yei-Hyun-Essence-40ml--i.37557990.7291904660", "https://shopee.co.id/MISSHA-Misa-Yei-Hyun-Essence-40ml--i.37557990.7291904660")</f>
        <v>https://shopee.co.id/MISSHA-Misa-Yei-Hyun-Essence-40ml--i.37557990.7291904660</v>
      </c>
      <c r="C1464" s="8" t="s">
        <v>695</v>
      </c>
      <c r="D1464" s="8" t="s">
        <v>696</v>
      </c>
      <c r="E1464" s="8" t="s">
        <v>12</v>
      </c>
      <c r="F1464" s="8" t="s">
        <v>13</v>
      </c>
      <c r="G1464" s="8" t="s">
        <v>80</v>
      </c>
      <c r="H1464" s="16">
        <v>11.0</v>
      </c>
      <c r="I1464" s="15" t="str">
        <f>SUBSTITUTE(Sheet1!K1464, "Rp", "")</f>
        <v>1887600</v>
      </c>
    </row>
    <row r="1465">
      <c r="A1465" s="8" t="s">
        <v>2323</v>
      </c>
      <c r="B1465" s="13" t="str">
        <f>HYPERLINK("https://shopee.co.id/MSBB-NOT-FOR-SALE-Jarte-Cica-Care-Ampoule-5Ml-i.288588702.8374927439", "https://shopee.co.id/MSBB-NOT-FOR-SALE-Jarte-Cica-Care-Ampoule-5Ml-i.288588702.8374927439")</f>
        <v>https://shopee.co.id/MSBB-NOT-FOR-SALE-Jarte-Cica-Care-Ampoule-5Ml-i.288588702.8374927439</v>
      </c>
      <c r="C1465" s="8" t="s">
        <v>78</v>
      </c>
      <c r="D1465" s="8" t="s">
        <v>79</v>
      </c>
      <c r="E1465" s="8" t="s">
        <v>12</v>
      </c>
      <c r="F1465" s="8" t="s">
        <v>13</v>
      </c>
      <c r="G1465" s="8" t="s">
        <v>80</v>
      </c>
      <c r="H1465" s="16">
        <v>11.0</v>
      </c>
      <c r="I1465" s="15" t="str">
        <f>SUBSTITUTE(Sheet1!K1465, "Rp", "")</f>
        <v>2200000</v>
      </c>
    </row>
    <row r="1466">
      <c r="A1466" s="8" t="s">
        <v>2243</v>
      </c>
      <c r="B1466" s="13" t="str">
        <f>HYPERLINK("https://shopee.co.id/MSBB-ElsheSkin-Active-Rejuvenating-Night-Serum-i.288588702.7451093952", "https://shopee.co.id/MSBB-ElsheSkin-Active-Rejuvenating-Night-Serum-i.288588702.7451093952")</f>
        <v>https://shopee.co.id/MSBB-ElsheSkin-Active-Rejuvenating-Night-Serum-i.288588702.7451093952</v>
      </c>
      <c r="C1466" s="8" t="s">
        <v>135</v>
      </c>
      <c r="D1466" s="8" t="s">
        <v>79</v>
      </c>
      <c r="E1466" s="8" t="s">
        <v>12</v>
      </c>
      <c r="F1466" s="8" t="s">
        <v>13</v>
      </c>
      <c r="G1466" s="8" t="s">
        <v>80</v>
      </c>
      <c r="H1466" s="16">
        <v>11.0</v>
      </c>
      <c r="I1466" s="15" t="str">
        <f>SUBSTITUTE(Sheet1!K1466, "Rp", "")</f>
        <v>2412000</v>
      </c>
    </row>
    <row r="1467">
      <c r="A1467" s="8" t="s">
        <v>2433</v>
      </c>
      <c r="B1467" s="13" t="str">
        <f>HYPERLINK("https://shopee.co.id/MSBB-ElsheSkin-Radiant-Skin-Serum-i.288588702.4251095523", "https://shopee.co.id/MSBB-ElsheSkin-Radiant-Skin-Serum-i.288588702.4251095523")</f>
        <v>https://shopee.co.id/MSBB-ElsheSkin-Radiant-Skin-Serum-i.288588702.4251095523</v>
      </c>
      <c r="C1467" s="8" t="s">
        <v>135</v>
      </c>
      <c r="D1467" s="8" t="s">
        <v>79</v>
      </c>
      <c r="E1467" s="8" t="s">
        <v>12</v>
      </c>
      <c r="F1467" s="8" t="s">
        <v>13</v>
      </c>
      <c r="G1467" s="8" t="s">
        <v>80</v>
      </c>
      <c r="H1467" s="16">
        <v>11.0</v>
      </c>
      <c r="I1467" s="15" t="str">
        <f>SUBSTITUTE(Sheet1!K1467, "Rp", "")</f>
        <v>1870500</v>
      </c>
    </row>
    <row r="1468">
      <c r="A1468" s="8" t="s">
        <v>2793</v>
      </c>
      <c r="B1468" s="13" t="str">
        <f>HYPERLINK("https://shopee.co.id/MSBB-Noola-Breezy-Willow-Moist-Serum-i.288588702.7776957973", "https://shopee.co.id/MSBB-Noola-Breezy-Willow-Moist-Serum-i.288588702.7776957973")</f>
        <v>https://shopee.co.id/MSBB-Noola-Breezy-Willow-Moist-Serum-i.288588702.7776957973</v>
      </c>
      <c r="C1468" s="8" t="s">
        <v>2794</v>
      </c>
      <c r="D1468" s="8" t="s">
        <v>79</v>
      </c>
      <c r="E1468" s="8" t="s">
        <v>12</v>
      </c>
      <c r="F1468" s="8" t="s">
        <v>13</v>
      </c>
      <c r="G1468" s="8" t="s">
        <v>80</v>
      </c>
      <c r="H1468" s="16">
        <v>11.0</v>
      </c>
      <c r="I1468" s="15" t="str">
        <f>SUBSTITUTE(Sheet1!K1468, "Rp", "")</f>
        <v>1074150</v>
      </c>
    </row>
    <row r="1469">
      <c r="A1469" s="8" t="s">
        <v>2918</v>
      </c>
      <c r="B1469" s="13" t="str">
        <f>HYPERLINK("https://shopee.co.id/Nameera-Intense-Illuminatinon-Perfecting-Serum-25-ml-i.125968756.1905000248", "https://shopee.co.id/Nameera-Intense-Illuminatinon-Perfecting-Serum-25-ml-i.125968756.1905000248")</f>
        <v>https://shopee.co.id/Nameera-Intense-Illuminatinon-Perfecting-Serum-25-ml-i.125968756.1905000248</v>
      </c>
      <c r="C1469" s="8" t="s">
        <v>2603</v>
      </c>
      <c r="D1469" s="8" t="s">
        <v>2604</v>
      </c>
      <c r="E1469" s="8" t="s">
        <v>12</v>
      </c>
      <c r="F1469" s="8" t="s">
        <v>13</v>
      </c>
      <c r="G1469" s="8" t="s">
        <v>296</v>
      </c>
      <c r="H1469" s="16">
        <v>11.0</v>
      </c>
      <c r="I1469" s="15" t="str">
        <f>SUBSTITUTE(Sheet1!K1469, "Rp", "")</f>
        <v>871400</v>
      </c>
    </row>
    <row r="1470">
      <c r="A1470" s="8" t="s">
        <v>2729</v>
      </c>
      <c r="B1470" s="13" t="str">
        <f>HYPERLINK("https://shopee.co.id/NPURE-Face-Serum-Centella-Asiatica-15ml-i.270965687.6967942337", "https://shopee.co.id/NPURE-Face-Serum-Centella-Asiatica-15ml-i.270965687.6967942337")</f>
        <v>https://shopee.co.id/NPURE-Face-Serum-Centella-Asiatica-15ml-i.270965687.6967942337</v>
      </c>
      <c r="C1470" s="8" t="s">
        <v>266</v>
      </c>
      <c r="D1470" s="8" t="s">
        <v>379</v>
      </c>
      <c r="E1470" s="8" t="s">
        <v>12</v>
      </c>
      <c r="F1470" s="8" t="s">
        <v>13</v>
      </c>
      <c r="G1470" s="8" t="s">
        <v>380</v>
      </c>
      <c r="H1470" s="16">
        <v>11.0</v>
      </c>
      <c r="I1470" s="15" t="str">
        <f>SUBSTITUTE(Sheet1!K1470, "Rp", "")</f>
        <v>1188000</v>
      </c>
    </row>
    <row r="1471">
      <c r="A1471" s="8" t="s">
        <v>3243</v>
      </c>
      <c r="B1471" s="13" t="str">
        <f>HYPERLINK("https://shopee.co.id/Nu-Aroma-Grapeseed-Oil-Natural-Serum-Wajah-Serum-Rambut--i.262175945.7557071479", "https://shopee.co.id/Nu-Aroma-Grapeseed-Oil-Natural-Serum-Wajah-Serum-Rambut--i.262175945.7557071479")</f>
        <v>https://shopee.co.id/Nu-Aroma-Grapeseed-Oil-Natural-Serum-Wajah-Serum-Rambut--i.262175945.7557071479</v>
      </c>
      <c r="C1471" s="8" t="s">
        <v>2863</v>
      </c>
      <c r="D1471" s="8" t="s">
        <v>2864</v>
      </c>
      <c r="E1471" s="8" t="s">
        <v>12</v>
      </c>
      <c r="F1471" s="8" t="s">
        <v>13</v>
      </c>
      <c r="G1471" s="8" t="s">
        <v>945</v>
      </c>
      <c r="H1471" s="16">
        <v>11.0</v>
      </c>
      <c r="I1471" s="15" t="str">
        <f>SUBSTITUTE(Sheet1!K1471, "Rp", "")</f>
        <v>487550</v>
      </c>
    </row>
    <row r="1472">
      <c r="A1472" s="8" t="s">
        <v>2448</v>
      </c>
      <c r="B1472" s="13" t="str">
        <f>HYPERLINK("https://shopee.co.id/Olay-Regenerist-Micro-Sculpting-Serum-50-ml-i.36998337.6379914655", "https://shopee.co.id/Olay-Regenerist-Micro-Sculpting-Serum-50-ml-i.36998337.6379914655")</f>
        <v>https://shopee.co.id/Olay-Regenerist-Micro-Sculpting-Serum-50-ml-i.36998337.6379914655</v>
      </c>
      <c r="C1472" s="8" t="s">
        <v>317</v>
      </c>
      <c r="D1472" s="8" t="s">
        <v>2449</v>
      </c>
      <c r="E1472" s="8" t="s">
        <v>12</v>
      </c>
      <c r="F1472" s="8" t="s">
        <v>13</v>
      </c>
      <c r="G1472" s="8" t="s">
        <v>98</v>
      </c>
      <c r="H1472" s="16">
        <v>11.0</v>
      </c>
      <c r="I1472" s="15" t="str">
        <f>SUBSTITUTE(Sheet1!K1472, "Rp", "")</f>
        <v>1822000</v>
      </c>
    </row>
    <row r="1473">
      <c r="A1473" s="8" t="s">
        <v>2718</v>
      </c>
      <c r="B1473" s="13" t="str">
        <f>HYPERLINK("https://shopee.co.id/POB-LIFTING-SERUM-OUR-DARK-SPOT-SOLUTION-Mengencangkan-dan-Menghaluskan-Kulit-Wajah-Glowing-Look-BPOM-20-ML-i.495355925.7595750260", "https://shopee.co.id/POB-LIFTING-SERUM-OUR-DARK-SPOT-SOLUTION-Mengencangkan-dan-Menghaluskan-Kulit-Wajah-Glowing-Look-BPOM-20-ML-i.495355925.7595750260")</f>
        <v>https://shopee.co.id/POB-LIFTING-SERUM-OUR-DARK-SPOT-SOLUTION-Mengencangkan-dan-Menghaluskan-Kulit-Wajah-Glowing-Look-BPOM-20-ML-i.495355925.7595750260</v>
      </c>
      <c r="C1473" s="8" t="s">
        <v>2719</v>
      </c>
      <c r="D1473" s="8" t="s">
        <v>2720</v>
      </c>
      <c r="E1473" s="8" t="s">
        <v>12</v>
      </c>
      <c r="F1473" s="8" t="s">
        <v>13</v>
      </c>
      <c r="G1473" s="8" t="s">
        <v>532</v>
      </c>
      <c r="H1473" s="16">
        <v>11.0</v>
      </c>
      <c r="I1473" s="15" t="str">
        <f>SUBSTITUTE(Sheet1!K1473, "Rp", "")</f>
        <v>1199000</v>
      </c>
    </row>
    <row r="1474">
      <c r="A1474" s="8" t="s">
        <v>3147</v>
      </c>
      <c r="B1474" s="13" t="str">
        <f>HYPERLINK("https://shopee.co.id/Probeauty-Serum-Vit-C-Serum-whitening-with-vitamin-C-alpha-arbutin-i.9171679.1235042654", "https://shopee.co.id/Probeauty-Serum-Vit-C-Serum-whitening-with-vitamin-C-alpha-arbutin-i.9171679.1235042654")</f>
        <v>https://shopee.co.id/Probeauty-Serum-Vit-C-Serum-whitening-with-vitamin-C-alpha-arbutin-i.9171679.1235042654</v>
      </c>
      <c r="C1474" s="8" t="s">
        <v>2207</v>
      </c>
      <c r="D1474" s="8" t="s">
        <v>2208</v>
      </c>
      <c r="E1474" s="8" t="s">
        <v>12</v>
      </c>
      <c r="F1474" s="8" t="s">
        <v>13</v>
      </c>
      <c r="G1474" s="8" t="s">
        <v>2209</v>
      </c>
      <c r="H1474" s="16">
        <v>11.0</v>
      </c>
      <c r="I1474" s="15" t="str">
        <f>SUBSTITUTE(Sheet1!K1474, "Rp", "")</f>
        <v>568950</v>
      </c>
    </row>
    <row r="1475">
      <c r="A1475" s="8" t="s">
        <v>2986</v>
      </c>
      <c r="B1475" s="13" t="str">
        <f>HYPERLINK("https://shopee.co.id/Probeauty-Serum-Whitening-serum-flek-AHA-9-kaya-vitamin-i.9171679.1230415339", "https://shopee.co.id/Probeauty-Serum-Whitening-serum-flek-AHA-9-kaya-vitamin-i.9171679.1230415339")</f>
        <v>https://shopee.co.id/Probeauty-Serum-Whitening-serum-flek-AHA-9-kaya-vitamin-i.9171679.1230415339</v>
      </c>
      <c r="C1475" s="8" t="s">
        <v>2207</v>
      </c>
      <c r="D1475" s="8" t="s">
        <v>2208</v>
      </c>
      <c r="E1475" s="8" t="s">
        <v>12</v>
      </c>
      <c r="F1475" s="8" t="s">
        <v>13</v>
      </c>
      <c r="G1475" s="8" t="s">
        <v>2209</v>
      </c>
      <c r="H1475" s="16">
        <v>11.0</v>
      </c>
      <c r="I1475" s="15" t="str">
        <f>SUBSTITUTE(Sheet1!K1475, "Rp", "")</f>
        <v>772650</v>
      </c>
    </row>
    <row r="1476">
      <c r="A1476" s="8" t="s">
        <v>2160</v>
      </c>
      <c r="B1476" s="13" t="str">
        <f>HYPERLINK("https://shopee.co.id/Rhein-Serum-Vit-C-i.240100481.3922935076", "https://shopee.co.id/Rhein-Serum-Vit-C-i.240100481.3922935076")</f>
        <v>https://shopee.co.id/Rhein-Serum-Vit-C-i.240100481.3922935076</v>
      </c>
      <c r="C1476" s="8" t="s">
        <v>2161</v>
      </c>
      <c r="D1476" s="8" t="s">
        <v>1196</v>
      </c>
      <c r="E1476" s="8" t="s">
        <v>12</v>
      </c>
      <c r="F1476" s="8" t="s">
        <v>13</v>
      </c>
      <c r="G1476" s="8" t="s">
        <v>98</v>
      </c>
      <c r="H1476" s="16">
        <v>11.0</v>
      </c>
      <c r="I1476" s="15" t="str">
        <f>SUBSTITUTE(Sheet1!K1476, "Rp", "")</f>
        <v>2695000</v>
      </c>
    </row>
    <row r="1477">
      <c r="A1477" s="8" t="s">
        <v>2651</v>
      </c>
      <c r="B1477" s="13" t="str">
        <f>HYPERLINK("https://shopee.co.id/Somethinc-Criously-24K-Gold-Essence-i.10689.7519446831", "https://shopee.co.id/Somethinc-Criously-24K-Gold-Essence-i.10689.7519446831")</f>
        <v>https://shopee.co.id/Somethinc-Criously-24K-Gold-Essence-i.10689.7519446831</v>
      </c>
      <c r="C1477" s="8" t="s">
        <v>45</v>
      </c>
      <c r="D1477" s="8" t="s">
        <v>745</v>
      </c>
      <c r="E1477" s="8" t="s">
        <v>12</v>
      </c>
      <c r="F1477" s="8" t="s">
        <v>13</v>
      </c>
      <c r="G1477" s="8" t="s">
        <v>61</v>
      </c>
      <c r="H1477" s="16">
        <v>11.0</v>
      </c>
      <c r="I1477" s="15" t="str">
        <f>SUBSTITUTE(Sheet1!K1477, "Rp", "")</f>
        <v>1314500</v>
      </c>
    </row>
    <row r="1478">
      <c r="A1478" s="8" t="s">
        <v>1177</v>
      </c>
      <c r="B1478" s="13" t="str">
        <f>HYPERLINK("https://shopee.co.id/Sulwhasoo-First-Care-Activating-Serum-60ml-i.274949344.5539205234", "https://shopee.co.id/Sulwhasoo-First-Care-Activating-Serum-60ml-i.274949344.5539205234")</f>
        <v>https://shopee.co.id/Sulwhasoo-First-Care-Activating-Serum-60ml-i.274949344.5539205234</v>
      </c>
      <c r="C1478" s="8" t="s">
        <v>282</v>
      </c>
      <c r="D1478" s="8" t="s">
        <v>283</v>
      </c>
      <c r="E1478" s="8" t="s">
        <v>12</v>
      </c>
      <c r="F1478" s="8" t="s">
        <v>13</v>
      </c>
      <c r="G1478" s="8" t="s">
        <v>61</v>
      </c>
      <c r="H1478" s="16">
        <v>11.0</v>
      </c>
      <c r="I1478" s="15" t="str">
        <f>SUBSTITUTE(Sheet1!K1478, "Rp", "")</f>
        <v>13460000</v>
      </c>
    </row>
    <row r="1479">
      <c r="A1479" s="8" t="s">
        <v>2535</v>
      </c>
      <c r="B1479" s="13" t="str">
        <f>HYPERLINK("https://shopee.co.id/Swissvita-Dark-Spot-Correcting-Serum-VitaBtech-Trial-Size-i.29252724.2596134104", "https://shopee.co.id/Swissvita-Dark-Spot-Correcting-Serum-VitaBtech-Trial-Size-i.29252724.2596134104")</f>
        <v>https://shopee.co.id/Swissvita-Dark-Spot-Correcting-Serum-VitaBtech-Trial-Size-i.29252724.2596134104</v>
      </c>
      <c r="C1479" s="8" t="s">
        <v>2536</v>
      </c>
      <c r="D1479" s="8" t="s">
        <v>2537</v>
      </c>
      <c r="E1479" s="8" t="s">
        <v>12</v>
      </c>
      <c r="F1479" s="8" t="s">
        <v>13</v>
      </c>
      <c r="G1479" s="8" t="s">
        <v>61</v>
      </c>
      <c r="H1479" s="16">
        <v>11.0</v>
      </c>
      <c r="I1479" s="15" t="str">
        <f>SUBSTITUTE(Sheet1!K1479, "Rp", "")</f>
        <v>1618800</v>
      </c>
    </row>
    <row r="1480">
      <c r="A1480" s="8" t="s">
        <v>2709</v>
      </c>
      <c r="B1480" s="13" t="str">
        <f>HYPERLINK("https://shopee.co.id/THE-AUBREE-Brightening-Serum-Concentrate-30ml-i.270965687.9911070673", "https://shopee.co.id/THE-AUBREE-Brightening-Serum-Concentrate-30ml-i.270965687.9911070673")</f>
        <v>https://shopee.co.id/THE-AUBREE-Brightening-Serum-Concentrate-30ml-i.270965687.9911070673</v>
      </c>
      <c r="C1480" s="8" t="s">
        <v>772</v>
      </c>
      <c r="D1480" s="8" t="s">
        <v>379</v>
      </c>
      <c r="E1480" s="8" t="s">
        <v>12</v>
      </c>
      <c r="F1480" s="8" t="s">
        <v>13</v>
      </c>
      <c r="G1480" s="8" t="s">
        <v>380</v>
      </c>
      <c r="H1480" s="16">
        <v>11.0</v>
      </c>
      <c r="I1480" s="15" t="str">
        <f>SUBSTITUTE(Sheet1!K1480, "Rp", "")</f>
        <v>1206150</v>
      </c>
    </row>
    <row r="1481">
      <c r="A1481" s="8" t="s">
        <v>1587</v>
      </c>
      <c r="B1481" s="13" t="str">
        <f>HYPERLINK("https://shopee.co.id/The-Body-Shop-Roots-Of-Strength-Firming-Serum-30ml-i.28053737.966363290", "https://shopee.co.id/The-Body-Shop-Roots-Of-Strength-Firming-Serum-30ml-i.28053737.966363290")</f>
        <v>https://shopee.co.id/The-Body-Shop-Roots-Of-Strength-Firming-Serum-30ml-i.28053737.966363290</v>
      </c>
      <c r="C1481" s="8" t="s">
        <v>221</v>
      </c>
      <c r="D1481" s="8" t="s">
        <v>222</v>
      </c>
      <c r="E1481" s="8" t="s">
        <v>12</v>
      </c>
      <c r="F1481" s="8" t="s">
        <v>13</v>
      </c>
      <c r="G1481" s="8" t="s">
        <v>80</v>
      </c>
      <c r="H1481" s="16">
        <v>11.0</v>
      </c>
      <c r="I1481" s="15" t="str">
        <f>SUBSTITUTE(Sheet1!K1481, "Rp", "")</f>
        <v>6589000</v>
      </c>
    </row>
    <row r="1482">
      <c r="A1482" s="8" t="s">
        <v>2606</v>
      </c>
      <c r="B1482" s="13" t="str">
        <f>HYPERLINK("https://shopee.co.id/Tuesbelle-SOMETHINC-Hyaluronic9-advance-B5-Serum-Hyaluronic-B5-20ml-40ml-i.36872574.2685862319", "https://shopee.co.id/Tuesbelle-SOMETHINC-Hyaluronic9-advance-B5-Serum-Hyaluronic-B5-20ml-40ml-i.36872574.2685862319")</f>
        <v>https://shopee.co.id/Tuesbelle-SOMETHINC-Hyaluronic9-advance-B5-Serum-Hyaluronic-B5-20ml-40ml-i.36872574.2685862319</v>
      </c>
      <c r="C1482" s="8" t="s">
        <v>45</v>
      </c>
      <c r="D1482" s="8" t="s">
        <v>969</v>
      </c>
      <c r="E1482" s="8" t="s">
        <v>12</v>
      </c>
      <c r="F1482" s="8" t="s">
        <v>13</v>
      </c>
      <c r="G1482" s="8" t="s">
        <v>115</v>
      </c>
      <c r="H1482" s="16">
        <v>11.0</v>
      </c>
      <c r="I1482" s="15" t="str">
        <f>SUBSTITUTE(Sheet1!K1482, "Rp", "")</f>
        <v>1437500</v>
      </c>
    </row>
    <row r="1483">
      <c r="A1483" s="8" t="s">
        <v>3491</v>
      </c>
      <c r="B1483" s="13" t="str">
        <f>HYPERLINK("https://shopee.co.id/Vaseline-Healthy-Bright-Vitamin-Gel-Serum-Fresh-Glow-180-mL-i.65323877.5394509638", "https://shopee.co.id/Vaseline-Healthy-Bright-Vitamin-Gel-Serum-Fresh-Glow-180-mL-i.65323877.5394509638")</f>
        <v>https://shopee.co.id/Vaseline-Healthy-Bright-Vitamin-Gel-Serum-Fresh-Glow-180-mL-i.65323877.5394509638</v>
      </c>
      <c r="C1483" s="8" t="s">
        <v>883</v>
      </c>
      <c r="D1483" s="8" t="s">
        <v>1600</v>
      </c>
      <c r="E1483" s="8" t="s">
        <v>12</v>
      </c>
      <c r="F1483" s="8" t="s">
        <v>13</v>
      </c>
      <c r="G1483" s="8" t="s">
        <v>296</v>
      </c>
      <c r="H1483" s="16">
        <v>11.0</v>
      </c>
      <c r="I1483" s="15" t="str">
        <f>SUBSTITUTE(Sheet1!K1483, "Rp", "")</f>
        <v>291900</v>
      </c>
    </row>
    <row r="1484">
      <c r="A1484" s="8" t="s">
        <v>3004</v>
      </c>
      <c r="B1484" s="13" t="str">
        <f>HYPERLINK("https://shopee.co.id/Wardah-C-Defense-Serum-17-ml-i.24819895.5210206940", "https://shopee.co.id/Wardah-C-Defense-Serum-17-ml-i.24819895.5210206940")</f>
        <v>https://shopee.co.id/Wardah-C-Defense-Serum-17-ml-i.24819895.5210206940</v>
      </c>
      <c r="C1484" s="8" t="s">
        <v>169</v>
      </c>
      <c r="D1484" s="8" t="s">
        <v>2491</v>
      </c>
      <c r="E1484" s="8" t="s">
        <v>12</v>
      </c>
      <c r="F1484" s="8" t="s">
        <v>13</v>
      </c>
      <c r="G1484" s="8" t="s">
        <v>1085</v>
      </c>
      <c r="H1484" s="16">
        <v>11.0</v>
      </c>
      <c r="I1484" s="15" t="str">
        <f>SUBSTITUTE(Sheet1!K1484, "Rp", "")</f>
        <v>742500</v>
      </c>
    </row>
    <row r="1485">
      <c r="A1485" s="8" t="s">
        <v>2808</v>
      </c>
      <c r="B1485" s="13" t="str">
        <f>HYPERLINK("https://shopee.co.id/Whitelab-Granactive-Retinoid-Intensive-Care-Serum-15ml-i.136011044.8027975736", "https://shopee.co.id/Whitelab-Granactive-Retinoid-Intensive-Care-Serum-15ml-i.136011044.8027975736")</f>
        <v>https://shopee.co.id/Whitelab-Granactive-Retinoid-Intensive-Care-Serum-15ml-i.136011044.8027975736</v>
      </c>
      <c r="C1485" s="8" t="s">
        <v>59</v>
      </c>
      <c r="D1485" s="8" t="s">
        <v>632</v>
      </c>
      <c r="E1485" s="8" t="s">
        <v>12</v>
      </c>
      <c r="F1485" s="8" t="s">
        <v>13</v>
      </c>
      <c r="G1485" s="8" t="s">
        <v>21</v>
      </c>
      <c r="H1485" s="16">
        <v>11.0</v>
      </c>
      <c r="I1485" s="15" t="str">
        <f>SUBSTITUTE(Sheet1!K1485, "Rp", "")</f>
        <v>1045000</v>
      </c>
    </row>
    <row r="1486">
      <c r="A1486" s="8" t="s">
        <v>3033</v>
      </c>
      <c r="B1486" s="13" t="str">
        <f>HYPERLINK("https://shopee.co.id/Whitelab-Hydrating-Face-Essence-60-mL-i.65323877.11619054572", "https://shopee.co.id/Whitelab-Hydrating-Face-Essence-60-mL-i.65323877.11619054572")</f>
        <v>https://shopee.co.id/Whitelab-Hydrating-Face-Essence-60-mL-i.65323877.11619054572</v>
      </c>
      <c r="C1486" s="8" t="s">
        <v>59</v>
      </c>
      <c r="D1486" s="8" t="s">
        <v>1600</v>
      </c>
      <c r="E1486" s="8" t="s">
        <v>12</v>
      </c>
      <c r="F1486" s="8" t="s">
        <v>13</v>
      </c>
      <c r="G1486" s="8" t="s">
        <v>296</v>
      </c>
      <c r="H1486" s="16">
        <v>11.0</v>
      </c>
      <c r="I1486" s="15" t="str">
        <f>SUBSTITUTE(Sheet1!K1486, "Rp", "")</f>
        <v>695700</v>
      </c>
    </row>
    <row r="1487">
      <c r="A1487" s="8" t="s">
        <v>3321</v>
      </c>
      <c r="B1487" s="13" t="str">
        <f>HYPERLINK("https://shopee.co.id/Yoqueen-Beauty-Essence-60ml-Free-Yogurt-Mask-100ml-i.48380572.8487030254", "https://shopee.co.id/Yoqueen-Beauty-Essence-60ml-Free-Yogurt-Mask-100ml-i.48380572.8487030254")</f>
        <v>https://shopee.co.id/Yoqueen-Beauty-Essence-60ml-Free-Yogurt-Mask-100ml-i.48380572.8487030254</v>
      </c>
      <c r="C1487" s="8" t="s">
        <v>3103</v>
      </c>
      <c r="D1487" s="8" t="s">
        <v>2119</v>
      </c>
      <c r="E1487" s="8" t="s">
        <v>12</v>
      </c>
      <c r="F1487" s="8" t="s">
        <v>13</v>
      </c>
      <c r="G1487" s="8" t="s">
        <v>2120</v>
      </c>
      <c r="H1487" s="16">
        <v>11.0</v>
      </c>
      <c r="I1487" s="15" t="str">
        <f>SUBSTITUTE(Sheet1!K1487, "Rp", "")</f>
        <v>410000</v>
      </c>
    </row>
    <row r="1488">
      <c r="A1488" s="8" t="s">
        <v>3107</v>
      </c>
      <c r="B1488" s="13" t="str">
        <f>HYPERLINK("https://shopee.co.id/Scarlett-Whitening-Acne-to-Glow-Mini-Series-i.50948181.11924381101", "https://shopee.co.id/Scarlett-Whitening-Acne-to-Glow-Mini-Series-i.50948181.11924381101")</f>
        <v>https://shopee.co.id/Scarlett-Whitening-Acne-to-Glow-Mini-Series-i.50948181.11924381101</v>
      </c>
      <c r="C1488" s="8" t="s">
        <v>19</v>
      </c>
      <c r="D1488" s="8" t="s">
        <v>1129</v>
      </c>
      <c r="E1488" s="8" t="s">
        <v>12</v>
      </c>
      <c r="F1488" s="8" t="s">
        <v>13</v>
      </c>
      <c r="G1488" s="8" t="s">
        <v>1130</v>
      </c>
      <c r="H1488" s="16">
        <v>10.0</v>
      </c>
      <c r="I1488" s="15" t="str">
        <f>SUBSTITUTE(Sheet1!K1488, "Rp", "")</f>
        <v>618792</v>
      </c>
    </row>
    <row r="1489">
      <c r="A1489" s="8" t="s">
        <v>1804</v>
      </c>
      <c r="B1489" s="13" t="str">
        <f>HYPERLINK("https://shopee.co.id/-innisfree-Wrinkle-Science-Spot-Treatment-40ML-i.61504589.7104074626", "https://shopee.co.id/-innisfree-Wrinkle-Science-Spot-Treatment-40ML-i.61504589.7104074626")</f>
        <v>https://shopee.co.id/-innisfree-Wrinkle-Science-Spot-Treatment-40ML-i.61504589.7104074626</v>
      </c>
      <c r="C1489" s="8" t="s">
        <v>294</v>
      </c>
      <c r="D1489" s="8" t="s">
        <v>295</v>
      </c>
      <c r="E1489" s="8" t="s">
        <v>12</v>
      </c>
      <c r="F1489" s="8" t="s">
        <v>13</v>
      </c>
      <c r="G1489" s="8" t="s">
        <v>296</v>
      </c>
      <c r="H1489" s="16">
        <v>10.0</v>
      </c>
      <c r="I1489" s="15" t="str">
        <f>SUBSTITUTE(Sheet1!K1489, "Rp", "")</f>
        <v>4648000</v>
      </c>
    </row>
    <row r="1490">
      <c r="A1490" s="8" t="s">
        <v>933</v>
      </c>
      <c r="B1490" s="13" t="str">
        <f>HYPERLINK("https://shopee.co.id/Ultimune-Power-Infusing-Concentrate-Serum-3-0-75ml-i.345419471.8882549713", "https://shopee.co.id/Ultimune-Power-Infusing-Concentrate-Serum-3-0-75ml-i.345419471.8882549713")</f>
        <v>https://shopee.co.id/Ultimune-Power-Infusing-Concentrate-Serum-3-0-75ml-i.345419471.8882549713</v>
      </c>
      <c r="C1490" s="8" t="s">
        <v>868</v>
      </c>
      <c r="D1490" s="8" t="s">
        <v>869</v>
      </c>
      <c r="E1490" s="8" t="s">
        <v>12</v>
      </c>
      <c r="F1490" s="8" t="s">
        <v>13</v>
      </c>
      <c r="G1490" s="8" t="s">
        <v>130</v>
      </c>
      <c r="H1490" s="16">
        <v>10.0</v>
      </c>
      <c r="I1490" s="15" t="str">
        <f>SUBSTITUTE(Sheet1!K1490, "Rp", "")</f>
        <v>22000000</v>
      </c>
    </row>
    <row r="1491">
      <c r="A1491" s="8" t="s">
        <v>3469</v>
      </c>
      <c r="B1491" s="13" t="str">
        <f>HYPERLINK("https://shopee.co.id/Azarine-Anti-Acne-Brightening-Serum-20ml-i.825870.8205672762", "https://shopee.co.id/Azarine-Anti-Acne-Brightening-Serum-20ml-i.825870.8205672762")</f>
        <v>https://shopee.co.id/Azarine-Anti-Acne-Brightening-Serum-20ml-i.825870.8205672762</v>
      </c>
      <c r="C1491" s="8" t="s">
        <v>233</v>
      </c>
      <c r="D1491" s="8" t="s">
        <v>1184</v>
      </c>
      <c r="E1491" s="8" t="s">
        <v>12</v>
      </c>
      <c r="F1491" s="8" t="s">
        <v>13</v>
      </c>
      <c r="G1491" s="8" t="s">
        <v>21</v>
      </c>
      <c r="H1491" s="16">
        <v>10.0</v>
      </c>
      <c r="I1491" s="15" t="str">
        <f>SUBSTITUTE(Sheet1!K1491, "Rp", "")</f>
        <v>300000</v>
      </c>
    </row>
    <row r="1492">
      <c r="A1492" s="8" t="s">
        <v>2435</v>
      </c>
      <c r="B1492" s="13" t="str">
        <f>HYPERLINK("https://shopee.co.id/Azarine-Aqua-Essence-Sun-Shield-Serum-SPF-50-PA-100ml-i.136011044.10807189765", "https://shopee.co.id/Azarine-Aqua-Essence-Sun-Shield-Serum-SPF-50-PA-100ml-i.136011044.10807189765")</f>
        <v>https://shopee.co.id/Azarine-Aqua-Essence-Sun-Shield-Serum-SPF-50-PA-100ml-i.136011044.10807189765</v>
      </c>
      <c r="C1492" s="8" t="s">
        <v>233</v>
      </c>
      <c r="D1492" s="8" t="s">
        <v>632</v>
      </c>
      <c r="E1492" s="8" t="s">
        <v>12</v>
      </c>
      <c r="F1492" s="8" t="s">
        <v>13</v>
      </c>
      <c r="G1492" s="8" t="s">
        <v>21</v>
      </c>
      <c r="H1492" s="16">
        <v>10.0</v>
      </c>
      <c r="I1492" s="15" t="str">
        <f>SUBSTITUTE(Sheet1!K1492, "Rp", "")</f>
        <v>980000</v>
      </c>
    </row>
    <row r="1493">
      <c r="A1493" s="8" t="s">
        <v>3247</v>
      </c>
      <c r="B1493" s="13" t="str">
        <f>HYPERLINK("https://shopee.co.id/Azarine-Lightening-Serum-C-White-20-mL-i.65323877.9079230436", "https://shopee.co.id/Azarine-Lightening-Serum-C-White-20-mL-i.65323877.9079230436")</f>
        <v>https://shopee.co.id/Azarine-Lightening-Serum-C-White-20-mL-i.65323877.9079230436</v>
      </c>
      <c r="C1493" s="8" t="s">
        <v>233</v>
      </c>
      <c r="D1493" s="8" t="s">
        <v>1600</v>
      </c>
      <c r="E1493" s="8" t="s">
        <v>12</v>
      </c>
      <c r="F1493" s="8" t="s">
        <v>13</v>
      </c>
      <c r="G1493" s="8" t="s">
        <v>296</v>
      </c>
      <c r="H1493" s="16">
        <v>10.0</v>
      </c>
      <c r="I1493" s="15" t="str">
        <f>SUBSTITUTE(Sheet1!K1493, "Rp", "")</f>
        <v>484600</v>
      </c>
    </row>
    <row r="1494">
      <c r="A1494" s="8" t="s">
        <v>2750</v>
      </c>
      <c r="B1494" s="13" t="str">
        <f>HYPERLINK("https://shopee.co.id/Beautybarme-The-Ordinary-Niacinamide-10-Zinc-1-30Ml-Original-i.28781862.3620109574", "https://shopee.co.id/Beautybarme-The-Ordinary-Niacinamide-10-Zinc-1-30Ml-Original-i.28781862.3620109574")</f>
        <v>https://shopee.co.id/Beautybarme-The-Ordinary-Niacinamide-10-Zinc-1-30Ml-Original-i.28781862.3620109574</v>
      </c>
      <c r="C1494" s="8" t="s">
        <v>1245</v>
      </c>
      <c r="D1494" s="8" t="s">
        <v>1189</v>
      </c>
      <c r="E1494" s="8" t="s">
        <v>12</v>
      </c>
      <c r="F1494" s="8" t="s">
        <v>13</v>
      </c>
      <c r="G1494" s="8" t="s">
        <v>1190</v>
      </c>
      <c r="H1494" s="16">
        <v>10.0</v>
      </c>
      <c r="I1494" s="15" t="str">
        <f>SUBSTITUTE(Sheet1!K1494, "Rp", "")</f>
        <v>1140000</v>
      </c>
    </row>
    <row r="1495">
      <c r="A1495" s="8" t="s">
        <v>2239</v>
      </c>
      <c r="B1495" s="13" t="str">
        <f>HYPERLINK("https://shopee.co.id/Bio-Essence-Bio-Water-Moist-In-Water-Gel-Cream-50gr-Perawatan-Wajah-i.63822287.4017936475", "https://shopee.co.id/Bio-Essence-Bio-Water-Moist-In-Water-Gel-Cream-50gr-Perawatan-Wajah-i.63822287.4017936475")</f>
        <v>https://shopee.co.id/Bio-Essence-Bio-Water-Moist-In-Water-Gel-Cream-50gr-Perawatan-Wajah-i.63822287.4017936475</v>
      </c>
      <c r="C1495" s="8" t="s">
        <v>2240</v>
      </c>
      <c r="D1495" s="8" t="s">
        <v>835</v>
      </c>
      <c r="E1495" s="8" t="s">
        <v>12</v>
      </c>
      <c r="F1495" s="8" t="s">
        <v>13</v>
      </c>
      <c r="G1495" s="8" t="s">
        <v>61</v>
      </c>
      <c r="H1495" s="16">
        <v>10.0</v>
      </c>
      <c r="I1495" s="15" t="str">
        <f>SUBSTITUTE(Sheet1!K1495, "Rp", "")</f>
        <v>2424400</v>
      </c>
    </row>
    <row r="1496">
      <c r="A1496" s="8" t="s">
        <v>1718</v>
      </c>
      <c r="B1496" s="13" t="str">
        <f>HYPERLINK("https://shopee.co.id/Bio-Essence-Bio-Gold-Day-Cream-SPF-25-40-gr-Bio-Essence-Bio-Gold-Night-Cream-40-gr-i.63822287.7761593167", "https://shopee.co.id/Bio-Essence-Bio-Gold-Day-Cream-SPF-25-40-gr-Bio-Essence-Bio-Gold-Night-Cream-40-gr-i.63822287.7761593167")</f>
        <v>https://shopee.co.id/Bio-Essence-Bio-Gold-Day-Cream-SPF-25-40-gr-Bio-Essence-Bio-Gold-Night-Cream-40-gr-i.63822287.7761593167</v>
      </c>
      <c r="C1496" s="8" t="s">
        <v>834</v>
      </c>
      <c r="D1496" s="8" t="s">
        <v>835</v>
      </c>
      <c r="E1496" s="8" t="s">
        <v>12</v>
      </c>
      <c r="F1496" s="8" t="s">
        <v>13</v>
      </c>
      <c r="G1496" s="8" t="s">
        <v>61</v>
      </c>
      <c r="H1496" s="16">
        <v>10.0</v>
      </c>
      <c r="I1496" s="15" t="str">
        <f>SUBSTITUTE(Sheet1!K1496, "Rp", "")</f>
        <v>5253400</v>
      </c>
    </row>
    <row r="1497">
      <c r="A1497" s="8" t="s">
        <v>1949</v>
      </c>
      <c r="B1497" s="13" t="str">
        <f>HYPERLINK("https://shopee.co.id/Bio-Essence-Bio-Gold-Golden-Ratio-Double-Serum-Radiant-Cleanser-100-gr-i.63822287.7332961005", "https://shopee.co.id/Bio-Essence-Bio-Gold-Golden-Ratio-Double-Serum-Radiant-Cleanser-100-gr-i.63822287.7332961005")</f>
        <v>https://shopee.co.id/Bio-Essence-Bio-Gold-Golden-Ratio-Double-Serum-Radiant-Cleanser-100-gr-i.63822287.7332961005</v>
      </c>
      <c r="C1497" s="8" t="s">
        <v>834</v>
      </c>
      <c r="D1497" s="8" t="s">
        <v>835</v>
      </c>
      <c r="E1497" s="8" t="s">
        <v>12</v>
      </c>
      <c r="F1497" s="8" t="s">
        <v>13</v>
      </c>
      <c r="G1497" s="8" t="s">
        <v>61</v>
      </c>
      <c r="H1497" s="16">
        <v>10.0</v>
      </c>
      <c r="I1497" s="15" t="str">
        <f>SUBSTITUTE(Sheet1!K1497, "Rp", "")</f>
        <v>3721300</v>
      </c>
    </row>
    <row r="1498">
      <c r="A1498" s="8" t="s">
        <v>2585</v>
      </c>
      <c r="B1498" s="13" t="str">
        <f>HYPERLINK("https://shopee.co.id/Calendula-Glow-Serum-Velrose-Secret-i.101584557.7805883149", "https://shopee.co.id/Calendula-Glow-Serum-Velrose-Secret-i.101584557.7805883149")</f>
        <v>https://shopee.co.id/Calendula-Glow-Serum-Velrose-Secret-i.101584557.7805883149</v>
      </c>
      <c r="C1498" s="8" t="s">
        <v>2586</v>
      </c>
      <c r="D1498" s="8" t="s">
        <v>2587</v>
      </c>
      <c r="E1498" s="8" t="s">
        <v>12</v>
      </c>
      <c r="F1498" s="8" t="s">
        <v>13</v>
      </c>
      <c r="G1498" s="8" t="s">
        <v>469</v>
      </c>
      <c r="H1498" s="16">
        <v>10.0</v>
      </c>
      <c r="I1498" s="15" t="str">
        <f>SUBSTITUTE(Sheet1!K1498, "Rp", "")</f>
        <v>1500000</v>
      </c>
    </row>
    <row r="1499">
      <c r="A1499" s="8" t="s">
        <v>2590</v>
      </c>
      <c r="B1499" s="13" t="str">
        <f>HYPERLINK("https://shopee.co.id/Click-House-Acne-Care-Serum-i.130532371.6009529540", "https://shopee.co.id/Click-House-Acne-Care-Serum-i.130532371.6009529540")</f>
        <v>https://shopee.co.id/Click-House-Acne-Care-Serum-i.130532371.6009529540</v>
      </c>
      <c r="C1499" s="8" t="s">
        <v>2021</v>
      </c>
      <c r="D1499" s="8" t="s">
        <v>2022</v>
      </c>
      <c r="E1499" s="8" t="s">
        <v>12</v>
      </c>
      <c r="F1499" s="8" t="s">
        <v>13</v>
      </c>
      <c r="G1499" s="8" t="s">
        <v>98</v>
      </c>
      <c r="H1499" s="16">
        <v>10.0</v>
      </c>
      <c r="I1499" s="15" t="str">
        <f>SUBSTITUTE(Sheet1!K1499, "Rp", "")</f>
        <v>1490000</v>
      </c>
    </row>
    <row r="1500">
      <c r="A1500" s="8" t="s">
        <v>2194</v>
      </c>
      <c r="B1500" s="13" t="str">
        <f>HYPERLINK("https://shopee.co.id/CLINELLE-WhitenUp-Brightening-Serum-20-ml-Face-Serum-Wajah-i.173963911.6000741637", "https://shopee.co.id/CLINELLE-WhitenUp-Brightening-Serum-20-ml-Face-Serum-Wajah-i.173963911.6000741637")</f>
        <v>https://shopee.co.id/CLINELLE-WhitenUp-Brightening-Serum-20-ml-Face-Serum-Wajah-i.173963911.6000741637</v>
      </c>
      <c r="C1500" s="8" t="s">
        <v>1456</v>
      </c>
      <c r="D1500" s="8" t="s">
        <v>1457</v>
      </c>
      <c r="E1500" s="8" t="s">
        <v>12</v>
      </c>
      <c r="F1500" s="8" t="s">
        <v>13</v>
      </c>
      <c r="G1500" s="8" t="s">
        <v>21</v>
      </c>
      <c r="H1500" s="16">
        <v>10.0</v>
      </c>
      <c r="I1500" s="15" t="str">
        <f>SUBSTITUTE(Sheet1!K1500, "Rp", "")</f>
        <v>2571400</v>
      </c>
    </row>
    <row r="1501">
      <c r="A1501" s="8" t="s">
        <v>1973</v>
      </c>
      <c r="B1501" s="13" t="str">
        <f>HYPERLINK("https://shopee.co.id/Combo-Retinol-Cream-with-Brightening-Essence-i.46300234.8619749473", "https://shopee.co.id/Combo-Retinol-Cream-with-Brightening-Essence-i.46300234.8619749473")</f>
        <v>https://shopee.co.id/Combo-Retinol-Cream-with-Brightening-Essence-i.46300234.8619749473</v>
      </c>
      <c r="C1501" s="8" t="s">
        <v>1974</v>
      </c>
      <c r="D1501" s="8" t="s">
        <v>472</v>
      </c>
      <c r="E1501" s="8" t="s">
        <v>12</v>
      </c>
      <c r="F1501" s="8" t="s">
        <v>13</v>
      </c>
      <c r="G1501" s="8" t="s">
        <v>98</v>
      </c>
      <c r="H1501" s="16">
        <v>10.0</v>
      </c>
      <c r="I1501" s="15" t="str">
        <f>SUBSTITUTE(Sheet1!K1501, "Rp", "")</f>
        <v>3581100</v>
      </c>
    </row>
    <row r="1502">
      <c r="A1502" s="8" t="s">
        <v>2397</v>
      </c>
      <c r="B1502" s="13" t="str">
        <f>HYPERLINK("https://shopee.co.id/COSRX-Galactomyces-95-Tone-Balancing-Essence-100ml-i.270965687.6636911704", "https://shopee.co.id/COSRX-Galactomyces-95-Tone-Balancing-Essence-100ml-i.270965687.6636911704")</f>
        <v>https://shopee.co.id/COSRX-Galactomyces-95-Tone-Balancing-Essence-100ml-i.270965687.6636911704</v>
      </c>
      <c r="C1502" s="8" t="s">
        <v>305</v>
      </c>
      <c r="D1502" s="8" t="s">
        <v>379</v>
      </c>
      <c r="E1502" s="8" t="s">
        <v>12</v>
      </c>
      <c r="F1502" s="8" t="s">
        <v>13</v>
      </c>
      <c r="G1502" s="8" t="s">
        <v>380</v>
      </c>
      <c r="H1502" s="16">
        <v>10.0</v>
      </c>
      <c r="I1502" s="15" t="str">
        <f>SUBSTITUTE(Sheet1!K1502, "Rp", "")</f>
        <v>1960000</v>
      </c>
    </row>
    <row r="1503">
      <c r="A1503" s="8" t="s">
        <v>2970</v>
      </c>
      <c r="B1503" s="13" t="str">
        <f>HYPERLINK("https://shopee.co.id/Crushlicious-Niacinamide-Glow-Up-Serum-Oatmask-i.4184162.4590157589", "https://shopee.co.id/Crushlicious-Niacinamide-Glow-Up-Serum-Oatmask-i.4184162.4590157589")</f>
        <v>https://shopee.co.id/Crushlicious-Niacinamide-Glow-Up-Serum-Oatmask-i.4184162.4590157589</v>
      </c>
      <c r="C1503" s="8" t="s">
        <v>1619</v>
      </c>
      <c r="D1503" s="8" t="s">
        <v>1620</v>
      </c>
      <c r="E1503" s="8" t="s">
        <v>12</v>
      </c>
      <c r="F1503" s="8" t="s">
        <v>13</v>
      </c>
      <c r="G1503" s="8" t="s">
        <v>1621</v>
      </c>
      <c r="H1503" s="16">
        <v>10.0</v>
      </c>
      <c r="I1503" s="15" t="str">
        <f>SUBSTITUTE(Sheet1!K1503, "Rp", "")</f>
        <v>807500</v>
      </c>
    </row>
    <row r="1504">
      <c r="A1504" s="8" t="s">
        <v>2744</v>
      </c>
      <c r="B1504" s="13" t="str">
        <f>HYPERLINK("https://shopee.co.id/Daffania-Skincare-Serum-Oily-Acne-Skin-20-Ml-i.378849141.8812860875", "https://shopee.co.id/Daffania-Skincare-Serum-Oily-Acne-Skin-20-Ml-i.378849141.8812860875")</f>
        <v>https://shopee.co.id/Daffania-Skincare-Serum-Oily-Acne-Skin-20-Ml-i.378849141.8812860875</v>
      </c>
      <c r="C1504" s="8" t="s">
        <v>2745</v>
      </c>
      <c r="D1504" s="8" t="s">
        <v>2746</v>
      </c>
      <c r="E1504" s="8" t="s">
        <v>12</v>
      </c>
      <c r="F1504" s="8" t="s">
        <v>13</v>
      </c>
      <c r="G1504" s="8" t="s">
        <v>80</v>
      </c>
      <c r="H1504" s="16">
        <v>10.0</v>
      </c>
      <c r="I1504" s="15" t="str">
        <f>SUBSTITUTE(Sheet1!K1504, "Rp", "")</f>
        <v>1156000</v>
      </c>
    </row>
    <row r="1505">
      <c r="A1505" s="8" t="s">
        <v>3117</v>
      </c>
      <c r="B1505" s="13" t="str">
        <f>HYPERLINK("https://shopee.co.id/DR-Tisha-Sachet-TISHA-AC7-SPOT-SERUM-Sachet-3pc-1g--i.68111.1885568739", "https://shopee.co.id/DR-Tisha-Sachet-TISHA-AC7-SPOT-SERUM-Sachet-3pc-1g--i.68111.1885568739")</f>
        <v>https://shopee.co.id/DR-Tisha-Sachet-TISHA-AC7-SPOT-SERUM-Sachet-3pc-1g--i.68111.1885568739</v>
      </c>
      <c r="C1505" s="8" t="s">
        <v>3025</v>
      </c>
      <c r="D1505" s="8" t="s">
        <v>441</v>
      </c>
      <c r="E1505" s="8" t="s">
        <v>12</v>
      </c>
      <c r="F1505" s="8" t="s">
        <v>13</v>
      </c>
      <c r="G1505" s="8" t="s">
        <v>130</v>
      </c>
      <c r="H1505" s="16">
        <v>10.0</v>
      </c>
      <c r="I1505" s="15" t="str">
        <f>SUBSTITUTE(Sheet1!K1505, "Rp", "")</f>
        <v>600000</v>
      </c>
    </row>
    <row r="1506">
      <c r="A1506" s="8" t="s">
        <v>2365</v>
      </c>
      <c r="B1506" s="13" t="str">
        <f>HYPERLINK("https://shopee.co.id/ERHA-Truwhite-Active-Glow-Booster-15ML-Brightening-Booster-i.187117294.11112242923", "https://shopee.co.id/ERHA-Truwhite-Active-Glow-Booster-15ML-Brightening-Booster-i.187117294.11112242923")</f>
        <v>https://shopee.co.id/ERHA-Truwhite-Active-Glow-Booster-15ML-Brightening-Booster-i.187117294.11112242923</v>
      </c>
      <c r="C1506" s="8" t="s">
        <v>181</v>
      </c>
      <c r="D1506" s="8" t="s">
        <v>2366</v>
      </c>
      <c r="E1506" s="8" t="s">
        <v>12</v>
      </c>
      <c r="F1506" s="8" t="s">
        <v>13</v>
      </c>
      <c r="G1506" s="8" t="s">
        <v>469</v>
      </c>
      <c r="H1506" s="16">
        <v>10.0</v>
      </c>
      <c r="I1506" s="15" t="str">
        <f>SUBSTITUTE(Sheet1!K1506, "Rp", "")</f>
        <v>2060000</v>
      </c>
    </row>
    <row r="1507">
      <c r="A1507" s="8" t="s">
        <v>2578</v>
      </c>
      <c r="B1507" s="13" t="str">
        <f>HYPERLINK("https://shopee.co.id/FABIL-Plumping-Skin-Bright-Serum-20ml-i.3990192.5341597100", "https://shopee.co.id/FABIL-Plumping-Skin-Bright-Serum-20ml-i.3990192.5341597100")</f>
        <v>https://shopee.co.id/FABIL-Plumping-Skin-Bright-Serum-20ml-i.3990192.5341597100</v>
      </c>
      <c r="C1507" s="8" t="s">
        <v>2579</v>
      </c>
      <c r="D1507" s="8" t="s">
        <v>2580</v>
      </c>
      <c r="E1507" s="8" t="s">
        <v>12</v>
      </c>
      <c r="F1507" s="8" t="s">
        <v>13</v>
      </c>
      <c r="G1507" s="8" t="s">
        <v>1085</v>
      </c>
      <c r="H1507" s="16">
        <v>10.0</v>
      </c>
      <c r="I1507" s="15" t="str">
        <f>SUBSTITUTE(Sheet1!K1507, "Rp", "")</f>
        <v>1520000</v>
      </c>
    </row>
    <row r="1508">
      <c r="A1508" s="8" t="s">
        <v>3318</v>
      </c>
      <c r="B1508" s="13" t="str">
        <f>HYPERLINK("https://shopee.co.id/Fanbo-Skin-Goals-Bright-Glow-Serum-i.12057760.10739210911", "https://shopee.co.id/Fanbo-Skin-Goals-Bright-Glow-Serum-i.12057760.10739210911")</f>
        <v>https://shopee.co.id/Fanbo-Skin-Goals-Bright-Glow-Serum-i.12057760.10739210911</v>
      </c>
      <c r="C1508" s="8" t="s">
        <v>2376</v>
      </c>
      <c r="D1508" s="8" t="s">
        <v>2377</v>
      </c>
      <c r="E1508" s="8" t="s">
        <v>12</v>
      </c>
      <c r="F1508" s="8" t="s">
        <v>13</v>
      </c>
      <c r="G1508" s="8" t="s">
        <v>21</v>
      </c>
      <c r="H1508" s="16">
        <v>10.0</v>
      </c>
      <c r="I1508" s="15" t="str">
        <f>SUBSTITUTE(Sheet1!K1508, "Rp", "")</f>
        <v>420000</v>
      </c>
    </row>
    <row r="1509">
      <c r="A1509" s="8" t="s">
        <v>2552</v>
      </c>
      <c r="B1509" s="13" t="str">
        <f>HYPERLINK("https://shopee.co.id/Keyglow-ACNE-SERUM-i.125491027.5701950750", "https://shopee.co.id/Keyglow-ACNE-SERUM-i.125491027.5701950750")</f>
        <v>https://shopee.co.id/Keyglow-ACNE-SERUM-i.125491027.5701950750</v>
      </c>
      <c r="C1509" s="8" t="s">
        <v>2151</v>
      </c>
      <c r="D1509" s="8" t="s">
        <v>2152</v>
      </c>
      <c r="E1509" s="8" t="s">
        <v>12</v>
      </c>
      <c r="F1509" s="8" t="s">
        <v>13</v>
      </c>
      <c r="G1509" s="8" t="s">
        <v>98</v>
      </c>
      <c r="H1509" s="16">
        <v>10.0</v>
      </c>
      <c r="I1509" s="15" t="str">
        <f>SUBSTITUTE(Sheet1!K1509, "Rp", "")</f>
        <v>1575690</v>
      </c>
    </row>
    <row r="1510">
      <c r="A1510" s="8" t="s">
        <v>2976</v>
      </c>
      <c r="B1510" s="13" t="str">
        <f>HYPERLINK("https://shopee.co.id/KEZIA-Skincare-Dark-Spot-Serum-15ml-i.193506655.4204576406", "https://shopee.co.id/KEZIA-Skincare-Dark-Spot-Serum-15ml-i.193506655.4204576406")</f>
        <v>https://shopee.co.id/KEZIA-Skincare-Dark-Spot-Serum-15ml-i.193506655.4204576406</v>
      </c>
      <c r="C1510" s="8" t="s">
        <v>2762</v>
      </c>
      <c r="D1510" s="8" t="s">
        <v>2763</v>
      </c>
      <c r="E1510" s="8" t="s">
        <v>12</v>
      </c>
      <c r="F1510" s="8" t="s">
        <v>13</v>
      </c>
      <c r="G1510" s="8" t="s">
        <v>532</v>
      </c>
      <c r="H1510" s="16">
        <v>10.0</v>
      </c>
      <c r="I1510" s="15" t="str">
        <f>SUBSTITUTE(Sheet1!K1510, "Rp", "")</f>
        <v>795000</v>
      </c>
    </row>
    <row r="1511">
      <c r="A1511" s="8" t="s">
        <v>2861</v>
      </c>
      <c r="B1511" s="13" t="str">
        <f>HYPERLINK("https://shopee.co.id/KF-Skin-Serum-Acne-i.298365554.5361166118", "https://shopee.co.id/KF-Skin-Serum-Acne-i.298365554.5361166118")</f>
        <v>https://shopee.co.id/KF-Skin-Serum-Acne-i.298365554.5361166118</v>
      </c>
      <c r="C1511" s="8" t="s">
        <v>1290</v>
      </c>
      <c r="D1511" s="8" t="s">
        <v>1291</v>
      </c>
      <c r="E1511" s="8" t="s">
        <v>12</v>
      </c>
      <c r="F1511" s="8" t="s">
        <v>13</v>
      </c>
      <c r="G1511" s="8" t="s">
        <v>1292</v>
      </c>
      <c r="H1511" s="16">
        <v>10.0</v>
      </c>
      <c r="I1511" s="15" t="str">
        <f>SUBSTITUTE(Sheet1!K1511, "Rp", "")</f>
        <v>950000</v>
      </c>
    </row>
    <row r="1512">
      <c r="A1512" s="8" t="s">
        <v>2668</v>
      </c>
      <c r="B1512" s="13" t="str">
        <f>HYPERLINK("https://shopee.co.id/KLEVERU-Vitamin-C-10-Ferulic-Serum-15ml-i.270965687.10502997167", "https://shopee.co.id/KLEVERU-Vitamin-C-10-Ferulic-Serum-15ml-i.270965687.10502997167")</f>
        <v>https://shopee.co.id/KLEVERU-Vitamin-C-10-Ferulic-Serum-15ml-i.270965687.10502997167</v>
      </c>
      <c r="C1512" s="8" t="s">
        <v>2408</v>
      </c>
      <c r="D1512" s="8" t="s">
        <v>379</v>
      </c>
      <c r="E1512" s="8" t="s">
        <v>12</v>
      </c>
      <c r="F1512" s="8" t="s">
        <v>13</v>
      </c>
      <c r="G1512" s="8" t="s">
        <v>380</v>
      </c>
      <c r="H1512" s="16">
        <v>10.0</v>
      </c>
      <c r="I1512" s="15" t="str">
        <f>SUBSTITUTE(Sheet1!K1512, "Rp", "")</f>
        <v>1287000</v>
      </c>
    </row>
    <row r="1513">
      <c r="A1513" s="8" t="s">
        <v>3159</v>
      </c>
      <c r="B1513" s="13" t="str">
        <f>HYPERLINK("https://shopee.co.id/Lysca-Pure-Essence-Skin-Care-With-Korean-Golden-Bell-Extract-100ml-i.267190835.9015016128", "https://shopee.co.id/Lysca-Pure-Essence-Skin-Care-With-Korean-Golden-Bell-Extract-100ml-i.267190835.9015016128")</f>
        <v>https://shopee.co.id/Lysca-Pure-Essence-Skin-Care-With-Korean-Golden-Bell-Extract-100ml-i.267190835.9015016128</v>
      </c>
      <c r="C1513" s="8" t="s">
        <v>2097</v>
      </c>
      <c r="D1513" s="8" t="s">
        <v>2098</v>
      </c>
      <c r="E1513" s="8" t="s">
        <v>12</v>
      </c>
      <c r="F1513" s="8" t="s">
        <v>13</v>
      </c>
      <c r="G1513" s="8" t="s">
        <v>115</v>
      </c>
      <c r="H1513" s="16">
        <v>10.0</v>
      </c>
      <c r="I1513" s="15" t="str">
        <f>SUBSTITUTE(Sheet1!K1513, "Rp", "")</f>
        <v>558000</v>
      </c>
    </row>
    <row r="1514">
      <c r="A1514" s="8" t="s">
        <v>3144</v>
      </c>
      <c r="B1514" s="13" t="str">
        <f>HYPERLINK("https://shopee.co.id/Mireya-Anti-Blemish-Boost-Serum-Very-Berry-Acne-i.101578297.8985412623", "https://shopee.co.id/Mireya-Anti-Blemish-Boost-Serum-Very-Berry-Acne-i.101578297.8985412623")</f>
        <v>https://shopee.co.id/Mireya-Anti-Blemish-Boost-Serum-Very-Berry-Acne-i.101578297.8985412623</v>
      </c>
      <c r="C1514" s="8" t="s">
        <v>2430</v>
      </c>
      <c r="D1514" s="8" t="s">
        <v>2431</v>
      </c>
      <c r="E1514" s="8" t="s">
        <v>12</v>
      </c>
      <c r="F1514" s="8" t="s">
        <v>13</v>
      </c>
      <c r="G1514" s="8" t="s">
        <v>21</v>
      </c>
      <c r="H1514" s="16">
        <v>10.0</v>
      </c>
      <c r="I1514" s="15" t="str">
        <f>SUBSTITUTE(Sheet1!K1514, "Rp", "")</f>
        <v>573300</v>
      </c>
    </row>
    <row r="1515">
      <c r="A1515" s="8" t="s">
        <v>2469</v>
      </c>
      <c r="B1515" s="13" t="str">
        <f>HYPERLINK("https://shopee.co.id/MS-Glow-Whitening-Gold-Serum-Original-BPOM-Serum-Pemutih-Wajah-MS-Glow-Ampuh-Memutihkan-Wajah-i.287975332.11027895727", "https://shopee.co.id/MS-Glow-Whitening-Gold-Serum-Original-BPOM-Serum-Pemutih-Wajah-MS-Glow-Ampuh-Memutihkan-Wajah-i.287975332.11027895727")</f>
        <v>https://shopee.co.id/MS-Glow-Whitening-Gold-Serum-Original-BPOM-Serum-Pemutih-Wajah-MS-Glow-Ampuh-Memutihkan-Wajah-i.287975332.11027895727</v>
      </c>
      <c r="C1515" s="8" t="s">
        <v>96</v>
      </c>
      <c r="D1515" s="8" t="s">
        <v>349</v>
      </c>
      <c r="E1515" s="8" t="s">
        <v>12</v>
      </c>
      <c r="F1515" s="8" t="s">
        <v>13</v>
      </c>
      <c r="G1515" s="8" t="s">
        <v>350</v>
      </c>
      <c r="H1515" s="16">
        <v>10.0</v>
      </c>
      <c r="I1515" s="15" t="str">
        <f>SUBSTITUTE(Sheet1!K1515, "Rp", "")</f>
        <v>1775000</v>
      </c>
    </row>
    <row r="1516">
      <c r="A1516" s="8" t="s">
        <v>2850</v>
      </c>
      <c r="B1516" s="13" t="str">
        <f>HYPERLINK("https://shopee.co.id/MSBB-The-Aubree-Rose-Bloom-Petal-Essence-120ml-i.288588702.3579328303", "https://shopee.co.id/MSBB-The-Aubree-Rose-Bloom-Petal-Essence-120ml-i.288588702.3579328303")</f>
        <v>https://shopee.co.id/MSBB-The-Aubree-Rose-Bloom-Petal-Essence-120ml-i.288588702.3579328303</v>
      </c>
      <c r="C1516" s="8" t="s">
        <v>772</v>
      </c>
      <c r="D1516" s="8" t="s">
        <v>79</v>
      </c>
      <c r="E1516" s="8" t="s">
        <v>12</v>
      </c>
      <c r="F1516" s="8" t="s">
        <v>13</v>
      </c>
      <c r="G1516" s="8" t="s">
        <v>80</v>
      </c>
      <c r="H1516" s="16">
        <v>10.0</v>
      </c>
      <c r="I1516" s="15" t="str">
        <f>SUBSTITUTE(Sheet1!K1516, "Rp", "")</f>
        <v>964260</v>
      </c>
    </row>
    <row r="1517">
      <c r="A1517" s="8" t="s">
        <v>2357</v>
      </c>
      <c r="B1517" s="13" t="str">
        <f>HYPERLINK("https://shopee.co.id/NACIFIC-Pink-AHABHA-Serum-i.125116082.9215488784", "https://shopee.co.id/NACIFIC-Pink-AHABHA-Serum-i.125116082.9215488784")</f>
        <v>https://shopee.co.id/NACIFIC-Pink-AHABHA-Serum-i.125116082.9215488784</v>
      </c>
      <c r="C1517" s="8" t="s">
        <v>344</v>
      </c>
      <c r="D1517" s="8" t="s">
        <v>713</v>
      </c>
      <c r="E1517" s="8" t="s">
        <v>12</v>
      </c>
      <c r="F1517" s="8" t="s">
        <v>13</v>
      </c>
      <c r="G1517" s="8" t="s">
        <v>61</v>
      </c>
      <c r="H1517" s="16">
        <v>10.0</v>
      </c>
      <c r="I1517" s="15" t="str">
        <f>SUBSTITUTE(Sheet1!K1517, "Rp", "")</f>
        <v>2090400</v>
      </c>
    </row>
    <row r="1518">
      <c r="A1518" s="8" t="s">
        <v>2507</v>
      </c>
      <c r="B1518" s="13" t="str">
        <f>HYPERLINK("https://shopee.co.id/Nutrishe-Intensive-Bright-Glow-Serum-30ml-i.825870.5555175669", "https://shopee.co.id/Nutrishe-Intensive-Bright-Glow-Serum-30ml-i.825870.5555175669")</f>
        <v>https://shopee.co.id/Nutrishe-Intensive-Bright-Glow-Serum-30ml-i.825870.5555175669</v>
      </c>
      <c r="C1518" s="8" t="s">
        <v>195</v>
      </c>
      <c r="D1518" s="8" t="s">
        <v>1184</v>
      </c>
      <c r="E1518" s="8" t="s">
        <v>12</v>
      </c>
      <c r="F1518" s="8" t="s">
        <v>13</v>
      </c>
      <c r="G1518" s="8" t="s">
        <v>21</v>
      </c>
      <c r="H1518" s="16">
        <v>10.0</v>
      </c>
      <c r="I1518" s="15" t="str">
        <f>SUBSTITUTE(Sheet1!K1518, "Rp", "")</f>
        <v>1690000</v>
      </c>
    </row>
    <row r="1519">
      <c r="A1519" s="8" t="s">
        <v>1614</v>
      </c>
      <c r="B1519" s="13" t="str">
        <f>HYPERLINK("https://shopee.co.id/Pack-of-2-Votre-Peau-Skin-Care-Vitamin-C-Serum-Pour-Maharis-Clinic-30ml-i.46300234.6978288581", "https://shopee.co.id/Pack-of-2-Votre-Peau-Skin-Care-Vitamin-C-Serum-Pour-Maharis-Clinic-30ml-i.46300234.6978288581")</f>
        <v>https://shopee.co.id/Pack-of-2-Votre-Peau-Skin-Care-Vitamin-C-Serum-Pour-Maharis-Clinic-30ml-i.46300234.6978288581</v>
      </c>
      <c r="C1519" s="8" t="s">
        <v>999</v>
      </c>
      <c r="D1519" s="8" t="s">
        <v>472</v>
      </c>
      <c r="E1519" s="8" t="s">
        <v>12</v>
      </c>
      <c r="F1519" s="8" t="s">
        <v>13</v>
      </c>
      <c r="G1519" s="8" t="s">
        <v>98</v>
      </c>
      <c r="H1519" s="16">
        <v>10.0</v>
      </c>
      <c r="I1519" s="15" t="str">
        <f>SUBSTITUTE(Sheet1!K1519, "Rp", "")</f>
        <v>6232000</v>
      </c>
    </row>
    <row r="1520">
      <c r="A1520" s="8" t="s">
        <v>2466</v>
      </c>
      <c r="B1520" s="13" t="str">
        <f>HYPERLINK("https://shopee.co.id/Paket-Brightening-Niacinamide-10-AHA-BHA-PHA-Centella-Peeling--i.83349.10126079687", "https://shopee.co.id/Paket-Brightening-Niacinamide-10-AHA-BHA-PHA-Centella-Peeling--i.83349.10126079687")</f>
        <v>https://shopee.co.id/Paket-Brightening-Niacinamide-10-AHA-BHA-PHA-Centella-Peeling--i.83349.10126079687</v>
      </c>
      <c r="C1520" s="8" t="s">
        <v>2026</v>
      </c>
      <c r="D1520" s="8" t="s">
        <v>1833</v>
      </c>
      <c r="E1520" s="8" t="s">
        <v>12</v>
      </c>
      <c r="F1520" s="8" t="s">
        <v>13</v>
      </c>
      <c r="G1520" s="8" t="s">
        <v>21</v>
      </c>
      <c r="H1520" s="16">
        <v>10.0</v>
      </c>
      <c r="I1520" s="15" t="str">
        <f>SUBSTITUTE(Sheet1!K1520, "Rp", "")</f>
        <v>1790000</v>
      </c>
    </row>
    <row r="1521">
      <c r="A1521" s="8" t="s">
        <v>3148</v>
      </c>
      <c r="B1521" s="13" t="str">
        <f>HYPERLINK("https://shopee.co.id/Probeauty-Neck-Serum-Serum-Leher-Serum-Whitening-Anti-Aging-Untuk-Leher-i.9171679.3254639631", "https://shopee.co.id/Probeauty-Neck-Serum-Serum-Leher-Serum-Whitening-Anti-Aging-Untuk-Leher-i.9171679.3254639631")</f>
        <v>https://shopee.co.id/Probeauty-Neck-Serum-Serum-Leher-Serum-Whitening-Anti-Aging-Untuk-Leher-i.9171679.3254639631</v>
      </c>
      <c r="C1521" s="8" t="s">
        <v>2207</v>
      </c>
      <c r="D1521" s="8" t="s">
        <v>2208</v>
      </c>
      <c r="E1521" s="8" t="s">
        <v>12</v>
      </c>
      <c r="F1521" s="8" t="s">
        <v>13</v>
      </c>
      <c r="G1521" s="8" t="s">
        <v>2209</v>
      </c>
      <c r="H1521" s="16">
        <v>10.0</v>
      </c>
      <c r="I1521" s="15" t="str">
        <f>SUBSTITUTE(Sheet1!K1521, "Rp", "")</f>
        <v>567000</v>
      </c>
    </row>
    <row r="1522">
      <c r="A1522" s="8" t="s">
        <v>3041</v>
      </c>
      <c r="B1522" s="13" t="str">
        <f>HYPERLINK("https://shopee.co.id/Probeauty-Serum-New-Skin-Repair-Serum-Serum-Bopeng-i.9171679.1377607732", "https://shopee.co.id/Probeauty-Serum-New-Skin-Repair-Serum-Serum-Bopeng-i.9171679.1377607732")</f>
        <v>https://shopee.co.id/Probeauty-Serum-New-Skin-Repair-Serum-Serum-Bopeng-i.9171679.1377607732</v>
      </c>
      <c r="C1522" s="8" t="s">
        <v>2207</v>
      </c>
      <c r="D1522" s="8" t="s">
        <v>2208</v>
      </c>
      <c r="E1522" s="8" t="s">
        <v>12</v>
      </c>
      <c r="F1522" s="8" t="s">
        <v>13</v>
      </c>
      <c r="G1522" s="8" t="s">
        <v>2209</v>
      </c>
      <c r="H1522" s="16">
        <v>10.0</v>
      </c>
      <c r="I1522" s="15" t="str">
        <f>SUBSTITUTE(Sheet1!K1522, "Rp", "")</f>
        <v>687324</v>
      </c>
    </row>
    <row r="1523">
      <c r="A1523" s="8" t="s">
        <v>3665</v>
      </c>
      <c r="B1523" s="13" t="str">
        <f>HYPERLINK("https://shopee.co.id/ROJUKISS-Orange-C-Bright-Pore-Care-Serum-8ml-i.270965687.9473016289", "https://shopee.co.id/ROJUKISS-Orange-C-Bright-Pore-Care-Serum-8ml-i.270965687.9473016289")</f>
        <v>https://shopee.co.id/ROJUKISS-Orange-C-Bright-Pore-Care-Serum-8ml-i.270965687.9473016289</v>
      </c>
      <c r="C1523" s="8" t="s">
        <v>1508</v>
      </c>
      <c r="D1523" s="8" t="s">
        <v>379</v>
      </c>
      <c r="E1523" s="8" t="s">
        <v>12</v>
      </c>
      <c r="F1523" s="8" t="s">
        <v>13</v>
      </c>
      <c r="G1523" s="8" t="s">
        <v>380</v>
      </c>
      <c r="H1523" s="16">
        <v>10.0</v>
      </c>
      <c r="I1523" s="15" t="str">
        <f>SUBSTITUTE(Sheet1!K1523, "Rp", "")</f>
        <v>195000</v>
      </c>
    </row>
    <row r="1524">
      <c r="A1524" s="8" t="s">
        <v>2771</v>
      </c>
      <c r="B1524" s="13" t="str">
        <f>HYPERLINK("https://shopee.co.id/Sarae-Clarifying-Whip-Cleanser-Glowing-Serum-with-CICA-i.20723335.10221689005", "https://shopee.co.id/Sarae-Clarifying-Whip-Cleanser-Glowing-Serum-with-CICA-i.20723335.10221689005")</f>
        <v>https://shopee.co.id/Sarae-Clarifying-Whip-Cleanser-Glowing-Serum-with-CICA-i.20723335.10221689005</v>
      </c>
      <c r="C1524" s="8" t="s">
        <v>2042</v>
      </c>
      <c r="D1524" s="8" t="s">
        <v>2043</v>
      </c>
      <c r="E1524" s="8" t="s">
        <v>12</v>
      </c>
      <c r="F1524" s="8" t="s">
        <v>13</v>
      </c>
      <c r="G1524" s="8" t="s">
        <v>241</v>
      </c>
      <c r="H1524" s="16">
        <v>10.0</v>
      </c>
      <c r="I1524" s="15" t="str">
        <f>SUBSTITUTE(Sheet1!K1524, "Rp", "")</f>
        <v>1105350</v>
      </c>
    </row>
    <row r="1525">
      <c r="A1525" s="8" t="s">
        <v>2059</v>
      </c>
      <c r="B1525" s="13" t="str">
        <f>HYPERLINK("https://shopee.co.id/SECA-Clarifying-Package-i.373749700.9077584462", "https://shopee.co.id/SECA-Clarifying-Package-i.373749700.9077584462")</f>
        <v>https://shopee.co.id/SECA-Clarifying-Package-i.373749700.9077584462</v>
      </c>
      <c r="C1525" s="8" t="s">
        <v>985</v>
      </c>
      <c r="D1525" s="8" t="s">
        <v>986</v>
      </c>
      <c r="E1525" s="8" t="s">
        <v>12</v>
      </c>
      <c r="F1525" s="8" t="s">
        <v>13</v>
      </c>
      <c r="G1525" s="8" t="s">
        <v>36</v>
      </c>
      <c r="H1525" s="16">
        <v>10.0</v>
      </c>
      <c r="I1525" s="15" t="str">
        <f>SUBSTITUTE(Sheet1!K1525, "Rp", "")</f>
        <v>3229600</v>
      </c>
    </row>
    <row r="1526">
      <c r="A1526" s="8" t="s">
        <v>2833</v>
      </c>
      <c r="B1526" s="13" t="str">
        <f>HYPERLINK("https://shopee.co.id/Serum-Caviar-Gold-Marwah-i.357101711.7789842608", "https://shopee.co.id/Serum-Caviar-Gold-Marwah-i.357101711.7789842608")</f>
        <v>https://shopee.co.id/Serum-Caviar-Gold-Marwah-i.357101711.7789842608</v>
      </c>
      <c r="C1526" s="8" t="s">
        <v>2249</v>
      </c>
      <c r="D1526" s="8" t="s">
        <v>2250</v>
      </c>
      <c r="E1526" s="8" t="s">
        <v>12</v>
      </c>
      <c r="F1526" s="8" t="s">
        <v>13</v>
      </c>
      <c r="G1526" s="8" t="s">
        <v>370</v>
      </c>
      <c r="H1526" s="16">
        <v>10.0</v>
      </c>
      <c r="I1526" s="15" t="str">
        <f>SUBSTITUTE(Sheet1!K1526, "Rp", "")</f>
        <v>1000000</v>
      </c>
    </row>
    <row r="1527">
      <c r="A1527" s="8" t="s">
        <v>2184</v>
      </c>
      <c r="B1527" s="13" t="str">
        <f>HYPERLINK("https://shopee.co.id/SOME-BY-MI-Super-Matcha-Pore-Tightening-Serum-i.125116082.9235519450", "https://shopee.co.id/SOME-BY-MI-Super-Matcha-Pore-Tightening-Serum-i.125116082.9235519450")</f>
        <v>https://shopee.co.id/SOME-BY-MI-Super-Matcha-Pore-Tightening-Serum-i.125116082.9235519450</v>
      </c>
      <c r="C1527" s="8" t="s">
        <v>213</v>
      </c>
      <c r="D1527" s="8" t="s">
        <v>713</v>
      </c>
      <c r="E1527" s="8" t="s">
        <v>12</v>
      </c>
      <c r="F1527" s="8" t="s">
        <v>13</v>
      </c>
      <c r="G1527" s="8" t="s">
        <v>61</v>
      </c>
      <c r="H1527" s="16">
        <v>10.0</v>
      </c>
      <c r="I1527" s="15" t="str">
        <f>SUBSTITUTE(Sheet1!K1527, "Rp", "")</f>
        <v>2591798</v>
      </c>
    </row>
    <row r="1528">
      <c r="A1528" s="8" t="s">
        <v>1070</v>
      </c>
      <c r="B1528" s="13" t="str">
        <f>HYPERLINK("https://shopee.co.id/Sulwhasoo-Concentrated-Ginseng-Renewing-Serum-30ml-i.274949344.7473404194", "https://shopee.co.id/Sulwhasoo-Concentrated-Ginseng-Renewing-Serum-30ml-i.274949344.7473404194")</f>
        <v>https://shopee.co.id/Sulwhasoo-Concentrated-Ginseng-Renewing-Serum-30ml-i.274949344.7473404194</v>
      </c>
      <c r="C1528" s="8" t="s">
        <v>282</v>
      </c>
      <c r="D1528" s="8" t="s">
        <v>283</v>
      </c>
      <c r="E1528" s="8" t="s">
        <v>12</v>
      </c>
      <c r="F1528" s="8" t="s">
        <v>13</v>
      </c>
      <c r="G1528" s="8" t="s">
        <v>61</v>
      </c>
      <c r="H1528" s="16">
        <v>10.0</v>
      </c>
      <c r="I1528" s="15" t="str">
        <f>SUBSTITUTE(Sheet1!K1528, "Rp", "")</f>
        <v>16320000</v>
      </c>
    </row>
    <row r="1529">
      <c r="A1529" s="8" t="s">
        <v>875</v>
      </c>
      <c r="B1529" s="13" t="str">
        <f>HYPERLINK("https://shopee.co.id/Sulwhasoo-Concentrated-Ginseng-Renewing-Serum-50ml-i.274949344.5373415802", "https://shopee.co.id/Sulwhasoo-Concentrated-Ginseng-Renewing-Serum-50ml-i.274949344.5373415802")</f>
        <v>https://shopee.co.id/Sulwhasoo-Concentrated-Ginseng-Renewing-Serum-50ml-i.274949344.5373415802</v>
      </c>
      <c r="C1529" s="8" t="s">
        <v>282</v>
      </c>
      <c r="D1529" s="8" t="s">
        <v>283</v>
      </c>
      <c r="E1529" s="8" t="s">
        <v>12</v>
      </c>
      <c r="F1529" s="8" t="s">
        <v>13</v>
      </c>
      <c r="G1529" s="8" t="s">
        <v>61</v>
      </c>
      <c r="H1529" s="16">
        <v>10.0</v>
      </c>
      <c r="I1529" s="15" t="str">
        <f>SUBSTITUTE(Sheet1!K1529, "Rp", "")</f>
        <v>25630000</v>
      </c>
    </row>
    <row r="1530">
      <c r="A1530" s="8" t="s">
        <v>1509</v>
      </c>
      <c r="B1530" s="13" t="str">
        <f>HYPERLINK("https://shopee.co.id/The-Body-Shop-Oils-Of-Life-Intensely-Revitalising-Facial-Oil-Serum-50ml-i.28053737.405769694", "https://shopee.co.id/The-Body-Shop-Oils-Of-Life-Intensely-Revitalising-Facial-Oil-Serum-50ml-i.28053737.405769694")</f>
        <v>https://shopee.co.id/The-Body-Shop-Oils-Of-Life-Intensely-Revitalising-Facial-Oil-Serum-50ml-i.28053737.405769694</v>
      </c>
      <c r="C1530" s="8" t="s">
        <v>221</v>
      </c>
      <c r="D1530" s="8" t="s">
        <v>222</v>
      </c>
      <c r="E1530" s="8" t="s">
        <v>12</v>
      </c>
      <c r="F1530" s="8" t="s">
        <v>13</v>
      </c>
      <c r="G1530" s="8" t="s">
        <v>80</v>
      </c>
      <c r="H1530" s="16">
        <v>10.0</v>
      </c>
      <c r="I1530" s="15" t="str">
        <f>SUBSTITUTE(Sheet1!K1530, "Rp", "")</f>
        <v>7490000</v>
      </c>
    </row>
    <row r="1531">
      <c r="A1531" s="8" t="s">
        <v>2619</v>
      </c>
      <c r="B1531" s="13" t="str">
        <f>HYPERLINK("https://shopee.co.id/Vienka-Skin-care-Skincare-Saffron-Safron-Shafron-Brightening-Serum-20-ml-Perawatan-Kecantikan-Wajah-BPOM-HALAL-COD-i.332307361.9431648696", "https://shopee.co.id/Vienka-Skin-care-Skincare-Saffron-Safron-Shafron-Brightening-Serum-20-ml-Perawatan-Kecantikan-Wajah-BPOM-HALAL-COD-i.332307361.9431648696")</f>
        <v>https://shopee.co.id/Vienka-Skin-care-Skincare-Saffron-Safron-Shafron-Brightening-Serum-20-ml-Perawatan-Kecantikan-Wajah-BPOM-HALAL-COD-i.332307361.9431648696</v>
      </c>
      <c r="C1531" s="8" t="s">
        <v>2620</v>
      </c>
      <c r="D1531" s="8" t="s">
        <v>2621</v>
      </c>
      <c r="E1531" s="8" t="s">
        <v>12</v>
      </c>
      <c r="F1531" s="8" t="s">
        <v>13</v>
      </c>
      <c r="G1531" s="8" t="s">
        <v>296</v>
      </c>
      <c r="H1531" s="16">
        <v>10.0</v>
      </c>
      <c r="I1531" s="15" t="str">
        <f>SUBSTITUTE(Sheet1!K1531, "Rp", "")</f>
        <v>1395000</v>
      </c>
    </row>
    <row r="1532">
      <c r="A1532" s="8" t="s">
        <v>3040</v>
      </c>
      <c r="B1532" s="13" t="str">
        <f>HYPERLINK("https://shopee.co.id/Wardah-Renew-You-Anti-Aging-Intensive-Serum-17-ml-i.24819895.5010207183", "https://shopee.co.id/Wardah-Renew-You-Anti-Aging-Intensive-Serum-17-ml-i.24819895.5010207183")</f>
        <v>https://shopee.co.id/Wardah-Renew-You-Anti-Aging-Intensive-Serum-17-ml-i.24819895.5010207183</v>
      </c>
      <c r="C1532" s="8" t="s">
        <v>169</v>
      </c>
      <c r="D1532" s="8" t="s">
        <v>2491</v>
      </c>
      <c r="E1532" s="8" t="s">
        <v>12</v>
      </c>
      <c r="F1532" s="8" t="s">
        <v>13</v>
      </c>
      <c r="G1532" s="8" t="s">
        <v>1085</v>
      </c>
      <c r="H1532" s="16">
        <v>10.0</v>
      </c>
      <c r="I1532" s="15" t="str">
        <f>SUBSTITUTE(Sheet1!K1532, "Rp", "")</f>
        <v>688500</v>
      </c>
    </row>
    <row r="1533">
      <c r="A1533" s="8" t="s">
        <v>3014</v>
      </c>
      <c r="B1533" s="13" t="str">
        <f>HYPERLINK("https://shopee.co.id/WARDAH-White-Secret-Intense-Brightening-Essence-i.24819895.1416684256", "https://shopee.co.id/WARDAH-White-Secret-Intense-Brightening-Essence-i.24819895.1416684256")</f>
        <v>https://shopee.co.id/WARDAH-White-Secret-Intense-Brightening-Essence-i.24819895.1416684256</v>
      </c>
      <c r="C1533" s="8" t="s">
        <v>169</v>
      </c>
      <c r="D1533" s="8" t="s">
        <v>2491</v>
      </c>
      <c r="E1533" s="8" t="s">
        <v>12</v>
      </c>
      <c r="F1533" s="8" t="s">
        <v>13</v>
      </c>
      <c r="G1533" s="8" t="s">
        <v>1085</v>
      </c>
      <c r="H1533" s="16">
        <v>10.0</v>
      </c>
      <c r="I1533" s="15" t="str">
        <f>SUBSTITUTE(Sheet1!K1533, "Rp", "")</f>
        <v>726250</v>
      </c>
    </row>
    <row r="1534">
      <c r="A1534" s="8" t="s">
        <v>3060</v>
      </c>
      <c r="B1534" s="13" t="str">
        <f>HYPERLINK("https://shopee.co.id/Whitelab-Hydrating-Face-Essence-60ml-i.136011044.9310321216", "https://shopee.co.id/Whitelab-Hydrating-Face-Essence-60ml-i.136011044.9310321216")</f>
        <v>https://shopee.co.id/Whitelab-Hydrating-Face-Essence-60ml-i.136011044.9310321216</v>
      </c>
      <c r="C1534" s="8" t="s">
        <v>59</v>
      </c>
      <c r="D1534" s="8" t="s">
        <v>632</v>
      </c>
      <c r="E1534" s="8" t="s">
        <v>12</v>
      </c>
      <c r="F1534" s="8" t="s">
        <v>13</v>
      </c>
      <c r="G1534" s="8" t="s">
        <v>21</v>
      </c>
      <c r="H1534" s="16">
        <v>10.0</v>
      </c>
      <c r="I1534" s="15" t="str">
        <f>SUBSTITUTE(Sheet1!K1534, "Rp", "")</f>
        <v>670000</v>
      </c>
    </row>
    <row r="1535">
      <c r="A1535" s="8" t="s">
        <v>2100</v>
      </c>
      <c r="B1535" s="13" t="str">
        <f>HYPERLINK("https://shopee.co.id/Yves-Rocher-Anti-Age-Global-The-Anti-Aging-Illuminating-Care-15-ML-i.70687187.6401496096", "https://shopee.co.id/Yves-Rocher-Anti-Age-Global-The-Anti-Aging-Illuminating-Care-15-ML-i.70687187.6401496096")</f>
        <v>https://shopee.co.id/Yves-Rocher-Anti-Age-Global-The-Anti-Aging-Illuminating-Care-15-ML-i.70687187.6401496096</v>
      </c>
      <c r="C1535" s="8" t="s">
        <v>1672</v>
      </c>
      <c r="D1535" s="8" t="s">
        <v>1673</v>
      </c>
      <c r="E1535" s="8" t="s">
        <v>12</v>
      </c>
      <c r="F1535" s="8" t="s">
        <v>13</v>
      </c>
      <c r="G1535" s="8" t="s">
        <v>61</v>
      </c>
      <c r="H1535" s="16">
        <v>10.0</v>
      </c>
      <c r="I1535" s="15" t="str">
        <f>SUBSTITUTE(Sheet1!K1535, "Rp", "")</f>
        <v>2962400</v>
      </c>
    </row>
    <row r="1536">
      <c r="A1536" s="8" t="s">
        <v>2358</v>
      </c>
      <c r="B1536" s="13" t="str">
        <f>HYPERLINK("https://shopee.co.id/Avoskin-Miraculous-Retinol-Ampoule-30ml-i.50948181.7354649836", "https://shopee.co.id/Avoskin-Miraculous-Retinol-Ampoule-30ml-i.50948181.7354649836")</f>
        <v>https://shopee.co.id/Avoskin-Miraculous-Retinol-Ampoule-30ml-i.50948181.7354649836</v>
      </c>
      <c r="C1536" s="8" t="s">
        <v>83</v>
      </c>
      <c r="D1536" s="8" t="s">
        <v>1129</v>
      </c>
      <c r="E1536" s="8" t="s">
        <v>12</v>
      </c>
      <c r="F1536" s="8" t="s">
        <v>13</v>
      </c>
      <c r="G1536" s="8" t="s">
        <v>1130</v>
      </c>
      <c r="H1536" s="16">
        <v>9.0</v>
      </c>
      <c r="I1536" s="15" t="str">
        <f>SUBSTITUTE(Sheet1!K1536, "Rp", "")</f>
        <v>2081000</v>
      </c>
    </row>
    <row r="1537">
      <c r="A1537" s="8" t="s">
        <v>2070</v>
      </c>
      <c r="B1537" s="13" t="str">
        <f>HYPERLINK("https://shopee.co.id/-innisfree-Forest-for-Men-Trouble-Care-All-In-One-Essence-100ML-Serum-Wajah-Perawatan-Wajah-i.61504589.5528571700", "https://shopee.co.id/-innisfree-Forest-for-Men-Trouble-Care-All-In-One-Essence-100ML-Serum-Wajah-Perawatan-Wajah-i.61504589.5528571700")</f>
        <v>https://shopee.co.id/-innisfree-Forest-for-Men-Trouble-Care-All-In-One-Essence-100ML-Serum-Wajah-Perawatan-Wajah-i.61504589.5528571700</v>
      </c>
      <c r="C1537" s="8" t="s">
        <v>294</v>
      </c>
      <c r="D1537" s="8" t="s">
        <v>295</v>
      </c>
      <c r="E1537" s="8" t="s">
        <v>12</v>
      </c>
      <c r="F1537" s="8" t="s">
        <v>13</v>
      </c>
      <c r="G1537" s="8" t="s">
        <v>296</v>
      </c>
      <c r="H1537" s="16">
        <v>9.0</v>
      </c>
      <c r="I1537" s="15" t="str">
        <f>SUBSTITUTE(Sheet1!K1537, "Rp", "")</f>
        <v>3160000</v>
      </c>
    </row>
    <row r="1538">
      <c r="A1538" s="8" t="s">
        <v>3326</v>
      </c>
      <c r="B1538" s="13" t="str">
        <f>HYPERLINK("https://shopee.co.id/Azarine-Lightening-ToneUp-Body-Serum-100-ml-C-White-i.110573301.8942622618", "https://shopee.co.id/Azarine-Lightening-ToneUp-Body-Serum-100-ml-C-White-i.110573301.8942622618")</f>
        <v>https://shopee.co.id/Azarine-Lightening-ToneUp-Body-Serum-100-ml-C-White-i.110573301.8942622618</v>
      </c>
      <c r="C1538" s="8" t="s">
        <v>233</v>
      </c>
      <c r="D1538" s="8" t="s">
        <v>227</v>
      </c>
      <c r="E1538" s="8" t="s">
        <v>12</v>
      </c>
      <c r="F1538" s="8" t="s">
        <v>13</v>
      </c>
      <c r="G1538" s="8" t="s">
        <v>61</v>
      </c>
      <c r="H1538" s="16">
        <v>9.0</v>
      </c>
      <c r="I1538" s="15" t="str">
        <f>SUBSTITUTE(Sheet1!K1538, "Rp", "")</f>
        <v>402300</v>
      </c>
    </row>
    <row r="1539">
      <c r="A1539" s="8" t="s">
        <v>2608</v>
      </c>
      <c r="B1539" s="13" t="str">
        <f>HYPERLINK("https://shopee.co.id/BENTON-Snail-Bee-Ultimate-Serum-35ml-i.270965687.6044298147", "https://shopee.co.id/BENTON-Snail-Bee-Ultimate-Serum-35ml-i.270965687.6044298147")</f>
        <v>https://shopee.co.id/BENTON-Snail-Bee-Ultimate-Serum-35ml-i.270965687.6044298147</v>
      </c>
      <c r="C1539" s="8" t="s">
        <v>456</v>
      </c>
      <c r="D1539" s="8" t="s">
        <v>379</v>
      </c>
      <c r="E1539" s="8" t="s">
        <v>12</v>
      </c>
      <c r="F1539" s="8" t="s">
        <v>13</v>
      </c>
      <c r="G1539" s="8" t="s">
        <v>380</v>
      </c>
      <c r="H1539" s="16">
        <v>9.0</v>
      </c>
      <c r="I1539" s="15" t="str">
        <f>SUBSTITUTE(Sheet1!K1539, "Rp", "")</f>
        <v>1431000</v>
      </c>
    </row>
    <row r="1540">
      <c r="A1540" s="8" t="s">
        <v>2492</v>
      </c>
      <c r="B1540" s="13" t="str">
        <f>HYPERLINK("https://shopee.co.id/BHUMI-C-Brightening-Booster-18ml-i.68111.12811715991", "https://shopee.co.id/BHUMI-C-Brightening-Booster-18ml-i.68111.12811715991")</f>
        <v>https://shopee.co.id/BHUMI-C-Brightening-Booster-18ml-i.68111.12811715991</v>
      </c>
      <c r="C1540" s="8" t="s">
        <v>753</v>
      </c>
      <c r="D1540" s="8" t="s">
        <v>441</v>
      </c>
      <c r="E1540" s="8" t="s">
        <v>12</v>
      </c>
      <c r="F1540" s="8" t="s">
        <v>13</v>
      </c>
      <c r="G1540" s="8" t="s">
        <v>130</v>
      </c>
      <c r="H1540" s="16">
        <v>9.0</v>
      </c>
      <c r="I1540" s="15" t="str">
        <f>SUBSTITUTE(Sheet1!K1540, "Rp", "")</f>
        <v>1729125</v>
      </c>
    </row>
    <row r="1541">
      <c r="A1541" s="8" t="s">
        <v>2665</v>
      </c>
      <c r="B1541" s="13" t="str">
        <f>HYPERLINK("https://shopee.co.id/Bio-Essence-Bio-White-Starter-Pack-Free-Bio-White-Mask-i.63822287.10600514403", "https://shopee.co.id/Bio-Essence-Bio-White-Starter-Pack-Free-Bio-White-Mask-i.63822287.10600514403")</f>
        <v>https://shopee.co.id/Bio-Essence-Bio-White-Starter-Pack-Free-Bio-White-Mask-i.63822287.10600514403</v>
      </c>
      <c r="C1541" s="8" t="s">
        <v>1254</v>
      </c>
      <c r="D1541" s="8" t="s">
        <v>835</v>
      </c>
      <c r="E1541" s="8" t="s">
        <v>12</v>
      </c>
      <c r="F1541" s="8" t="s">
        <v>13</v>
      </c>
      <c r="G1541" s="8" t="s">
        <v>61</v>
      </c>
      <c r="H1541" s="16">
        <v>9.0</v>
      </c>
      <c r="I1541" s="15" t="str">
        <f>SUBSTITUTE(Sheet1!K1541, "Rp", "")</f>
        <v>1288400</v>
      </c>
    </row>
    <row r="1542">
      <c r="A1542" s="8" t="s">
        <v>2330</v>
      </c>
      <c r="B1542" s="13" t="str">
        <f>HYPERLINK("https://shopee.co.id/Bio-Essence-Bio-Renew-Exfoliating-Gel-60-gr-Twinpack-Special-i.63822287.9638781840", "https://shopee.co.id/Bio-Essence-Bio-Renew-Exfoliating-Gel-60-gr-Twinpack-Special-i.63822287.9638781840")</f>
        <v>https://shopee.co.id/Bio-Essence-Bio-Renew-Exfoliating-Gel-60-gr-Twinpack-Special-i.63822287.9638781840</v>
      </c>
      <c r="C1542" s="8" t="s">
        <v>1254</v>
      </c>
      <c r="D1542" s="8" t="s">
        <v>835</v>
      </c>
      <c r="E1542" s="8" t="s">
        <v>12</v>
      </c>
      <c r="F1542" s="8" t="s">
        <v>13</v>
      </c>
      <c r="G1542" s="8" t="s">
        <v>61</v>
      </c>
      <c r="H1542" s="16">
        <v>9.0</v>
      </c>
      <c r="I1542" s="15" t="str">
        <f>SUBSTITUTE(Sheet1!K1542, "Rp", "")</f>
        <v>2173700</v>
      </c>
    </row>
    <row r="1543">
      <c r="A1543" s="8" t="s">
        <v>3277</v>
      </c>
      <c r="B1543" s="13" t="str">
        <f>HYPERLINK("https://shopee.co.id/BRASOV-Serum-Wajah-Anti-Jerawat-30-ML-Le-Docteur-Anti-Acne-Vitamin-C-Face-Serum-BPOM-Halal-XX-CT-i.168925122.8027452814", "https://shopee.co.id/BRASOV-Serum-Wajah-Anti-Jerawat-30-ML-Le-Docteur-Anti-Acne-Vitamin-C-Face-Serum-BPOM-Halal-XX-CT-i.168925122.8027452814")</f>
        <v>https://shopee.co.id/BRASOV-Serum-Wajah-Anti-Jerawat-30-ML-Le-Docteur-Anti-Acne-Vitamin-C-Face-Serum-BPOM-Halal-XX-CT-i.168925122.8027452814</v>
      </c>
      <c r="C1543" s="8" t="s">
        <v>3278</v>
      </c>
      <c r="D1543" s="8" t="s">
        <v>3279</v>
      </c>
      <c r="E1543" s="8" t="s">
        <v>12</v>
      </c>
      <c r="F1543" s="8" t="s">
        <v>13</v>
      </c>
      <c r="G1543" s="8" t="s">
        <v>21</v>
      </c>
      <c r="H1543" s="16">
        <v>9.0</v>
      </c>
      <c r="I1543" s="15" t="str">
        <f>SUBSTITUTE(Sheet1!K1543, "Rp", "")</f>
        <v>449892</v>
      </c>
    </row>
    <row r="1544">
      <c r="A1544" s="8" t="s">
        <v>2333</v>
      </c>
      <c r="B1544" s="13" t="str">
        <f>HYPERLINK("https://shopee.co.id/Daita-Baby-Face-Serum-Vitamin-C-i.90453957.1491732027", "https://shopee.co.id/Daita-Baby-Face-Serum-Vitamin-C-i.90453957.1491732027")</f>
        <v>https://shopee.co.id/Daita-Baby-Face-Serum-Vitamin-C-i.90453957.1491732027</v>
      </c>
      <c r="C1544" s="8" t="s">
        <v>2334</v>
      </c>
      <c r="D1544" s="8" t="s">
        <v>2335</v>
      </c>
      <c r="E1544" s="8" t="s">
        <v>12</v>
      </c>
      <c r="F1544" s="8" t="s">
        <v>13</v>
      </c>
      <c r="G1544" s="8" t="s">
        <v>80</v>
      </c>
      <c r="H1544" s="16">
        <v>9.0</v>
      </c>
      <c r="I1544" s="15" t="str">
        <f>SUBSTITUTE(Sheet1!K1544, "Rp", "")</f>
        <v>2160000</v>
      </c>
    </row>
    <row r="1545">
      <c r="A1545" s="8" t="s">
        <v>1813</v>
      </c>
      <c r="B1545" s="13" t="str">
        <f>HYPERLINK("https://shopee.co.id/Dr-Jart-Vital-Hydra-Solution-Biome-Essence-with-Intensive-Blue-Shot-150-ml-i.126014132.4420408484", "https://shopee.co.id/Dr-Jart-Vital-Hydra-Solution-Biome-Essence-with-Intensive-Blue-Shot-150-ml-i.126014132.4420408484")</f>
        <v>https://shopee.co.id/Dr-Jart-Vital-Hydra-Solution-Biome-Essence-with-Intensive-Blue-Shot-150-ml-i.126014132.4420408484</v>
      </c>
      <c r="C1545" s="8" t="s">
        <v>1814</v>
      </c>
      <c r="D1545" s="8" t="s">
        <v>640</v>
      </c>
      <c r="E1545" s="8" t="s">
        <v>12</v>
      </c>
      <c r="F1545" s="8" t="s">
        <v>13</v>
      </c>
      <c r="G1545" s="8" t="s">
        <v>61</v>
      </c>
      <c r="H1545" s="16">
        <v>9.0</v>
      </c>
      <c r="I1545" s="15" t="str">
        <f>SUBSTITUTE(Sheet1!K1545, "Rp", "")</f>
        <v>4620000</v>
      </c>
    </row>
    <row r="1546">
      <c r="A1546" s="8" t="s">
        <v>2515</v>
      </c>
      <c r="B1546" s="13" t="str">
        <f>HYPERLINK("https://shopee.co.id/Gloskin-White-C-Expert-Serum-i.206769167.9742513386", "https://shopee.co.id/Gloskin-White-C-Expert-Serum-i.206769167.9742513386")</f>
        <v>https://shopee.co.id/Gloskin-White-C-Expert-Serum-i.206769167.9742513386</v>
      </c>
      <c r="C1546" s="8" t="s">
        <v>2516</v>
      </c>
      <c r="D1546" s="8" t="s">
        <v>2257</v>
      </c>
      <c r="E1546" s="8" t="s">
        <v>12</v>
      </c>
      <c r="F1546" s="8" t="s">
        <v>13</v>
      </c>
      <c r="G1546" s="8" t="s">
        <v>98</v>
      </c>
      <c r="H1546" s="16">
        <v>9.0</v>
      </c>
      <c r="I1546" s="15" t="str">
        <f>SUBSTITUTE(Sheet1!K1546, "Rp", "")</f>
        <v>1665000</v>
      </c>
    </row>
    <row r="1547">
      <c r="A1547" s="8" t="s">
        <v>3252</v>
      </c>
      <c r="B1547" s="13" t="str">
        <f>HYPERLINK("https://shopee.co.id/Hanasui-Serum-Bright-Up-25ml-i.277377659.7440024845", "https://shopee.co.id/Hanasui-Serum-Bright-Up-25ml-i.277377659.7440024845")</f>
        <v>https://shopee.co.id/Hanasui-Serum-Bright-Up-25ml-i.277377659.7440024845</v>
      </c>
      <c r="C1547" s="8" t="s">
        <v>784</v>
      </c>
      <c r="D1547" s="8" t="s">
        <v>2549</v>
      </c>
      <c r="E1547" s="8" t="s">
        <v>12</v>
      </c>
      <c r="F1547" s="8" t="s">
        <v>13</v>
      </c>
      <c r="G1547" s="8" t="s">
        <v>532</v>
      </c>
      <c r="H1547" s="16">
        <v>9.0</v>
      </c>
      <c r="I1547" s="15" t="str">
        <f>SUBSTITUTE(Sheet1!K1547, "Rp", "")</f>
        <v>482000</v>
      </c>
    </row>
    <row r="1548">
      <c r="A1548" s="8" t="s">
        <v>2091</v>
      </c>
      <c r="B1548" s="13" t="str">
        <f>HYPERLINK("https://shopee.co.id/Histoire-Naturelle-Lactobacillus-Best-Couple-i.315746431.8134516856", "https://shopee.co.id/Histoire-Naturelle-Lactobacillus-Best-Couple-i.315746431.8134516856")</f>
        <v>https://shopee.co.id/Histoire-Naturelle-Lactobacillus-Best-Couple-i.315746431.8134516856</v>
      </c>
      <c r="C1548" s="8" t="s">
        <v>1854</v>
      </c>
      <c r="D1548" s="8" t="s">
        <v>1855</v>
      </c>
      <c r="E1548" s="8" t="s">
        <v>12</v>
      </c>
      <c r="F1548" s="8" t="s">
        <v>13</v>
      </c>
      <c r="G1548" s="8" t="s">
        <v>130</v>
      </c>
      <c r="H1548" s="16">
        <v>9.0</v>
      </c>
      <c r="I1548" s="15" t="str">
        <f>SUBSTITUTE(Sheet1!K1548, "Rp", "")</f>
        <v>3024800</v>
      </c>
    </row>
    <row r="1549">
      <c r="A1549" s="8" t="s">
        <v>1900</v>
      </c>
      <c r="B1549" s="13" t="str">
        <f>HYPERLINK("https://shopee.co.id/HISTOIRE-NATURELLE-Lactobacillus-Series-Bundle-Foam-Toner-Serum-full-size--i.315746431.6665344855", "https://shopee.co.id/HISTOIRE-NATURELLE-Lactobacillus-Series-Bundle-Foam-Toner-Serum-full-size--i.315746431.6665344855")</f>
        <v>https://shopee.co.id/HISTOIRE-NATURELLE-Lactobacillus-Series-Bundle-Foam-Toner-Serum-full-size--i.315746431.6665344855</v>
      </c>
      <c r="C1549" s="8" t="s">
        <v>1854</v>
      </c>
      <c r="D1549" s="8" t="s">
        <v>1855</v>
      </c>
      <c r="E1549" s="8" t="s">
        <v>12</v>
      </c>
      <c r="F1549" s="8" t="s">
        <v>13</v>
      </c>
      <c r="G1549" s="8" t="s">
        <v>130</v>
      </c>
      <c r="H1549" s="16">
        <v>9.0</v>
      </c>
      <c r="I1549" s="15" t="str">
        <f>SUBSTITUTE(Sheet1!K1549, "Rp", "")</f>
        <v>4004000</v>
      </c>
    </row>
    <row r="1550">
      <c r="A1550" s="8" t="s">
        <v>2379</v>
      </c>
      <c r="B1550" s="13" t="str">
        <f>HYPERLINK("https://shopee.co.id/KALEY-SKINCARE-Pineapple-c-Brightening-Essense-Serum-30ml-i.68111.6138807013", "https://shopee.co.id/KALEY-SKINCARE-Pineapple-c-Brightening-Essense-Serum-30ml-i.68111.6138807013")</f>
        <v>https://shopee.co.id/KALEY-SKINCARE-Pineapple-c-Brightening-Essense-Serum-30ml-i.68111.6138807013</v>
      </c>
      <c r="C1550" s="8" t="s">
        <v>2380</v>
      </c>
      <c r="D1550" s="8" t="s">
        <v>441</v>
      </c>
      <c r="E1550" s="8" t="s">
        <v>12</v>
      </c>
      <c r="F1550" s="8" t="s">
        <v>13</v>
      </c>
      <c r="G1550" s="8" t="s">
        <v>130</v>
      </c>
      <c r="H1550" s="16">
        <v>9.0</v>
      </c>
      <c r="I1550" s="15" t="str">
        <f>SUBSTITUTE(Sheet1!K1550, "Rp", "")</f>
        <v>2009250</v>
      </c>
    </row>
    <row r="1551">
      <c r="A1551" s="8" t="s">
        <v>3050</v>
      </c>
      <c r="B1551" s="13" t="str">
        <f>HYPERLINK("https://shopee.co.id/KEZIA-Skincare-Serum-Acne-15ml-i.193506655.4404573683", "https://shopee.co.id/KEZIA-Skincare-Serum-Acne-15ml-i.193506655.4404573683")</f>
        <v>https://shopee.co.id/KEZIA-Skincare-Serum-Acne-15ml-i.193506655.4404573683</v>
      </c>
      <c r="C1551" s="8" t="s">
        <v>2762</v>
      </c>
      <c r="D1551" s="8" t="s">
        <v>2763</v>
      </c>
      <c r="E1551" s="8" t="s">
        <v>12</v>
      </c>
      <c r="F1551" s="8" t="s">
        <v>13</v>
      </c>
      <c r="G1551" s="8" t="s">
        <v>532</v>
      </c>
      <c r="H1551" s="16">
        <v>9.0</v>
      </c>
      <c r="I1551" s="15" t="str">
        <f>SUBSTITUTE(Sheet1!K1551, "Rp", "")</f>
        <v>675000</v>
      </c>
    </row>
    <row r="1552">
      <c r="A1552" s="8" t="s">
        <v>2407</v>
      </c>
      <c r="B1552" s="13" t="str">
        <f>HYPERLINK("https://shopee.co.id/KLEVERU-Glass-Skin-Overnight-Serum-20ml-i.68111.3727348532", "https://shopee.co.id/KLEVERU-Glass-Skin-Overnight-Serum-20ml-i.68111.3727348532")</f>
        <v>https://shopee.co.id/KLEVERU-Glass-Skin-Overnight-Serum-20ml-i.68111.3727348532</v>
      </c>
      <c r="C1552" s="8" t="s">
        <v>2408</v>
      </c>
      <c r="D1552" s="8" t="s">
        <v>441</v>
      </c>
      <c r="E1552" s="8" t="s">
        <v>12</v>
      </c>
      <c r="F1552" s="8" t="s">
        <v>13</v>
      </c>
      <c r="G1552" s="8" t="s">
        <v>130</v>
      </c>
      <c r="H1552" s="16">
        <v>9.0</v>
      </c>
      <c r="I1552" s="15" t="str">
        <f>SUBSTITUTE(Sheet1!K1552, "Rp", "")</f>
        <v>1222650</v>
      </c>
    </row>
    <row r="1553">
      <c r="A1553" s="8" t="s">
        <v>2496</v>
      </c>
      <c r="B1553" s="13" t="str">
        <f>HYPERLINK("https://shopee.co.id/Lacoco-En-Nature-Darkspot-Essence-i.17081863.3455754630", "https://shopee.co.id/Lacoco-En-Nature-Darkspot-Essence-i.17081863.3455754630")</f>
        <v>https://shopee.co.id/Lacoco-En-Nature-Darkspot-Essence-i.17081863.3455754630</v>
      </c>
      <c r="C1553" s="8" t="s">
        <v>501</v>
      </c>
      <c r="D1553" s="8" t="s">
        <v>2497</v>
      </c>
      <c r="E1553" s="8" t="s">
        <v>12</v>
      </c>
      <c r="F1553" s="8" t="s">
        <v>13</v>
      </c>
      <c r="G1553" s="8" t="s">
        <v>21</v>
      </c>
      <c r="H1553" s="16">
        <v>9.0</v>
      </c>
      <c r="I1553" s="15" t="str">
        <f>SUBSTITUTE(Sheet1!K1553, "Rp", "")</f>
        <v>1710000</v>
      </c>
    </row>
    <row r="1554">
      <c r="A1554" s="8" t="s">
        <v>2705</v>
      </c>
      <c r="B1554" s="13" t="str">
        <f>HYPERLINK("https://shopee.co.id/Loreal-Paris-Revitalift-Crystal-Micro-Essence-65ml-i.10689.8317293833", "https://shopee.co.id/Loreal-Paris-Revitalift-Crystal-Micro-Essence-65ml-i.10689.8317293833")</f>
        <v>https://shopee.co.id/Loreal-Paris-Revitalift-Crystal-Micro-Essence-65ml-i.10689.8317293833</v>
      </c>
      <c r="C1554" s="8" t="s">
        <v>105</v>
      </c>
      <c r="D1554" s="8" t="s">
        <v>745</v>
      </c>
      <c r="E1554" s="8" t="s">
        <v>12</v>
      </c>
      <c r="F1554" s="8" t="s">
        <v>13</v>
      </c>
      <c r="G1554" s="8" t="s">
        <v>61</v>
      </c>
      <c r="H1554" s="16">
        <v>9.0</v>
      </c>
      <c r="I1554" s="15" t="str">
        <f>SUBSTITUTE(Sheet1!K1554, "Rp", "")</f>
        <v>1216800</v>
      </c>
    </row>
    <row r="1555">
      <c r="A1555" s="8" t="s">
        <v>2843</v>
      </c>
      <c r="B1555" s="13" t="str">
        <f>HYPERLINK("https://shopee.co.id/MEDGLOW-CLINIC-Salicylic-Acid-Serum-Aesthetic-Skincare-Serum-Penghilang-Pori-Komedo-Acne-Jerawat-i.285885972.5349889939", "https://shopee.co.id/MEDGLOW-CLINIC-Salicylic-Acid-Serum-Aesthetic-Skincare-Serum-Penghilang-Pori-Komedo-Acne-Jerawat-i.285885972.5349889939")</f>
        <v>https://shopee.co.id/MEDGLOW-CLINIC-Salicylic-Acid-Serum-Aesthetic-Skincare-Serum-Penghilang-Pori-Komedo-Acne-Jerawat-i.285885972.5349889939</v>
      </c>
      <c r="C1555" s="8" t="s">
        <v>949</v>
      </c>
      <c r="D1555" s="8" t="s">
        <v>950</v>
      </c>
      <c r="E1555" s="8" t="s">
        <v>12</v>
      </c>
      <c r="F1555" s="8" t="s">
        <v>13</v>
      </c>
      <c r="G1555" s="8" t="s">
        <v>380</v>
      </c>
      <c r="H1555" s="16">
        <v>9.0</v>
      </c>
      <c r="I1555" s="15" t="str">
        <f>SUBSTITUTE(Sheet1!K1555, "Rp", "")</f>
        <v>983250</v>
      </c>
    </row>
    <row r="1556">
      <c r="A1556" s="8" t="s">
        <v>2877</v>
      </c>
      <c r="B1556" s="13" t="str">
        <f>HYPERLINK("https://shopee.co.id/MIRACULOUS-DNA-SALMON--i.231467354.9865400748", "https://shopee.co.id/MIRACULOUS-DNA-SALMON--i.231467354.9865400748")</f>
        <v>https://shopee.co.id/MIRACULOUS-DNA-SALMON--i.231467354.9865400748</v>
      </c>
      <c r="C1556" s="8" t="s">
        <v>2878</v>
      </c>
      <c r="D1556" s="8" t="s">
        <v>2879</v>
      </c>
      <c r="E1556" s="8" t="s">
        <v>12</v>
      </c>
      <c r="F1556" s="8" t="s">
        <v>13</v>
      </c>
      <c r="G1556" s="8" t="s">
        <v>532</v>
      </c>
      <c r="H1556" s="16">
        <v>9.0</v>
      </c>
      <c r="I1556" s="15" t="str">
        <f>SUBSTITUTE(Sheet1!K1556, "Rp", "")</f>
        <v>931500</v>
      </c>
    </row>
    <row r="1557">
      <c r="A1557" s="8" t="s">
        <v>2024</v>
      </c>
      <c r="B1557" s="13" t="str">
        <f>HYPERLINK("https://shopee.co.id/Pack-of-2-Brightening-Essence-50ml-i.46300234.3347185379", "https://shopee.co.id/Pack-of-2-Brightening-Essence-50ml-i.46300234.3347185379")</f>
        <v>https://shopee.co.id/Pack-of-2-Brightening-Essence-50ml-i.46300234.3347185379</v>
      </c>
      <c r="C1557" s="8" t="s">
        <v>1974</v>
      </c>
      <c r="D1557" s="8" t="s">
        <v>472</v>
      </c>
      <c r="E1557" s="8" t="s">
        <v>12</v>
      </c>
      <c r="F1557" s="8" t="s">
        <v>13</v>
      </c>
      <c r="G1557" s="8" t="s">
        <v>98</v>
      </c>
      <c r="H1557" s="16">
        <v>9.0</v>
      </c>
      <c r="I1557" s="15" t="str">
        <f>SUBSTITUTE(Sheet1!K1557, "Rp", "")</f>
        <v>3376440</v>
      </c>
    </row>
    <row r="1558">
      <c r="A1558" s="8" t="s">
        <v>2823</v>
      </c>
      <c r="B1558" s="13" t="str">
        <f>HYPERLINK("https://shopee.co.id/POB-SERUM-BLEMISH-SERUM-JERAWAT-TERLARIS-Menyembuhkan-Jerawat-Dan-Beruntusan-BPOM-20-ml-i.495355925.9583080544", "https://shopee.co.id/POB-SERUM-BLEMISH-SERUM-JERAWAT-TERLARIS-Menyembuhkan-Jerawat-Dan-Beruntusan-BPOM-20-ml-i.495355925.9583080544")</f>
        <v>https://shopee.co.id/POB-SERUM-BLEMISH-SERUM-JERAWAT-TERLARIS-Menyembuhkan-Jerawat-Dan-Beruntusan-BPOM-20-ml-i.495355925.9583080544</v>
      </c>
      <c r="C1558" s="8" t="s">
        <v>2719</v>
      </c>
      <c r="D1558" s="8" t="s">
        <v>2720</v>
      </c>
      <c r="E1558" s="8" t="s">
        <v>12</v>
      </c>
      <c r="F1558" s="8" t="s">
        <v>13</v>
      </c>
      <c r="G1558" s="8" t="s">
        <v>532</v>
      </c>
      <c r="H1558" s="16">
        <v>9.0</v>
      </c>
      <c r="I1558" s="15" t="str">
        <f>SUBSTITUTE(Sheet1!K1558, "Rp", "")</f>
        <v>1020000</v>
      </c>
    </row>
    <row r="1559">
      <c r="A1559" s="8" t="s">
        <v>2180</v>
      </c>
      <c r="B1559" s="13" t="str">
        <f>HYPERLINK("https://shopee.co.id/PURITO-Centella-Green-Level-Buffet-Serum-i.233721470.7219315270", "https://shopee.co.id/PURITO-Centella-Green-Level-Buffet-Serum-i.233721470.7219315270")</f>
        <v>https://shopee.co.id/PURITO-Centella-Green-Level-Buffet-Serum-i.233721470.7219315270</v>
      </c>
      <c r="C1559" s="8" t="s">
        <v>1993</v>
      </c>
      <c r="D1559" s="8" t="s">
        <v>1994</v>
      </c>
      <c r="E1559" s="8" t="s">
        <v>12</v>
      </c>
      <c r="F1559" s="8" t="s">
        <v>13</v>
      </c>
      <c r="G1559" s="8" t="s">
        <v>21</v>
      </c>
      <c r="H1559" s="16">
        <v>9.0</v>
      </c>
      <c r="I1559" s="15" t="str">
        <f>SUBSTITUTE(Sheet1!K1559, "Rp", "")</f>
        <v>2603000</v>
      </c>
    </row>
    <row r="1560">
      <c r="A1560" s="8" t="s">
        <v>2733</v>
      </c>
      <c r="B1560" s="13" t="str">
        <f>HYPERLINK("https://shopee.co.id/Real-White-Clinical-Serum-i.349337394.8267811761", "https://shopee.co.id/Real-White-Clinical-Serum-i.349337394.8267811761")</f>
        <v>https://shopee.co.id/Real-White-Clinical-Serum-i.349337394.8267811761</v>
      </c>
      <c r="C1560" s="8" t="s">
        <v>547</v>
      </c>
      <c r="D1560" s="8" t="s">
        <v>548</v>
      </c>
      <c r="E1560" s="8" t="s">
        <v>12</v>
      </c>
      <c r="F1560" s="8" t="s">
        <v>13</v>
      </c>
      <c r="G1560" s="8" t="s">
        <v>380</v>
      </c>
      <c r="H1560" s="16">
        <v>9.0</v>
      </c>
      <c r="I1560" s="15" t="str">
        <f>SUBSTITUTE(Sheet1!K1560, "Rp", "")</f>
        <v>1176000</v>
      </c>
    </row>
    <row r="1561">
      <c r="A1561" s="8" t="s">
        <v>2420</v>
      </c>
      <c r="B1561" s="13" t="str">
        <f>HYPERLINK("https://shopee.co.id/Real-White-Niacinamide-Package-i.349337394.8067570361", "https://shopee.co.id/Real-White-Niacinamide-Package-i.349337394.8067570361")</f>
        <v>https://shopee.co.id/Real-White-Niacinamide-Package-i.349337394.8067570361</v>
      </c>
      <c r="C1561" s="8" t="s">
        <v>547</v>
      </c>
      <c r="D1561" s="8" t="s">
        <v>548</v>
      </c>
      <c r="E1561" s="8" t="s">
        <v>12</v>
      </c>
      <c r="F1561" s="8" t="s">
        <v>13</v>
      </c>
      <c r="G1561" s="8" t="s">
        <v>380</v>
      </c>
      <c r="H1561" s="16">
        <v>9.0</v>
      </c>
      <c r="I1561" s="15" t="str">
        <f>SUBSTITUTE(Sheet1!K1561, "Rp", "")</f>
        <v>1890000</v>
      </c>
    </row>
    <row r="1562">
      <c r="A1562" s="8" t="s">
        <v>3042</v>
      </c>
      <c r="B1562" s="13" t="str">
        <f>HYPERLINK("https://shopee.co.id/RORO-MENDUT-Cica-Niacinamide-Zinc-Serum-i.87869551.3481845328", "https://shopee.co.id/RORO-MENDUT-Cica-Niacinamide-Zinc-Serum-i.87869551.3481845328")</f>
        <v>https://shopee.co.id/RORO-MENDUT-Cica-Niacinamide-Zinc-Serum-i.87869551.3481845328</v>
      </c>
      <c r="C1562" s="8" t="s">
        <v>1526</v>
      </c>
      <c r="D1562" s="8" t="s">
        <v>1527</v>
      </c>
      <c r="E1562" s="8" t="s">
        <v>12</v>
      </c>
      <c r="F1562" s="8" t="s">
        <v>13</v>
      </c>
      <c r="G1562" s="8" t="s">
        <v>380</v>
      </c>
      <c r="H1562" s="16">
        <v>9.0</v>
      </c>
      <c r="I1562" s="15" t="str">
        <f>SUBSTITUTE(Sheet1!K1562, "Rp", "")</f>
        <v>685656</v>
      </c>
    </row>
    <row r="1563">
      <c r="A1563" s="8" t="s">
        <v>3354</v>
      </c>
      <c r="B1563" s="13" t="str">
        <f>HYPERLINK("https://shopee.co.id/Safi-Age-Defy-Gold-Water-Essence-i.10689.1537515410", "https://shopee.co.id/Safi-Age-Defy-Gold-Water-Essence-i.10689.1537515410")</f>
        <v>https://shopee.co.id/Safi-Age-Defy-Gold-Water-Essence-i.10689.1537515410</v>
      </c>
      <c r="C1563" s="8" t="s">
        <v>278</v>
      </c>
      <c r="D1563" s="8" t="s">
        <v>745</v>
      </c>
      <c r="E1563" s="8" t="s">
        <v>12</v>
      </c>
      <c r="F1563" s="8" t="s">
        <v>13</v>
      </c>
      <c r="G1563" s="8" t="s">
        <v>61</v>
      </c>
      <c r="H1563" s="16">
        <v>9.0</v>
      </c>
      <c r="I1563" s="15" t="str">
        <f>SUBSTITUTE(Sheet1!K1563, "Rp", "")</f>
        <v>388080</v>
      </c>
    </row>
    <row r="1564">
      <c r="A1564" s="8" t="s">
        <v>2481</v>
      </c>
      <c r="B1564" s="13" t="str">
        <f>HYPERLINK("https://shopee.co.id/Sbcskin-Retinol-Renewal-Serum-Anti-aging-serum--i.229435322.6055405795", "https://shopee.co.id/Sbcskin-Retinol-Renewal-Serum-Anti-aging-serum--i.229435322.6055405795")</f>
        <v>https://shopee.co.id/Sbcskin-Retinol-Renewal-Serum-Anti-aging-serum--i.229435322.6055405795</v>
      </c>
      <c r="C1564" s="8" t="s">
        <v>1775</v>
      </c>
      <c r="D1564" s="8" t="s">
        <v>1776</v>
      </c>
      <c r="E1564" s="8" t="s">
        <v>12</v>
      </c>
      <c r="F1564" s="8" t="s">
        <v>13</v>
      </c>
      <c r="G1564" s="8" t="s">
        <v>1777</v>
      </c>
      <c r="H1564" s="16">
        <v>9.0</v>
      </c>
      <c r="I1564" s="15" t="str">
        <f>SUBSTITUTE(Sheet1!K1564, "Rp", "")</f>
        <v>1758901</v>
      </c>
    </row>
    <row r="1565">
      <c r="A1565" s="8" t="s">
        <v>3079</v>
      </c>
      <c r="B1565" s="13" t="str">
        <f>HYPERLINK("https://shopee.co.id/SCARLETT-WHITENING-Glowtening-Serum-15ml-i.68111.10918218207", "https://shopee.co.id/SCARLETT-WHITENING-Glowtening-Serum-15ml-i.68111.10918218207")</f>
        <v>https://shopee.co.id/SCARLETT-WHITENING-Glowtening-Serum-15ml-i.68111.10918218207</v>
      </c>
      <c r="C1565" s="8" t="s">
        <v>19</v>
      </c>
      <c r="D1565" s="8" t="s">
        <v>441</v>
      </c>
      <c r="E1565" s="8" t="s">
        <v>12</v>
      </c>
      <c r="F1565" s="8" t="s">
        <v>13</v>
      </c>
      <c r="G1565" s="8" t="s">
        <v>130</v>
      </c>
      <c r="H1565" s="16">
        <v>9.0</v>
      </c>
      <c r="I1565" s="15" t="str">
        <f>SUBSTITUTE(Sheet1!K1565, "Rp", "")</f>
        <v>647625</v>
      </c>
    </row>
    <row r="1566">
      <c r="A1566" s="8" t="s">
        <v>2493</v>
      </c>
      <c r="B1566" s="13" t="str">
        <f>HYPERLINK("https://shopee.co.id/SECA-Healthy-Eye-Bundle-Collagen-Caffeine-Eyecream--i.373749700.8187279564", "https://shopee.co.id/SECA-Healthy-Eye-Bundle-Collagen-Caffeine-Eyecream--i.373749700.8187279564")</f>
        <v>https://shopee.co.id/SECA-Healthy-Eye-Bundle-Collagen-Caffeine-Eyecream--i.373749700.8187279564</v>
      </c>
      <c r="C1566" s="8" t="s">
        <v>985</v>
      </c>
      <c r="D1566" s="8" t="s">
        <v>986</v>
      </c>
      <c r="E1566" s="8" t="s">
        <v>12</v>
      </c>
      <c r="F1566" s="8" t="s">
        <v>13</v>
      </c>
      <c r="G1566" s="8" t="s">
        <v>36</v>
      </c>
      <c r="H1566" s="16">
        <v>9.0</v>
      </c>
      <c r="I1566" s="15" t="str">
        <f>SUBSTITUTE(Sheet1!K1566, "Rp", "")</f>
        <v>1726400</v>
      </c>
    </row>
    <row r="1567">
      <c r="A1567" s="8" t="s">
        <v>2697</v>
      </c>
      <c r="B1567" s="13" t="str">
        <f>HYPERLINK("https://shopee.co.id/SERUM-NATURE-REACTION-CRYSTAL-BRIGHT-SERUM-ORI-NATURE-REACTION-CRYSTAL-SERUM-NATURE-REACTION-SERUM-i.375565670.11628128336", "https://shopee.co.id/SERUM-NATURE-REACTION-CRYSTAL-BRIGHT-SERUM-ORI-NATURE-REACTION-CRYSTAL-SERUM-NATURE-REACTION-SERUM-i.375565670.11628128336")</f>
        <v>https://shopee.co.id/SERUM-NATURE-REACTION-CRYSTAL-BRIGHT-SERUM-ORI-NATURE-REACTION-CRYSTAL-SERUM-NATURE-REACTION-SERUM-i.375565670.11628128336</v>
      </c>
      <c r="C1567" s="8" t="s">
        <v>530</v>
      </c>
      <c r="D1567" s="8" t="s">
        <v>531</v>
      </c>
      <c r="E1567" s="8" t="s">
        <v>12</v>
      </c>
      <c r="F1567" s="8" t="s">
        <v>13</v>
      </c>
      <c r="G1567" s="8" t="s">
        <v>532</v>
      </c>
      <c r="H1567" s="16">
        <v>9.0</v>
      </c>
      <c r="I1567" s="15" t="str">
        <f>SUBSTITUTE(Sheet1!K1567, "Rp", "")</f>
        <v>1233000</v>
      </c>
    </row>
    <row r="1568">
      <c r="A1568" s="8" t="s">
        <v>2142</v>
      </c>
      <c r="B1568" s="13" t="str">
        <f>HYPERLINK("https://shopee.co.id/SOME-BY-MI-Galactomyces-Pure-Vitamin-C-Glow-Serum-i.125116082.9135519581", "https://shopee.co.id/SOME-BY-MI-Galactomyces-Pure-Vitamin-C-Glow-Serum-i.125116082.9135519581")</f>
        <v>https://shopee.co.id/SOME-BY-MI-Galactomyces-Pure-Vitamin-C-Glow-Serum-i.125116082.9135519581</v>
      </c>
      <c r="C1568" s="8" t="s">
        <v>213</v>
      </c>
      <c r="D1568" s="8" t="s">
        <v>713</v>
      </c>
      <c r="E1568" s="8" t="s">
        <v>12</v>
      </c>
      <c r="F1568" s="8" t="s">
        <v>13</v>
      </c>
      <c r="G1568" s="8" t="s">
        <v>61</v>
      </c>
      <c r="H1568" s="16">
        <v>9.0</v>
      </c>
      <c r="I1568" s="15" t="str">
        <f>SUBSTITUTE(Sheet1!K1568, "Rp", "")</f>
        <v>2760000</v>
      </c>
    </row>
    <row r="1569">
      <c r="A1569" s="8" t="s">
        <v>2813</v>
      </c>
      <c r="B1569" s="13" t="str">
        <f>HYPERLINK("https://shopee.co.id/Somethinc-10-Niacinamide-Barrier-Serum-i.10689.2965993920", "https://shopee.co.id/Somethinc-10-Niacinamide-Barrier-Serum-i.10689.2965993920")</f>
        <v>https://shopee.co.id/Somethinc-10-Niacinamide-Barrier-Serum-i.10689.2965993920</v>
      </c>
      <c r="C1569" s="8" t="s">
        <v>45</v>
      </c>
      <c r="D1569" s="8" t="s">
        <v>745</v>
      </c>
      <c r="E1569" s="8" t="s">
        <v>12</v>
      </c>
      <c r="F1569" s="8" t="s">
        <v>13</v>
      </c>
      <c r="G1569" s="8" t="s">
        <v>61</v>
      </c>
      <c r="H1569" s="16">
        <v>9.0</v>
      </c>
      <c r="I1569" s="15" t="str">
        <f>SUBSTITUTE(Sheet1!K1569, "Rp", "")</f>
        <v>1039500</v>
      </c>
    </row>
    <row r="1570">
      <c r="A1570" s="8" t="s">
        <v>2557</v>
      </c>
      <c r="B1570" s="13" t="str">
        <f>HYPERLINK("https://shopee.co.id/SOMETHINC-Repair-Your-Skin-Barrier-20-ml-i.68111.11146612225", "https://shopee.co.id/SOMETHINC-Repair-Your-Skin-Barrier-20-ml-i.68111.11146612225")</f>
        <v>https://shopee.co.id/SOMETHINC-Repair-Your-Skin-Barrier-20-ml-i.68111.11146612225</v>
      </c>
      <c r="C1570" s="8" t="s">
        <v>45</v>
      </c>
      <c r="D1570" s="8" t="s">
        <v>441</v>
      </c>
      <c r="E1570" s="8" t="s">
        <v>12</v>
      </c>
      <c r="F1570" s="8" t="s">
        <v>13</v>
      </c>
      <c r="G1570" s="8" t="s">
        <v>130</v>
      </c>
      <c r="H1570" s="16">
        <v>9.0</v>
      </c>
      <c r="I1570" s="15" t="str">
        <f>SUBSTITUTE(Sheet1!K1570, "Rp", "")</f>
        <v>1564425</v>
      </c>
    </row>
    <row r="1571">
      <c r="A1571" s="8" t="s">
        <v>1578</v>
      </c>
      <c r="B1571" s="13" t="str">
        <f>HYPERLINK("https://shopee.co.id/Special-Divine-Pearl-Serum-Size-33-ml-Edit-by-Sociolla-i.224957239.7839043333", "https://shopee.co.id/Special-Divine-Pearl-Serum-Size-33-ml-Edit-by-Sociolla-i.224957239.7839043333")</f>
        <v>https://shopee.co.id/Special-Divine-Pearl-Serum-Size-33-ml-Edit-by-Sociolla-i.224957239.7839043333</v>
      </c>
      <c r="C1571" s="8" t="s">
        <v>1579</v>
      </c>
      <c r="D1571" s="8" t="s">
        <v>492</v>
      </c>
      <c r="E1571" s="8" t="s">
        <v>12</v>
      </c>
      <c r="F1571" s="8" t="s">
        <v>13</v>
      </c>
      <c r="G1571" s="8" t="s">
        <v>21</v>
      </c>
      <c r="H1571" s="16">
        <v>9.0</v>
      </c>
      <c r="I1571" s="15" t="str">
        <f>SUBSTITUTE(Sheet1!K1571, "Rp", "")</f>
        <v>6631700</v>
      </c>
    </row>
    <row r="1572">
      <c r="A1572" s="8" t="s">
        <v>856</v>
      </c>
      <c r="B1572" s="13" t="str">
        <f>HYPERLINK("https://shopee.co.id/Sulwhasoo-Concentrated-Ginseng-Renewing-Serum-Cream-Set-i.274949344.8929965708", "https://shopee.co.id/Sulwhasoo-Concentrated-Ginseng-Renewing-Serum-Cream-Set-i.274949344.8929965708")</f>
        <v>https://shopee.co.id/Sulwhasoo-Concentrated-Ginseng-Renewing-Serum-Cream-Set-i.274949344.8929965708</v>
      </c>
      <c r="C1572" s="8" t="s">
        <v>282</v>
      </c>
      <c r="D1572" s="8" t="s">
        <v>283</v>
      </c>
      <c r="E1572" s="8" t="s">
        <v>12</v>
      </c>
      <c r="F1572" s="8" t="s">
        <v>13</v>
      </c>
      <c r="G1572" s="8" t="s">
        <v>61</v>
      </c>
      <c r="H1572" s="16">
        <v>9.0</v>
      </c>
      <c r="I1572" s="15" t="str">
        <f>SUBSTITUTE(Sheet1!K1572, "Rp", "")</f>
        <v>26915800</v>
      </c>
    </row>
    <row r="1573">
      <c r="A1573" s="8" t="s">
        <v>841</v>
      </c>
      <c r="B1573" s="13" t="str">
        <f>HYPERLINK("https://shopee.co.id/Sulwhasoo-Snowise-Brightening-Serum-Set-i.274949344.3584963192", "https://shopee.co.id/Sulwhasoo-Snowise-Brightening-Serum-Set-i.274949344.3584963192")</f>
        <v>https://shopee.co.id/Sulwhasoo-Snowise-Brightening-Serum-Set-i.274949344.3584963192</v>
      </c>
      <c r="C1573" s="8" t="s">
        <v>282</v>
      </c>
      <c r="D1573" s="8" t="s">
        <v>283</v>
      </c>
      <c r="E1573" s="8" t="s">
        <v>12</v>
      </c>
      <c r="F1573" s="8" t="s">
        <v>13</v>
      </c>
      <c r="G1573" s="8" t="s">
        <v>61</v>
      </c>
      <c r="H1573" s="16">
        <v>9.0</v>
      </c>
      <c r="I1573" s="15" t="str">
        <f>SUBSTITUTE(Sheet1!K1573, "Rp", "")</f>
        <v>27457500</v>
      </c>
    </row>
    <row r="1574">
      <c r="A1574" s="8" t="s">
        <v>2595</v>
      </c>
      <c r="B1574" s="13" t="str">
        <f>HYPERLINK("https://shopee.co.id/Tea-Tree-Serum-i.180415888.3378261663", "https://shopee.co.id/Tea-Tree-Serum-i.180415888.3378261663")</f>
        <v>https://shopee.co.id/Tea-Tree-Serum-i.180415888.3378261663</v>
      </c>
      <c r="C1574" s="8" t="s">
        <v>456</v>
      </c>
      <c r="D1574" s="8" t="s">
        <v>457</v>
      </c>
      <c r="E1574" s="8" t="s">
        <v>12</v>
      </c>
      <c r="F1574" s="8" t="s">
        <v>13</v>
      </c>
      <c r="G1574" s="8" t="s">
        <v>80</v>
      </c>
      <c r="H1574" s="16">
        <v>9.0</v>
      </c>
      <c r="I1574" s="15" t="str">
        <f>SUBSTITUTE(Sheet1!K1574, "Rp", "")</f>
        <v>1485000</v>
      </c>
    </row>
    <row r="1575">
      <c r="A1575" s="8" t="s">
        <v>1222</v>
      </c>
      <c r="B1575" s="13" t="str">
        <f>HYPERLINK("https://shopee.co.id/The-Aubree-Centella-Herb-Serum-30-ml-i.110573301.4183454239", "https://shopee.co.id/The-Aubree-Centella-Herb-Serum-30-ml-i.110573301.4183454239")</f>
        <v>https://shopee.co.id/The-Aubree-Centella-Herb-Serum-30-ml-i.110573301.4183454239</v>
      </c>
      <c r="C1575" s="8" t="s">
        <v>772</v>
      </c>
      <c r="D1575" s="8" t="s">
        <v>227</v>
      </c>
      <c r="E1575" s="8" t="s">
        <v>12</v>
      </c>
      <c r="F1575" s="8" t="s">
        <v>13</v>
      </c>
      <c r="G1575" s="8" t="s">
        <v>61</v>
      </c>
      <c r="H1575" s="16">
        <v>9.0</v>
      </c>
      <c r="I1575" s="15" t="str">
        <f>SUBSTITUTE(Sheet1!K1575, "Rp", "")</f>
        <v>868500</v>
      </c>
    </row>
    <row r="1576">
      <c r="A1576" s="8" t="s">
        <v>2188</v>
      </c>
      <c r="B1576" s="13" t="str">
        <f>HYPERLINK("https://shopee.co.id/Tuesbelle-BHUMI-HPR-Retinol-Serum-30-ml-i.36872574.10539315928", "https://shopee.co.id/Tuesbelle-BHUMI-HPR-Retinol-Serum-30-ml-i.36872574.10539315928")</f>
        <v>https://shopee.co.id/Tuesbelle-BHUMI-HPR-Retinol-Serum-30-ml-i.36872574.10539315928</v>
      </c>
      <c r="C1576" s="8" t="s">
        <v>753</v>
      </c>
      <c r="D1576" s="8" t="s">
        <v>969</v>
      </c>
      <c r="E1576" s="8" t="s">
        <v>12</v>
      </c>
      <c r="F1576" s="8" t="s">
        <v>13</v>
      </c>
      <c r="G1576" s="8" t="s">
        <v>115</v>
      </c>
      <c r="H1576" s="16">
        <v>9.0</v>
      </c>
      <c r="I1576" s="15" t="str">
        <f>SUBSTITUTE(Sheet1!K1576, "Rp", "")</f>
        <v>2583300</v>
      </c>
    </row>
    <row r="1577">
      <c r="A1577" s="8" t="s">
        <v>2925</v>
      </c>
      <c r="B1577" s="13" t="str">
        <f>HYPERLINK("https://shopee.co.id/Utama-Spice-Acne-Night-Serum-30-ml-i.53018304.1265420489", "https://shopee.co.id/Utama-Spice-Acne-Night-Serum-30-ml-i.53018304.1265420489")</f>
        <v>https://shopee.co.id/Utama-Spice-Acne-Night-Serum-30-ml-i.53018304.1265420489</v>
      </c>
      <c r="C1577" s="8" t="s">
        <v>2926</v>
      </c>
      <c r="D1577" s="8" t="s">
        <v>2927</v>
      </c>
      <c r="E1577" s="8" t="s">
        <v>12</v>
      </c>
      <c r="F1577" s="8" t="s">
        <v>13</v>
      </c>
      <c r="G1577" s="8" t="s">
        <v>2928</v>
      </c>
      <c r="H1577" s="16">
        <v>9.0</v>
      </c>
      <c r="I1577" s="15" t="str">
        <f>SUBSTITUTE(Sheet1!K1577, "Rp", "")</f>
        <v>861250</v>
      </c>
    </row>
    <row r="1578">
      <c r="A1578" s="8" t="s">
        <v>2933</v>
      </c>
      <c r="B1578" s="13" t="str">
        <f>HYPERLINK("https://shopee.co.id/WHITELAB-RETINOID-INTENSIVE-CARE-SERUM-15ML-i.50972887.10142056453", "https://shopee.co.id/WHITELAB-RETINOID-INTENSIVE-CARE-SERUM-15ML-i.50972887.10142056453")</f>
        <v>https://shopee.co.id/WHITELAB-RETINOID-INTENSIVE-CARE-SERUM-15ML-i.50972887.10142056453</v>
      </c>
      <c r="C1578" s="8" t="s">
        <v>59</v>
      </c>
      <c r="D1578" s="8" t="s">
        <v>552</v>
      </c>
      <c r="E1578" s="8" t="s">
        <v>12</v>
      </c>
      <c r="F1578" s="8" t="s">
        <v>13</v>
      </c>
      <c r="G1578" s="8" t="s">
        <v>61</v>
      </c>
      <c r="H1578" s="16">
        <v>9.0</v>
      </c>
      <c r="I1578" s="15" t="str">
        <f>SUBSTITUTE(Sheet1!K1578, "Rp", "")</f>
        <v>852300</v>
      </c>
    </row>
    <row r="1579">
      <c r="A1579" s="8" t="s">
        <v>1671</v>
      </c>
      <c r="B1579" s="13" t="str">
        <f>HYPERLINK("https://shopee.co.id/Yves-Rocher-White-Botanical-Youth-Essence-Anti-Dark-Spot-30-ML-i.70687187.4101474101", "https://shopee.co.id/Yves-Rocher-White-Botanical-Youth-Essence-Anti-Dark-Spot-30-ML-i.70687187.4101474101")</f>
        <v>https://shopee.co.id/Yves-Rocher-White-Botanical-Youth-Essence-Anti-Dark-Spot-30-ML-i.70687187.4101474101</v>
      </c>
      <c r="C1579" s="8" t="s">
        <v>1672</v>
      </c>
      <c r="D1579" s="8" t="s">
        <v>1673</v>
      </c>
      <c r="E1579" s="8" t="s">
        <v>12</v>
      </c>
      <c r="F1579" s="8" t="s">
        <v>13</v>
      </c>
      <c r="G1579" s="8" t="s">
        <v>61</v>
      </c>
      <c r="H1579" s="16">
        <v>9.0</v>
      </c>
      <c r="I1579" s="15" t="str">
        <f>SUBSTITUTE(Sheet1!K1579, "Rp", "")</f>
        <v>5733000</v>
      </c>
    </row>
    <row r="1580">
      <c r="A1580" s="8" t="s">
        <v>2781</v>
      </c>
      <c r="B1580" s="13" t="str">
        <f>HYPERLINK("https://shopee.co.id/Avoskin-Your-Skin-Bae-Serum-Salicylic-Acid-2-Zinc-30ml-i.50948181.5094170127", "https://shopee.co.id/Avoskin-Your-Skin-Bae-Serum-Salicylic-Acid-2-Zinc-30ml-i.50948181.5094170127")</f>
        <v>https://shopee.co.id/Avoskin-Your-Skin-Bae-Serum-Salicylic-Acid-2-Zinc-30ml-i.50948181.5094170127</v>
      </c>
      <c r="C1580" s="8" t="s">
        <v>83</v>
      </c>
      <c r="D1580" s="8" t="s">
        <v>1129</v>
      </c>
      <c r="E1580" s="8" t="s">
        <v>12</v>
      </c>
      <c r="F1580" s="8" t="s">
        <v>13</v>
      </c>
      <c r="G1580" s="8" t="s">
        <v>1130</v>
      </c>
      <c r="H1580" s="16">
        <v>8.0</v>
      </c>
      <c r="I1580" s="15" t="str">
        <f>SUBSTITUTE(Sheet1!K1580, "Rp", "")</f>
        <v>1091500</v>
      </c>
    </row>
    <row r="1581">
      <c r="A1581" s="8" t="s">
        <v>3196</v>
      </c>
      <c r="B1581" s="13" t="str">
        <f>HYPERLINK("https://shopee.co.id/-BPOM-LANBENA-Serum-Treatment-A-2pcs--i.397732085.9178854831", "https://shopee.co.id/-BPOM-LANBENA-Serum-Treatment-A-2pcs--i.397732085.9178854831")</f>
        <v>https://shopee.co.id/-BPOM-LANBENA-Serum-Treatment-A-2pcs--i.397732085.9178854831</v>
      </c>
      <c r="C1581" s="8" t="s">
        <v>1427</v>
      </c>
      <c r="D1581" s="8" t="s">
        <v>1428</v>
      </c>
      <c r="E1581" s="8" t="s">
        <v>12</v>
      </c>
      <c r="F1581" s="8" t="s">
        <v>13</v>
      </c>
      <c r="G1581" s="8" t="s">
        <v>532</v>
      </c>
      <c r="H1581" s="16">
        <v>8.0</v>
      </c>
      <c r="I1581" s="15" t="str">
        <f>SUBSTITUTE(Sheet1!K1581, "Rp", "")</f>
        <v>520400</v>
      </c>
    </row>
    <row r="1582">
      <c r="A1582" s="8" t="s">
        <v>3038</v>
      </c>
      <c r="B1582" s="13" t="str">
        <f>HYPERLINK("https://shopee.co.id/True-to-Skin-Hyaluronic-Acid-Hydrating-Serum-Pure-Mini-HA-Vit-B5-Allantoin-20ml-i.50948181.9227561288", "https://shopee.co.id/True-to-Skin-Hyaluronic-Acid-Hydrating-Serum-Pure-Mini-HA-Vit-B5-Allantoin-20ml-i.50948181.9227561288")</f>
        <v>https://shopee.co.id/True-to-Skin-Hyaluronic-Acid-Hydrating-Serum-Pure-Mini-HA-Vit-B5-Allantoin-20ml-i.50948181.9227561288</v>
      </c>
      <c r="C1582" s="8" t="s">
        <v>666</v>
      </c>
      <c r="D1582" s="8" t="s">
        <v>1129</v>
      </c>
      <c r="E1582" s="8" t="s">
        <v>12</v>
      </c>
      <c r="F1582" s="8" t="s">
        <v>13</v>
      </c>
      <c r="G1582" s="8" t="s">
        <v>1130</v>
      </c>
      <c r="H1582" s="16">
        <v>8.0</v>
      </c>
      <c r="I1582" s="15" t="str">
        <f>SUBSTITUTE(Sheet1!K1582, "Rp", "")</f>
        <v>688880</v>
      </c>
    </row>
    <row r="1583">
      <c r="A1583" s="8" t="s">
        <v>2302</v>
      </c>
      <c r="B1583" s="13" t="str">
        <f>HYPERLINK("https://shopee.co.id/-FREE-COTTON-MASK-Haple-Bundle-La-Luna-Anti-Aging-Serum-Silvermoon-Calming-Serum-i.26944218.5388019942", "https://shopee.co.id/-FREE-COTTON-MASK-Haple-Bundle-La-Luna-Anti-Aging-Serum-Silvermoon-Calming-Serum-i.26944218.5388019942")</f>
        <v>https://shopee.co.id/-FREE-COTTON-MASK-Haple-Bundle-La-Luna-Anti-Aging-Serum-Silvermoon-Calming-Serum-i.26944218.5388019942</v>
      </c>
      <c r="C1583" s="8" t="s">
        <v>1415</v>
      </c>
      <c r="D1583" s="8" t="s">
        <v>1416</v>
      </c>
      <c r="E1583" s="8" t="s">
        <v>12</v>
      </c>
      <c r="F1583" s="8" t="s">
        <v>13</v>
      </c>
      <c r="G1583" s="8" t="s">
        <v>21</v>
      </c>
      <c r="H1583" s="16">
        <v>8.0</v>
      </c>
      <c r="I1583" s="15" t="str">
        <f>SUBSTITUTE(Sheet1!K1583, "Rp", "")</f>
        <v>2280000</v>
      </c>
    </row>
    <row r="1584">
      <c r="A1584" s="8" t="s">
        <v>3494</v>
      </c>
      <c r="B1584" s="13" t="str">
        <f>HYPERLINK("https://shopee.co.id/-READY-STOCK-BIOAQUA-serum-wajah-24K-Gold-Essence-Cream-Original-50g-BPOM-i.297682305.12715466237", "https://shopee.co.id/-READY-STOCK-BIOAQUA-serum-wajah-24K-Gold-Essence-Cream-Original-50g-BPOM-i.297682305.12715466237")</f>
        <v>https://shopee.co.id/-READY-STOCK-BIOAQUA-serum-wajah-24K-Gold-Essence-Cream-Original-50g-BPOM-i.297682305.12715466237</v>
      </c>
      <c r="C1584" s="8" t="s">
        <v>3446</v>
      </c>
      <c r="D1584" s="8" t="s">
        <v>1745</v>
      </c>
      <c r="E1584" s="8" t="s">
        <v>12</v>
      </c>
      <c r="F1584" s="8" t="s">
        <v>13</v>
      </c>
      <c r="G1584" s="8" t="s">
        <v>61</v>
      </c>
      <c r="H1584" s="16">
        <v>8.0</v>
      </c>
      <c r="I1584" s="15" t="str">
        <f>SUBSTITUTE(Sheet1!K1584, "Rp", "")</f>
        <v>287992</v>
      </c>
    </row>
    <row r="1585">
      <c r="A1585" s="8" t="s">
        <v>2052</v>
      </c>
      <c r="B1585" s="13" t="str">
        <f>HYPERLINK("https://shopee.co.id/AHC-Peony-Bright-Luminous-Serum-Size-40-ml-Edit-by-Sociolla-i.224957239.3245448269", "https://shopee.co.id/AHC-Peony-Bright-Luminous-Serum-Size-40-ml-Edit-by-Sociolla-i.224957239.3245448269")</f>
        <v>https://shopee.co.id/AHC-Peony-Bright-Luminous-Serum-Size-40-ml-Edit-by-Sociolla-i.224957239.3245448269</v>
      </c>
      <c r="C1585" s="8" t="s">
        <v>2053</v>
      </c>
      <c r="D1585" s="8" t="s">
        <v>492</v>
      </c>
      <c r="E1585" s="8" t="s">
        <v>12</v>
      </c>
      <c r="F1585" s="8" t="s">
        <v>13</v>
      </c>
      <c r="G1585" s="8" t="s">
        <v>21</v>
      </c>
      <c r="H1585" s="16">
        <v>8.0</v>
      </c>
      <c r="I1585" s="15" t="str">
        <f>SUBSTITUTE(Sheet1!K1585, "Rp", "")</f>
        <v>3255000</v>
      </c>
    </row>
    <row r="1586">
      <c r="A1586" s="8" t="s">
        <v>2908</v>
      </c>
      <c r="B1586" s="13" t="str">
        <f>HYPERLINK("https://shopee.co.id/ARIUL-Watermelon-Hydro-Glow-Serum-55ml-i.270965687.8518598335", "https://shopee.co.id/ARIUL-Watermelon-Hydro-Glow-Serum-55ml-i.270965687.8518598335")</f>
        <v>https://shopee.co.id/ARIUL-Watermelon-Hydro-Glow-Serum-55ml-i.270965687.8518598335</v>
      </c>
      <c r="C1586" s="8" t="s">
        <v>2350</v>
      </c>
      <c r="D1586" s="8" t="s">
        <v>379</v>
      </c>
      <c r="E1586" s="8" t="s">
        <v>12</v>
      </c>
      <c r="F1586" s="8" t="s">
        <v>13</v>
      </c>
      <c r="G1586" s="8" t="s">
        <v>380</v>
      </c>
      <c r="H1586" s="16">
        <v>8.0</v>
      </c>
      <c r="I1586" s="15" t="str">
        <f>SUBSTITUTE(Sheet1!K1586, "Rp", "")</f>
        <v>890400</v>
      </c>
    </row>
    <row r="1587">
      <c r="A1587" s="8" t="s">
        <v>1565</v>
      </c>
      <c r="B1587" s="13" t="str">
        <f>HYPERLINK("https://shopee.co.id/Aura-Bright-Glutathione-5Ml-i.127215672.8706171575", "https://shopee.co.id/Aura-Bright-Glutathione-5Ml-i.127215672.8706171575")</f>
        <v>https://shopee.co.id/Aura-Bright-Glutathione-5Ml-i.127215672.8706171575</v>
      </c>
      <c r="C1587" s="8" t="s">
        <v>90</v>
      </c>
      <c r="D1587" s="8" t="s">
        <v>91</v>
      </c>
      <c r="E1587" s="8" t="s">
        <v>12</v>
      </c>
      <c r="F1587" s="8" t="s">
        <v>13</v>
      </c>
      <c r="G1587" s="8" t="s">
        <v>21</v>
      </c>
      <c r="H1587" s="16">
        <v>8.0</v>
      </c>
      <c r="I1587" s="15" t="str">
        <f>SUBSTITUTE(Sheet1!K1587, "Rp", "")</f>
        <v>6900000</v>
      </c>
    </row>
    <row r="1588">
      <c r="A1588" s="8" t="s">
        <v>1225</v>
      </c>
      <c r="B1588" s="13" t="str">
        <f>HYPERLINK("https://shopee.co.id/Avoskin-Miraculous-Refining-Serum-30ml-i.825870.1921438649", "https://shopee.co.id/Avoskin-Miraculous-Refining-Serum-30ml-i.825870.1921438649")</f>
        <v>https://shopee.co.id/Avoskin-Miraculous-Refining-Serum-30ml-i.825870.1921438649</v>
      </c>
      <c r="C1588" s="8" t="s">
        <v>83</v>
      </c>
      <c r="D1588" s="8" t="s">
        <v>1184</v>
      </c>
      <c r="E1588" s="8" t="s">
        <v>12</v>
      </c>
      <c r="F1588" s="8" t="s">
        <v>13</v>
      </c>
      <c r="G1588" s="8" t="s">
        <v>21</v>
      </c>
      <c r="H1588" s="16">
        <v>8.0</v>
      </c>
      <c r="I1588" s="15" t="str">
        <f>SUBSTITUTE(Sheet1!K1588, "Rp", "")</f>
        <v>1912000</v>
      </c>
    </row>
    <row r="1589">
      <c r="A1589" s="8" t="s">
        <v>1036</v>
      </c>
      <c r="B1589" s="13" t="str">
        <f>HYPERLINK("https://shopee.co.id/Avoskin-Perfect-Hydrating-Treatment-Essence-i.10689.1593240165", "https://shopee.co.id/Avoskin-Perfect-Hydrating-Treatment-Essence-i.10689.1593240165")</f>
        <v>https://shopee.co.id/Avoskin-Perfect-Hydrating-Treatment-Essence-i.10689.1593240165</v>
      </c>
      <c r="C1589" s="8" t="s">
        <v>83</v>
      </c>
      <c r="D1589" s="8" t="s">
        <v>745</v>
      </c>
      <c r="E1589" s="8" t="s">
        <v>12</v>
      </c>
      <c r="F1589" s="8" t="s">
        <v>13</v>
      </c>
      <c r="G1589" s="8" t="s">
        <v>61</v>
      </c>
      <c r="H1589" s="16">
        <v>8.0</v>
      </c>
      <c r="I1589" s="15" t="str">
        <f>SUBSTITUTE(Sheet1!K1589, "Rp", "")</f>
        <v>1112000</v>
      </c>
    </row>
    <row r="1590">
      <c r="A1590" s="8" t="s">
        <v>100</v>
      </c>
      <c r="B1590" s="13" t="str">
        <f>HYPERLINK("https://shopee.co.id/Avoskin-Perfect-Hydrating-Treatment-Essence-100ml-i.53497038.3736419757", "https://shopee.co.id/Avoskin-Perfect-Hydrating-Treatment-Essence-100ml-i.53497038.3736419757")</f>
        <v>https://shopee.co.id/Avoskin-Perfect-Hydrating-Treatment-Essence-100ml-i.53497038.3736419757</v>
      </c>
      <c r="C1590" s="8" t="s">
        <v>83</v>
      </c>
      <c r="D1590" s="8" t="s">
        <v>907</v>
      </c>
      <c r="E1590" s="8" t="s">
        <v>12</v>
      </c>
      <c r="F1590" s="8" t="s">
        <v>13</v>
      </c>
      <c r="G1590" s="8" t="s">
        <v>61</v>
      </c>
      <c r="H1590" s="16">
        <v>8.0</v>
      </c>
      <c r="I1590" s="15" t="str">
        <f>SUBSTITUTE(Sheet1!K1590, "Rp", "")</f>
        <v>2098140</v>
      </c>
    </row>
    <row r="1591">
      <c r="A1591" s="8" t="s">
        <v>1624</v>
      </c>
      <c r="B1591" s="13" t="str">
        <f>HYPERLINK("https://shopee.co.id/Avoskin-Perfect-Hydrating-Treatment-Essence-30ml-i.825870.1807816482", "https://shopee.co.id/Avoskin-Perfect-Hydrating-Treatment-Essence-30ml-i.825870.1807816482")</f>
        <v>https://shopee.co.id/Avoskin-Perfect-Hydrating-Treatment-Essence-30ml-i.825870.1807816482</v>
      </c>
      <c r="C1591" s="8" t="s">
        <v>83</v>
      </c>
      <c r="D1591" s="8" t="s">
        <v>1184</v>
      </c>
      <c r="E1591" s="8" t="s">
        <v>12</v>
      </c>
      <c r="F1591" s="8" t="s">
        <v>13</v>
      </c>
      <c r="G1591" s="8" t="s">
        <v>21</v>
      </c>
      <c r="H1591" s="16">
        <v>8.0</v>
      </c>
      <c r="I1591" s="15" t="str">
        <f>SUBSTITUTE(Sheet1!K1591, "Rp", "")</f>
        <v>1112000</v>
      </c>
    </row>
    <row r="1592">
      <c r="A1592" s="8" t="s">
        <v>2754</v>
      </c>
      <c r="B1592" s="13" t="str">
        <f>HYPERLINK("https://shopee.co.id/Avoskin-YSB-Azeclair-10-Kombucha-3-Niacinamide-2-5-Vaccine-Serum-i.110573301.9691142432", "https://shopee.co.id/Avoskin-YSB-Azeclair-10-Kombucha-3-Niacinamide-2-5-Vaccine-Serum-i.110573301.9691142432")</f>
        <v>https://shopee.co.id/Avoskin-YSB-Azeclair-10-Kombucha-3-Niacinamide-2-5-Vaccine-Serum-i.110573301.9691142432</v>
      </c>
      <c r="C1592" s="8" t="s">
        <v>83</v>
      </c>
      <c r="D1592" s="8" t="s">
        <v>227</v>
      </c>
      <c r="E1592" s="8" t="s">
        <v>12</v>
      </c>
      <c r="F1592" s="8" t="s">
        <v>13</v>
      </c>
      <c r="G1592" s="8" t="s">
        <v>61</v>
      </c>
      <c r="H1592" s="16">
        <v>8.0</v>
      </c>
      <c r="I1592" s="15" t="str">
        <f>SUBSTITUTE(Sheet1!K1592, "Rp", "")</f>
        <v>1138700</v>
      </c>
    </row>
    <row r="1593">
      <c r="A1593" s="8" t="s">
        <v>2447</v>
      </c>
      <c r="B1593" s="13" t="str">
        <f>HYPERLINK("https://shopee.co.id/AZARINE-Anti-Acne-Brightening-Serum-20-ml-i.270965687.8173423720", "https://shopee.co.id/AZARINE-Anti-Acne-Brightening-Serum-20-ml-i.270965687.8173423720")</f>
        <v>https://shopee.co.id/AZARINE-Anti-Acne-Brightening-Serum-20-ml-i.270965687.8173423720</v>
      </c>
      <c r="C1593" s="8" t="s">
        <v>233</v>
      </c>
      <c r="D1593" s="8" t="s">
        <v>379</v>
      </c>
      <c r="E1593" s="8" t="s">
        <v>12</v>
      </c>
      <c r="F1593" s="8" t="s">
        <v>13</v>
      </c>
      <c r="G1593" s="8" t="s">
        <v>380</v>
      </c>
      <c r="H1593" s="16">
        <v>8.0</v>
      </c>
      <c r="I1593" s="15" t="str">
        <f>SUBSTITUTE(Sheet1!K1593, "Rp", "")</f>
        <v>240000</v>
      </c>
    </row>
    <row r="1594">
      <c r="A1594" s="8" t="s">
        <v>3421</v>
      </c>
      <c r="B1594" s="13" t="str">
        <f>HYPERLINK("https://shopee.co.id/AZARINE-C-WHITE-REFRESHING-ESSENCE-MIST-85-ML-i.50972887.9153765240", "https://shopee.co.id/AZARINE-C-WHITE-REFRESHING-ESSENCE-MIST-85-ML-i.50972887.9153765240")</f>
        <v>https://shopee.co.id/AZARINE-C-WHITE-REFRESHING-ESSENCE-MIST-85-ML-i.50972887.9153765240</v>
      </c>
      <c r="C1594" s="8" t="s">
        <v>233</v>
      </c>
      <c r="D1594" s="8" t="s">
        <v>552</v>
      </c>
      <c r="E1594" s="8" t="s">
        <v>12</v>
      </c>
      <c r="F1594" s="8" t="s">
        <v>13</v>
      </c>
      <c r="G1594" s="8" t="s">
        <v>61</v>
      </c>
      <c r="H1594" s="16">
        <v>8.0</v>
      </c>
      <c r="I1594" s="15" t="str">
        <f>SUBSTITUTE(Sheet1!K1594, "Rp", "")</f>
        <v>343200</v>
      </c>
    </row>
    <row r="1595">
      <c r="A1595" s="8" t="s">
        <v>3568</v>
      </c>
      <c r="B1595" s="13" t="str">
        <f>HYPERLINK("https://shopee.co.id/Beautybarme-Azarine-Trio-Serum-Collection-i.28781862.8744628645", "https://shopee.co.id/Beautybarme-Azarine-Trio-Serum-Collection-i.28781862.8744628645")</f>
        <v>https://shopee.co.id/Beautybarme-Azarine-Trio-Serum-Collection-i.28781862.8744628645</v>
      </c>
      <c r="C1595" s="8" t="s">
        <v>233</v>
      </c>
      <c r="D1595" s="8" t="s">
        <v>1189</v>
      </c>
      <c r="E1595" s="8" t="s">
        <v>12</v>
      </c>
      <c r="F1595" s="8" t="s">
        <v>13</v>
      </c>
      <c r="G1595" s="8" t="s">
        <v>1190</v>
      </c>
      <c r="H1595" s="16">
        <v>8.0</v>
      </c>
      <c r="I1595" s="15" t="str">
        <f>SUBSTITUTE(Sheet1!K1595, "Rp", "")</f>
        <v>240000</v>
      </c>
    </row>
    <row r="1596">
      <c r="A1596" s="8" t="s">
        <v>2633</v>
      </c>
      <c r="B1596" s="13" t="str">
        <f>HYPERLINK("https://shopee.co.id/Beautybarme-Some-By-Mi-Snail-Truecica-Miracle-Repair-Serum-i.28781862.2327906617", "https://shopee.co.id/Beautybarme-Some-By-Mi-Snail-Truecica-Miracle-Repair-Serum-i.28781862.2327906617")</f>
        <v>https://shopee.co.id/Beautybarme-Some-By-Mi-Snail-Truecica-Miracle-Repair-Serum-i.28781862.2327906617</v>
      </c>
      <c r="C1596" s="8" t="s">
        <v>213</v>
      </c>
      <c r="D1596" s="8" t="s">
        <v>1189</v>
      </c>
      <c r="E1596" s="8" t="s">
        <v>12</v>
      </c>
      <c r="F1596" s="8" t="s">
        <v>13</v>
      </c>
      <c r="G1596" s="8" t="s">
        <v>1190</v>
      </c>
      <c r="H1596" s="16">
        <v>8.0</v>
      </c>
      <c r="I1596" s="15" t="str">
        <f>SUBSTITUTE(Sheet1!K1596, "Rp", "")</f>
        <v>1362000</v>
      </c>
    </row>
    <row r="1597">
      <c r="A1597" s="8" t="s">
        <v>2800</v>
      </c>
      <c r="B1597" s="13" t="str">
        <f>HYPERLINK("https://shopee.co.id/Benton-Cacao-Moist-And-Mild-Serum-i.125116082.4619170581", "https://shopee.co.id/Benton-Cacao-Moist-And-Mild-Serum-i.125116082.4619170581")</f>
        <v>https://shopee.co.id/Benton-Cacao-Moist-And-Mild-Serum-i.125116082.4619170581</v>
      </c>
      <c r="C1597" s="8" t="s">
        <v>2240</v>
      </c>
      <c r="D1597" s="8" t="s">
        <v>713</v>
      </c>
      <c r="E1597" s="8" t="s">
        <v>12</v>
      </c>
      <c r="F1597" s="8" t="s">
        <v>13</v>
      </c>
      <c r="G1597" s="8" t="s">
        <v>61</v>
      </c>
      <c r="H1597" s="16">
        <v>8.0</v>
      </c>
      <c r="I1597" s="15" t="str">
        <f>SUBSTITUTE(Sheet1!K1597, "Rp", "")</f>
        <v>1062500</v>
      </c>
    </row>
    <row r="1598">
      <c r="A1598" s="8" t="s">
        <v>2706</v>
      </c>
      <c r="B1598" s="13" t="str">
        <f>HYPERLINK("https://shopee.co.id/Benton-Deep-Green-Tea-Serum-30-ml-i.125116082.6978725768", "https://shopee.co.id/Benton-Deep-Green-Tea-Serum-30-ml-i.125116082.6978725768")</f>
        <v>https://shopee.co.id/Benton-Deep-Green-Tea-Serum-30-ml-i.125116082.6978725768</v>
      </c>
      <c r="C1598" s="8" t="s">
        <v>456</v>
      </c>
      <c r="D1598" s="8" t="s">
        <v>713</v>
      </c>
      <c r="E1598" s="8" t="s">
        <v>12</v>
      </c>
      <c r="F1598" s="8" t="s">
        <v>13</v>
      </c>
      <c r="G1598" s="8" t="s">
        <v>61</v>
      </c>
      <c r="H1598" s="16">
        <v>8.0</v>
      </c>
      <c r="I1598" s="15" t="str">
        <f>SUBSTITUTE(Sheet1!K1598, "Rp", "")</f>
        <v>1215100</v>
      </c>
    </row>
    <row r="1599">
      <c r="A1599" s="8" t="s">
        <v>2886</v>
      </c>
      <c r="B1599" s="13" t="str">
        <f>HYPERLINK("https://shopee.co.id/Best-Serum-Anti-Aging-Mireya-Retinol-Biostine-Anti-Aging-Boost-Serum-Mireya-Glow-C-Youth-Boost-i.101578297.9464456313", "https://shopee.co.id/Best-Serum-Anti-Aging-Mireya-Retinol-Biostine-Anti-Aging-Boost-Serum-Mireya-Glow-C-Youth-Boost-i.101578297.9464456313")</f>
        <v>https://shopee.co.id/Best-Serum-Anti-Aging-Mireya-Retinol-Biostine-Anti-Aging-Boost-Serum-Mireya-Glow-C-Youth-Boost-i.101578297.9464456313</v>
      </c>
      <c r="C1599" s="8" t="s">
        <v>2430</v>
      </c>
      <c r="D1599" s="8" t="s">
        <v>2431</v>
      </c>
      <c r="E1599" s="8" t="s">
        <v>12</v>
      </c>
      <c r="F1599" s="8" t="s">
        <v>13</v>
      </c>
      <c r="G1599" s="8" t="s">
        <v>21</v>
      </c>
      <c r="H1599" s="16">
        <v>8.0</v>
      </c>
      <c r="I1599" s="15" t="str">
        <f>SUBSTITUTE(Sheet1!K1599, "Rp", "")</f>
        <v>919800</v>
      </c>
    </row>
    <row r="1600">
      <c r="A1600" s="8" t="s">
        <v>3246</v>
      </c>
      <c r="B1600" s="13" t="str">
        <f>HYPERLINK("https://shopee.co.id/Bio-Essence-24K-Gold-Radiance-Clnsr-100-g-i.186214521.4416797738", "https://shopee.co.id/Bio-Essence-24K-Gold-Radiance-Clnsr-100-g-i.186214521.4416797738")</f>
        <v>https://shopee.co.id/Bio-Essence-24K-Gold-Radiance-Clnsr-100-g-i.186214521.4416797738</v>
      </c>
      <c r="C1600" s="8" t="s">
        <v>1254</v>
      </c>
      <c r="D1600" s="8" t="s">
        <v>2293</v>
      </c>
      <c r="E1600" s="8" t="s">
        <v>12</v>
      </c>
      <c r="F1600" s="8" t="s">
        <v>13</v>
      </c>
      <c r="G1600" s="8" t="s">
        <v>61</v>
      </c>
      <c r="H1600" s="16">
        <v>8.0</v>
      </c>
      <c r="I1600" s="15" t="str">
        <f>SUBSTITUTE(Sheet1!K1600, "Rp", "")</f>
        <v>487200</v>
      </c>
    </row>
    <row r="1601">
      <c r="A1601" s="8" t="s">
        <v>2254</v>
      </c>
      <c r="B1601" s="13" t="str">
        <f>HYPERLINK("https://shopee.co.id/Bio-Essence-Bio-Vlift-Face-Lifting-Cream-45-gr-i.63822287.8023471600", "https://shopee.co.id/Bio-Essence-Bio-Vlift-Face-Lifting-Cream-45-gr-i.63822287.8023471600")</f>
        <v>https://shopee.co.id/Bio-Essence-Bio-Vlift-Face-Lifting-Cream-45-gr-i.63822287.8023471600</v>
      </c>
      <c r="C1601" s="8" t="s">
        <v>1254</v>
      </c>
      <c r="D1601" s="8" t="s">
        <v>835</v>
      </c>
      <c r="E1601" s="8" t="s">
        <v>12</v>
      </c>
      <c r="F1601" s="8" t="s">
        <v>13</v>
      </c>
      <c r="G1601" s="8" t="s">
        <v>61</v>
      </c>
      <c r="H1601" s="16">
        <v>8.0</v>
      </c>
      <c r="I1601" s="15" t="str">
        <f>SUBSTITUTE(Sheet1!K1601, "Rp", "")</f>
        <v>2396600</v>
      </c>
    </row>
    <row r="1602">
      <c r="A1602" s="8" t="s">
        <v>2946</v>
      </c>
      <c r="B1602" s="13" t="str">
        <f>HYPERLINK("https://shopee.co.id/BLOOMKA-Bakuchiol-Vitamin-B3-Facial-Treatment-Serum-20ml-i.68111.7279790806", "https://shopee.co.id/BLOOMKA-Bakuchiol-Vitamin-B3-Facial-Treatment-Serum-20ml-i.68111.7279790806")</f>
        <v>https://shopee.co.id/BLOOMKA-Bakuchiol-Vitamin-B3-Facial-Treatment-Serum-20ml-i.68111.7279790806</v>
      </c>
      <c r="C1602" s="8" t="s">
        <v>375</v>
      </c>
      <c r="D1602" s="8" t="s">
        <v>441</v>
      </c>
      <c r="E1602" s="8" t="s">
        <v>12</v>
      </c>
      <c r="F1602" s="8" t="s">
        <v>13</v>
      </c>
      <c r="G1602" s="8" t="s">
        <v>130</v>
      </c>
      <c r="H1602" s="16">
        <v>8.0</v>
      </c>
      <c r="I1602" s="15" t="str">
        <f>SUBSTITUTE(Sheet1!K1602, "Rp", "")</f>
        <v>828000</v>
      </c>
    </row>
    <row r="1603">
      <c r="A1603" s="8" t="s">
        <v>3392</v>
      </c>
      <c r="B1603" s="13" t="str">
        <f>HYPERLINK("https://shopee.co.id/BREYLEE-Serum-Mata-Roll-On-Retinol-Menyamarkan-Kerutan-Halus-15ml-i.68111.8653351393", "https://shopee.co.id/BREYLEE-Serum-Mata-Roll-On-Retinol-Menyamarkan-Kerutan-Halus-15ml-i.68111.8653351393")</f>
        <v>https://shopee.co.id/BREYLEE-Serum-Mata-Roll-On-Retinol-Menyamarkan-Kerutan-Halus-15ml-i.68111.8653351393</v>
      </c>
      <c r="C1603" s="8" t="s">
        <v>852</v>
      </c>
      <c r="D1603" s="8" t="s">
        <v>441</v>
      </c>
      <c r="E1603" s="8" t="s">
        <v>12</v>
      </c>
      <c r="F1603" s="8" t="s">
        <v>13</v>
      </c>
      <c r="G1603" s="8" t="s">
        <v>130</v>
      </c>
      <c r="H1603" s="16">
        <v>8.0</v>
      </c>
      <c r="I1603" s="15" t="str">
        <f>SUBSTITUTE(Sheet1!K1603, "Rp", "")</f>
        <v>369600</v>
      </c>
    </row>
    <row r="1604">
      <c r="A1604" s="8" t="s">
        <v>2734</v>
      </c>
      <c r="B1604" s="13" t="str">
        <f>HYPERLINK("https://shopee.co.id/Buy-1-Get-1-Bio-Essence-Bio-Treatment-Essence-In-Oil-60-ml-i.63822287.12001520468", "https://shopee.co.id/Buy-1-Get-1-Bio-Essence-Bio-Treatment-Essence-In-Oil-60-ml-i.63822287.12001520468")</f>
        <v>https://shopee.co.id/Buy-1-Get-1-Bio-Essence-Bio-Treatment-Essence-In-Oil-60-ml-i.63822287.12001520468</v>
      </c>
      <c r="C1604" s="8" t="s">
        <v>1254</v>
      </c>
      <c r="D1604" s="8" t="s">
        <v>835</v>
      </c>
      <c r="E1604" s="8" t="s">
        <v>12</v>
      </c>
      <c r="F1604" s="8" t="s">
        <v>13</v>
      </c>
      <c r="G1604" s="8" t="s">
        <v>61</v>
      </c>
      <c r="H1604" s="16">
        <v>8.0</v>
      </c>
      <c r="I1604" s="15" t="str">
        <f>SUBSTITUTE(Sheet1!K1604, "Rp", "")</f>
        <v>1176000</v>
      </c>
    </row>
    <row r="1605">
      <c r="A1605" s="8" t="s">
        <v>2437</v>
      </c>
      <c r="B1605" s="13" t="str">
        <f>HYPERLINK("https://shopee.co.id/Cosrx-Hyaluronic-Acid-Hydra-Power-Essence-100ml-i.30736001.8952381255", "https://shopee.co.id/Cosrx-Hyaluronic-Acid-Hydra-Power-Essence-100ml-i.30736001.8952381255")</f>
        <v>https://shopee.co.id/Cosrx-Hyaluronic-Acid-Hydra-Power-Essence-100ml-i.30736001.8952381255</v>
      </c>
      <c r="C1605" s="8" t="s">
        <v>1814</v>
      </c>
      <c r="D1605" s="8" t="s">
        <v>335</v>
      </c>
      <c r="E1605" s="8" t="s">
        <v>12</v>
      </c>
      <c r="F1605" s="8" t="s">
        <v>13</v>
      </c>
      <c r="G1605" s="8" t="s">
        <v>36</v>
      </c>
      <c r="H1605" s="16">
        <v>8.0</v>
      </c>
      <c r="I1605" s="15" t="str">
        <f>SUBSTITUTE(Sheet1!K1605, "Rp", "")</f>
        <v>1854800</v>
      </c>
    </row>
    <row r="1606">
      <c r="A1606" s="8" t="s">
        <v>2153</v>
      </c>
      <c r="B1606" s="13" t="str">
        <f>HYPERLINK("https://shopee.co.id/COSRX-Pure-Fit-Cica-Serum-size-30-ml-Edit-by-Sociolla-i.224957239.8546461903", "https://shopee.co.id/COSRX-Pure-Fit-Cica-Serum-size-30-ml-Edit-by-Sociolla-i.224957239.8546461903")</f>
        <v>https://shopee.co.id/COSRX-Pure-Fit-Cica-Serum-size-30-ml-Edit-by-Sociolla-i.224957239.8546461903</v>
      </c>
      <c r="C1606" s="8" t="s">
        <v>305</v>
      </c>
      <c r="D1606" s="8" t="s">
        <v>492</v>
      </c>
      <c r="E1606" s="8" t="s">
        <v>12</v>
      </c>
      <c r="F1606" s="8" t="s">
        <v>13</v>
      </c>
      <c r="G1606" s="8" t="s">
        <v>21</v>
      </c>
      <c r="H1606" s="16">
        <v>8.0</v>
      </c>
      <c r="I1606" s="15" t="str">
        <f>SUBSTITUTE(Sheet1!K1606, "Rp", "")</f>
        <v>2701000</v>
      </c>
    </row>
    <row r="1607">
      <c r="A1607" s="8" t="s">
        <v>2692</v>
      </c>
      <c r="B1607" s="13" t="str">
        <f>HYPERLINK("https://shopee.co.id/Crushlicious-Overnight-Glow-Serum-Niacinamide-Glow-Up-Facial-Serum-i.4184162.9060179550", "https://shopee.co.id/Crushlicious-Overnight-Glow-Serum-Niacinamide-Glow-Up-Facial-Serum-i.4184162.9060179550")</f>
        <v>https://shopee.co.id/Crushlicious-Overnight-Glow-Serum-Niacinamide-Glow-Up-Facial-Serum-i.4184162.9060179550</v>
      </c>
      <c r="C1607" s="8" t="s">
        <v>1619</v>
      </c>
      <c r="D1607" s="8" t="s">
        <v>1620</v>
      </c>
      <c r="E1607" s="8" t="s">
        <v>12</v>
      </c>
      <c r="F1607" s="8" t="s">
        <v>13</v>
      </c>
      <c r="G1607" s="8" t="s">
        <v>1621</v>
      </c>
      <c r="H1607" s="16">
        <v>8.0</v>
      </c>
      <c r="I1607" s="15" t="str">
        <f>SUBSTITUTE(Sheet1!K1607, "Rp", "")</f>
        <v>1254000</v>
      </c>
    </row>
    <row r="1608">
      <c r="A1608" s="8" t="s">
        <v>3086</v>
      </c>
      <c r="B1608" s="13" t="str">
        <f>HYPERLINK("https://shopee.co.id/Dear-Me-Beauty-1-Bakuchiol-Blueberry-Extract-Face-Serum-i.270965687.11206242236", "https://shopee.co.id/Dear-Me-Beauty-1-Bakuchiol-Blueberry-Extract-Face-Serum-i.270965687.11206242236")</f>
        <v>https://shopee.co.id/Dear-Me-Beauty-1-Bakuchiol-Blueberry-Extract-Face-Serum-i.270965687.11206242236</v>
      </c>
      <c r="C1608" s="8" t="s">
        <v>70</v>
      </c>
      <c r="D1608" s="8" t="s">
        <v>379</v>
      </c>
      <c r="E1608" s="8" t="s">
        <v>12</v>
      </c>
      <c r="F1608" s="8" t="s">
        <v>13</v>
      </c>
      <c r="G1608" s="8" t="s">
        <v>380</v>
      </c>
      <c r="H1608" s="16">
        <v>8.0</v>
      </c>
      <c r="I1608" s="15" t="str">
        <f>SUBSTITUTE(Sheet1!K1608, "Rp", "")</f>
        <v>640800</v>
      </c>
    </row>
    <row r="1609">
      <c r="A1609" s="8" t="s">
        <v>2977</v>
      </c>
      <c r="B1609" s="13" t="str">
        <f>HYPERLINK("https://shopee.co.id/Dear-Me-Beauty-Retinol-Blueberry-Extract-Face-Serum-i.270965687.9560187746", "https://shopee.co.id/Dear-Me-Beauty-Retinol-Blueberry-Extract-Face-Serum-i.270965687.9560187746")</f>
        <v>https://shopee.co.id/Dear-Me-Beauty-Retinol-Blueberry-Extract-Face-Serum-i.270965687.9560187746</v>
      </c>
      <c r="C1609" s="8" t="s">
        <v>70</v>
      </c>
      <c r="D1609" s="8" t="s">
        <v>379</v>
      </c>
      <c r="E1609" s="8" t="s">
        <v>12</v>
      </c>
      <c r="F1609" s="8" t="s">
        <v>13</v>
      </c>
      <c r="G1609" s="8" t="s">
        <v>380</v>
      </c>
      <c r="H1609" s="16">
        <v>8.0</v>
      </c>
      <c r="I1609" s="15" t="str">
        <f>SUBSTITUTE(Sheet1!K1609, "Rp", "")</f>
        <v>784800</v>
      </c>
    </row>
    <row r="1610">
      <c r="A1610" s="8" t="s">
        <v>2785</v>
      </c>
      <c r="B1610" s="13" t="str">
        <f>HYPERLINK("https://shopee.co.id/DREAMY-by-Nikita-Willy-Brightening-Serum-i.120519530.1838138786", "https://shopee.co.id/DREAMY-by-Nikita-Willy-Brightening-Serum-i.120519530.1838138786")</f>
        <v>https://shopee.co.id/DREAMY-by-Nikita-Willy-Brightening-Serum-i.120519530.1838138786</v>
      </c>
      <c r="C1610" s="8" t="s">
        <v>2063</v>
      </c>
      <c r="D1610" s="8" t="s">
        <v>2064</v>
      </c>
      <c r="E1610" s="8" t="s">
        <v>12</v>
      </c>
      <c r="F1610" s="8" t="s">
        <v>13</v>
      </c>
      <c r="G1610" s="8" t="s">
        <v>296</v>
      </c>
      <c r="H1610" s="16">
        <v>8.0</v>
      </c>
      <c r="I1610" s="15" t="str">
        <f>SUBSTITUTE(Sheet1!K1610, "Rp", "")</f>
        <v>1080250</v>
      </c>
    </row>
    <row r="1611">
      <c r="A1611" s="8" t="s">
        <v>2739</v>
      </c>
      <c r="B1611" s="13" t="str">
        <f>HYPERLINK("https://shopee.co.id/Estetika-dr-Affandi-Eksotika-Serum-Vitamin-C-10-ml-i.393350068.7180057175", "https://shopee.co.id/Estetika-dr-Affandi-Eksotika-Serum-Vitamin-C-10-ml-i.393350068.7180057175")</f>
        <v>https://shopee.co.id/Estetika-dr-Affandi-Eksotika-Serum-Vitamin-C-10-ml-i.393350068.7180057175</v>
      </c>
      <c r="C1611" s="8" t="s">
        <v>2740</v>
      </c>
      <c r="D1611" s="8" t="s">
        <v>2741</v>
      </c>
      <c r="E1611" s="8" t="s">
        <v>12</v>
      </c>
      <c r="F1611" s="8" t="s">
        <v>13</v>
      </c>
      <c r="G1611" s="8" t="s">
        <v>98</v>
      </c>
      <c r="H1611" s="16">
        <v>8.0</v>
      </c>
      <c r="I1611" s="15" t="str">
        <f>SUBSTITUTE(Sheet1!K1611, "Rp", "")</f>
        <v>1160000</v>
      </c>
    </row>
    <row r="1612">
      <c r="A1612" s="8" t="s">
        <v>2894</v>
      </c>
      <c r="B1612" s="13" t="str">
        <f>HYPERLINK("https://shopee.co.id/EVERWHITE-CICA-SOOTHING-SERUM-30-ML-i.50972887.13601182254", "https://shopee.co.id/EVERWHITE-CICA-SOOTHING-SERUM-30-ML-i.50972887.13601182254")</f>
        <v>https://shopee.co.id/EVERWHITE-CICA-SOOTHING-SERUM-30-ML-i.50972887.13601182254</v>
      </c>
      <c r="C1612" s="8" t="s">
        <v>157</v>
      </c>
      <c r="D1612" s="8" t="s">
        <v>552</v>
      </c>
      <c r="E1612" s="8" t="s">
        <v>12</v>
      </c>
      <c r="F1612" s="8" t="s">
        <v>13</v>
      </c>
      <c r="G1612" s="8" t="s">
        <v>61</v>
      </c>
      <c r="H1612" s="16">
        <v>8.0</v>
      </c>
      <c r="I1612" s="15" t="str">
        <f>SUBSTITUTE(Sheet1!K1612, "Rp", "")</f>
        <v>906048</v>
      </c>
    </row>
    <row r="1613">
      <c r="A1613" s="8" t="s">
        <v>2902</v>
      </c>
      <c r="B1613" s="13" t="str">
        <f>HYPERLINK("https://shopee.co.id/Garnier-Sakura-White-Booster-Serum-15ml-Micellar-Oil-400ml-Untuk-Kulit-Glowing-Bebas-Makeup--i.62583853.6779247392", "https://shopee.co.id/Garnier-Sakura-White-Booster-Serum-15ml-Micellar-Oil-400ml-Untuk-Kulit-Glowing-Bebas-Makeup--i.62583853.6779247392")</f>
        <v>https://shopee.co.id/Garnier-Sakura-White-Booster-Serum-15ml-Micellar-Oil-400ml-Untuk-Kulit-Glowing-Bebas-Makeup--i.62583853.6779247392</v>
      </c>
      <c r="C1613" s="8" t="s">
        <v>74</v>
      </c>
      <c r="D1613" s="8" t="s">
        <v>75</v>
      </c>
      <c r="E1613" s="8" t="s">
        <v>12</v>
      </c>
      <c r="F1613" s="8" t="s">
        <v>13</v>
      </c>
      <c r="G1613" s="8" t="s">
        <v>61</v>
      </c>
      <c r="H1613" s="16">
        <v>8.0</v>
      </c>
      <c r="I1613" s="15" t="str">
        <f>SUBSTITUTE(Sheet1!K1613, "Rp", "")</f>
        <v>896900</v>
      </c>
    </row>
    <row r="1614">
      <c r="A1614" s="8" t="s">
        <v>3607</v>
      </c>
      <c r="B1614" s="13" t="str">
        <f>HYPERLINK("https://shopee.co.id/Hanasui-Serum-417913--i.16735262.4765258376", "https://shopee.co.id/Hanasui-Serum-417913--i.16735262.4765258376")</f>
        <v>https://shopee.co.id/Hanasui-Serum-417913--i.16735262.4765258376</v>
      </c>
      <c r="C1614" s="8" t="s">
        <v>784</v>
      </c>
      <c r="D1614" s="8" t="s">
        <v>3598</v>
      </c>
      <c r="E1614" s="8" t="s">
        <v>12</v>
      </c>
      <c r="F1614" s="8" t="s">
        <v>13</v>
      </c>
      <c r="G1614" s="8" t="s">
        <v>36</v>
      </c>
      <c r="H1614" s="16">
        <v>8.0</v>
      </c>
      <c r="I1614" s="15" t="str">
        <f>SUBSTITUTE(Sheet1!K1614, "Rp", "")</f>
        <v>224000</v>
      </c>
    </row>
    <row r="1615">
      <c r="A1615" s="8" t="s">
        <v>1086</v>
      </c>
      <c r="B1615" s="13" t="str">
        <f>HYPERLINK("https://shopee.co.id/Hanasui-Serum-Vitamin-C-i.187117294.7243449370", "https://shopee.co.id/Hanasui-Serum-Vitamin-C-i.187117294.7243449370")</f>
        <v>https://shopee.co.id/Hanasui-Serum-Vitamin-C-i.187117294.7243449370</v>
      </c>
      <c r="C1615" s="8" t="s">
        <v>784</v>
      </c>
      <c r="D1615" s="8" t="s">
        <v>2366</v>
      </c>
      <c r="E1615" s="8" t="s">
        <v>12</v>
      </c>
      <c r="F1615" s="8" t="s">
        <v>13</v>
      </c>
      <c r="G1615" s="8" t="s">
        <v>469</v>
      </c>
      <c r="H1615" s="16">
        <v>8.0</v>
      </c>
      <c r="I1615" s="15" t="str">
        <f>SUBSTITUTE(Sheet1!K1615, "Rp", "")</f>
        <v>158400</v>
      </c>
    </row>
    <row r="1616">
      <c r="A1616" s="8" t="s">
        <v>3530</v>
      </c>
      <c r="B1616" s="13" t="str">
        <f>HYPERLINK("https://shopee.co.id/Hanasui-Vitamin-C-Collagen-Serum-20Ml-Serum-Wajah-Vitamin-Wajah-Anti-Aging-Isi-2--i.175375997.7000248299", "https://shopee.co.id/Hanasui-Vitamin-C-Collagen-Serum-20Ml-Serum-Wajah-Vitamin-Wajah-Anti-Aging-Isi-2--i.175375997.7000248299")</f>
        <v>https://shopee.co.id/Hanasui-Vitamin-C-Collagen-Serum-20Ml-Serum-Wajah-Vitamin-Wajah-Anti-Aging-Isi-2--i.175375997.7000248299</v>
      </c>
      <c r="C1616" s="8" t="s">
        <v>784</v>
      </c>
      <c r="D1616" s="8" t="s">
        <v>2123</v>
      </c>
      <c r="E1616" s="8" t="s">
        <v>12</v>
      </c>
      <c r="F1616" s="8" t="s">
        <v>13</v>
      </c>
      <c r="G1616" s="8" t="s">
        <v>36</v>
      </c>
      <c r="H1616" s="16">
        <v>8.0</v>
      </c>
      <c r="I1616" s="15" t="str">
        <f>SUBSTITUTE(Sheet1!K1616, "Rp", "")</f>
        <v>269304</v>
      </c>
    </row>
    <row r="1617">
      <c r="A1617" s="8" t="s">
        <v>2643</v>
      </c>
      <c r="B1617" s="13" t="str">
        <f>HYPERLINK("https://shopee.co.id/Holika-Holika-Gold-Kiwi-Vita-C-Brightening-Serum-Plastic-Seal-Packaging-i.18856010.2922520436", "https://shopee.co.id/Holika-Holika-Gold-Kiwi-Vita-C-Brightening-Serum-Plastic-Seal-Packaging-i.18856010.2922520436")</f>
        <v>https://shopee.co.id/Holika-Holika-Gold-Kiwi-Vita-C-Brightening-Serum-Plastic-Seal-Packaging-i.18856010.2922520436</v>
      </c>
      <c r="C1617" s="8" t="s">
        <v>2265</v>
      </c>
      <c r="D1617" s="8" t="s">
        <v>2266</v>
      </c>
      <c r="E1617" s="8" t="s">
        <v>12</v>
      </c>
      <c r="F1617" s="8" t="s">
        <v>13</v>
      </c>
      <c r="G1617" s="8" t="s">
        <v>21</v>
      </c>
      <c r="H1617" s="16">
        <v>8.0</v>
      </c>
      <c r="I1617" s="15" t="str">
        <f>SUBSTITUTE(Sheet1!K1617, "Rp", "")</f>
        <v>1346000</v>
      </c>
    </row>
    <row r="1618">
      <c r="A1618" s="8" t="s">
        <v>2888</v>
      </c>
      <c r="B1618" s="13" t="str">
        <f>HYPERLINK("https://shopee.co.id/Humphrey-Mugwort-Anti-Acne-Serum-i.83349.8965049268", "https://shopee.co.id/Humphrey-Mugwort-Anti-Acne-Serum-i.83349.8965049268")</f>
        <v>https://shopee.co.id/Humphrey-Mugwort-Anti-Acne-Serum-i.83349.8965049268</v>
      </c>
      <c r="C1618" s="8" t="s">
        <v>1832</v>
      </c>
      <c r="D1618" s="8" t="s">
        <v>1833</v>
      </c>
      <c r="E1618" s="8" t="s">
        <v>12</v>
      </c>
      <c r="F1618" s="8" t="s">
        <v>13</v>
      </c>
      <c r="G1618" s="8" t="s">
        <v>21</v>
      </c>
      <c r="H1618" s="16">
        <v>8.0</v>
      </c>
      <c r="I1618" s="15" t="str">
        <f>SUBSTITUTE(Sheet1!K1618, "Rp", "")</f>
        <v>911240</v>
      </c>
    </row>
    <row r="1619">
      <c r="A1619" s="8" t="s">
        <v>2648</v>
      </c>
      <c r="B1619" s="13" t="str">
        <f>HYPERLINK("https://shopee.co.id/Irine-Beauty-Care-Platinum-Serum-Lightening-with-Niacinamide-Allantoin-Witch-Hazel--i.154545935.2313272770", "https://shopee.co.id/Irine-Beauty-Care-Platinum-Serum-Lightening-with-Niacinamide-Allantoin-Witch-Hazel--i.154545935.2313272770")</f>
        <v>https://shopee.co.id/Irine-Beauty-Care-Platinum-Serum-Lightening-with-Niacinamide-Allantoin-Witch-Hazel--i.154545935.2313272770</v>
      </c>
      <c r="C1619" s="8" t="s">
        <v>2649</v>
      </c>
      <c r="D1619" s="8" t="s">
        <v>2650</v>
      </c>
      <c r="E1619" s="8" t="s">
        <v>12</v>
      </c>
      <c r="F1619" s="8" t="s">
        <v>13</v>
      </c>
      <c r="G1619" s="8" t="s">
        <v>130</v>
      </c>
      <c r="H1619" s="16">
        <v>8.0</v>
      </c>
      <c r="I1619" s="15" t="str">
        <f>SUBSTITUTE(Sheet1!K1619, "Rp", "")</f>
        <v>1317500</v>
      </c>
    </row>
    <row r="1620">
      <c r="A1620" s="8" t="s">
        <v>2917</v>
      </c>
      <c r="B1620" s="13" t="str">
        <f>HYPERLINK("https://shopee.co.id/KKV-Everwhite-Cica-Soothing-Serum-30ml-Beauty-i.313431312.4193990944", "https://shopee.co.id/KKV-Everwhite-Cica-Soothing-Serum-30ml-Beauty-i.313431312.4193990944")</f>
        <v>https://shopee.co.id/KKV-Everwhite-Cica-Soothing-Serum-30ml-Beauty-i.313431312.4193990944</v>
      </c>
      <c r="C1620" s="8" t="s">
        <v>157</v>
      </c>
      <c r="D1620" s="8" t="s">
        <v>1524</v>
      </c>
      <c r="E1620" s="8" t="s">
        <v>12</v>
      </c>
      <c r="F1620" s="8" t="s">
        <v>13</v>
      </c>
      <c r="G1620" s="8" t="s">
        <v>61</v>
      </c>
      <c r="H1620" s="16">
        <v>8.0</v>
      </c>
      <c r="I1620" s="15" t="str">
        <f>SUBSTITUTE(Sheet1!K1620, "Rp", "")</f>
        <v>872000</v>
      </c>
    </row>
    <row r="1621">
      <c r="A1621" s="8" t="s">
        <v>2819</v>
      </c>
      <c r="B1621" s="13" t="str">
        <f>HYPERLINK("https://shopee.co.id/Kleveru-Vitamin-C-10-Ferulic-Serum-15ml-i.136011044.9648889487", "https://shopee.co.id/Kleveru-Vitamin-C-10-Ferulic-Serum-15ml-i.136011044.9648889487")</f>
        <v>https://shopee.co.id/Kleveru-Vitamin-C-10-Ferulic-Serum-15ml-i.136011044.9648889487</v>
      </c>
      <c r="C1621" s="8" t="s">
        <v>2408</v>
      </c>
      <c r="D1621" s="8" t="s">
        <v>632</v>
      </c>
      <c r="E1621" s="8" t="s">
        <v>12</v>
      </c>
      <c r="F1621" s="8" t="s">
        <v>13</v>
      </c>
      <c r="G1621" s="8" t="s">
        <v>21</v>
      </c>
      <c r="H1621" s="16">
        <v>8.0</v>
      </c>
      <c r="I1621" s="15" t="str">
        <f>SUBSTITUTE(Sheet1!K1621, "Rp", "")</f>
        <v>1029600</v>
      </c>
    </row>
    <row r="1622">
      <c r="A1622" s="8" t="s">
        <v>1439</v>
      </c>
      <c r="B1622" s="13" t="str">
        <f>HYPERLINK("https://shopee.co.id/L-Occitane-Reine-Blanche-Bright-Cream-New-Formula-50-mL--i.88079439.1480571615", "https://shopee.co.id/L-Occitane-Reine-Blanche-Bright-Cream-New-Formula-50-mL--i.88079439.1480571615")</f>
        <v>https://shopee.co.id/L-Occitane-Reine-Blanche-Bright-Cream-New-Formula-50-mL--i.88079439.1480571615</v>
      </c>
      <c r="C1622" s="8" t="s">
        <v>579</v>
      </c>
      <c r="D1622" s="8" t="s">
        <v>580</v>
      </c>
      <c r="E1622" s="8" t="s">
        <v>12</v>
      </c>
      <c r="F1622" s="8" t="s">
        <v>13</v>
      </c>
      <c r="G1622" s="8" t="s">
        <v>532</v>
      </c>
      <c r="H1622" s="16">
        <v>8.0</v>
      </c>
      <c r="I1622" s="15" t="str">
        <f>SUBSTITUTE(Sheet1!K1622, "Rp", "")</f>
        <v>8400000</v>
      </c>
    </row>
    <row r="1623">
      <c r="A1623" s="8" t="s">
        <v>1376</v>
      </c>
      <c r="B1623" s="13" t="str">
        <f>HYPERLINK("https://shopee.co.id/L-Occitane-Reine-Blanche-Bright-Serum-30mL-New-Formula-30-mL--i.88079439.1480571611", "https://shopee.co.id/L-Occitane-Reine-Blanche-Bright-Serum-30mL-New-Formula-30-mL--i.88079439.1480571611")</f>
        <v>https://shopee.co.id/L-Occitane-Reine-Blanche-Bright-Serum-30mL-New-Formula-30-mL--i.88079439.1480571611</v>
      </c>
      <c r="C1623" s="8" t="s">
        <v>579</v>
      </c>
      <c r="D1623" s="8" t="s">
        <v>580</v>
      </c>
      <c r="E1623" s="8" t="s">
        <v>12</v>
      </c>
      <c r="F1623" s="8" t="s">
        <v>13</v>
      </c>
      <c r="G1623" s="8" t="s">
        <v>532</v>
      </c>
      <c r="H1623" s="16">
        <v>8.0</v>
      </c>
      <c r="I1623" s="15" t="str">
        <f>SUBSTITUTE(Sheet1!K1623, "Rp", "")</f>
        <v>9400000</v>
      </c>
    </row>
    <row r="1624">
      <c r="A1624" s="8" t="s">
        <v>2546</v>
      </c>
      <c r="B1624" s="13" t="str">
        <f>HYPERLINK("https://shopee.co.id/LT-PRO-Intensive-Care-Serum-i.131418876.2075719592", "https://shopee.co.id/LT-PRO-Intensive-Care-Serum-i.131418876.2075719592")</f>
        <v>https://shopee.co.id/LT-PRO-Intensive-Care-Serum-i.131418876.2075719592</v>
      </c>
      <c r="C1624" s="8" t="s">
        <v>2413</v>
      </c>
      <c r="D1624" s="8" t="s">
        <v>2414</v>
      </c>
      <c r="E1624" s="8" t="s">
        <v>12</v>
      </c>
      <c r="F1624" s="8" t="s">
        <v>13</v>
      </c>
      <c r="G1624" s="8" t="s">
        <v>61</v>
      </c>
      <c r="H1624" s="16">
        <v>8.0</v>
      </c>
      <c r="I1624" s="15" t="str">
        <f>SUBSTITUTE(Sheet1!K1624, "Rp", "")</f>
        <v>1588000</v>
      </c>
    </row>
    <row r="1625">
      <c r="A1625" s="8" t="s">
        <v>2796</v>
      </c>
      <c r="B1625" s="13" t="str">
        <f>HYPERLINK("https://shopee.co.id/MSBB-KLEVERU-Glass-Skin-Overnight-Serum-i.288588702.8043083201", "https://shopee.co.id/MSBB-KLEVERU-Glass-Skin-Overnight-Serum-i.288588702.8043083201")</f>
        <v>https://shopee.co.id/MSBB-KLEVERU-Glass-Skin-Overnight-Serum-i.288588702.8043083201</v>
      </c>
      <c r="C1625" s="8" t="s">
        <v>2408</v>
      </c>
      <c r="D1625" s="8" t="s">
        <v>79</v>
      </c>
      <c r="E1625" s="8" t="s">
        <v>12</v>
      </c>
      <c r="F1625" s="8" t="s">
        <v>13</v>
      </c>
      <c r="G1625" s="8" t="s">
        <v>80</v>
      </c>
      <c r="H1625" s="16">
        <v>8.0</v>
      </c>
      <c r="I1625" s="15" t="str">
        <f>SUBSTITUTE(Sheet1!K1625, "Rp", "")</f>
        <v>1072500</v>
      </c>
    </row>
    <row r="1626">
      <c r="A1626" s="8" t="s">
        <v>2859</v>
      </c>
      <c r="B1626" s="13" t="str">
        <f>HYPERLINK("https://shopee.co.id/MSBB-Purivera-Sea-Ceramide-Serum-Bakuchiol-2-Ceramide-3-Buckthorn-Anti-Aging-Skin-i.288588702.9972576744", "https://shopee.co.id/MSBB-Purivera-Sea-Ceramide-Serum-Bakuchiol-2-Ceramide-3-Buckthorn-Anti-Aging-Skin-i.288588702.9972576744")</f>
        <v>https://shopee.co.id/MSBB-Purivera-Sea-Ceramide-Serum-Bakuchiol-2-Ceramide-3-Buckthorn-Anti-Aging-Skin-i.288588702.9972576744</v>
      </c>
      <c r="C1626" s="8" t="s">
        <v>428</v>
      </c>
      <c r="D1626" s="8" t="s">
        <v>79</v>
      </c>
      <c r="E1626" s="8" t="s">
        <v>12</v>
      </c>
      <c r="F1626" s="8" t="s">
        <v>13</v>
      </c>
      <c r="G1626" s="8" t="s">
        <v>80</v>
      </c>
      <c r="H1626" s="16">
        <v>8.0</v>
      </c>
      <c r="I1626" s="15" t="str">
        <f>SUBSTITUTE(Sheet1!K1626, "Rp", "")</f>
        <v>952320</v>
      </c>
    </row>
    <row r="1627">
      <c r="A1627" s="8" t="s">
        <v>2478</v>
      </c>
      <c r="B1627" s="13" t="str">
        <f>HYPERLINK("https://shopee.co.id/Nacific-Real-Floral-Rose-Essence-50g--i.238379974.3292637103", "https://shopee.co.id/Nacific-Real-Floral-Rose-Essence-50g--i.238379974.3292637103")</f>
        <v>https://shopee.co.id/Nacific-Real-Floral-Rose-Essence-50g--i.238379974.3292637103</v>
      </c>
      <c r="C1627" s="8" t="s">
        <v>344</v>
      </c>
      <c r="D1627" s="8" t="s">
        <v>345</v>
      </c>
      <c r="E1627" s="8" t="s">
        <v>12</v>
      </c>
      <c r="F1627" s="8" t="s">
        <v>13</v>
      </c>
      <c r="G1627" s="8" t="s">
        <v>130</v>
      </c>
      <c r="H1627" s="16">
        <v>8.0</v>
      </c>
      <c r="I1627" s="15" t="str">
        <f>SUBSTITUTE(Sheet1!K1627, "Rp", "")</f>
        <v>1760000</v>
      </c>
    </row>
    <row r="1628">
      <c r="A1628" s="8" t="s">
        <v>2698</v>
      </c>
      <c r="B1628" s="13" t="str">
        <f>HYPERLINK("https://shopee.co.id/Natasha-by-dr-Fredi-Setyawan-Moist-Bright-Serum-17g-i.40121814.6456017086", "https://shopee.co.id/Natasha-by-dr-Fredi-Setyawan-Moist-Bright-Serum-17g-i.40121814.6456017086")</f>
        <v>https://shopee.co.id/Natasha-by-dr-Fredi-Setyawan-Moist-Bright-Serum-17g-i.40121814.6456017086</v>
      </c>
      <c r="C1628" s="8" t="s">
        <v>1752</v>
      </c>
      <c r="D1628" s="8" t="s">
        <v>794</v>
      </c>
      <c r="E1628" s="8" t="s">
        <v>12</v>
      </c>
      <c r="F1628" s="8" t="s">
        <v>13</v>
      </c>
      <c r="G1628" s="8" t="s">
        <v>380</v>
      </c>
      <c r="H1628" s="16">
        <v>8.0</v>
      </c>
      <c r="I1628" s="15" t="str">
        <f>SUBSTITUTE(Sheet1!K1628, "Rp", "")</f>
        <v>1229862</v>
      </c>
    </row>
    <row r="1629">
      <c r="A1629" s="8" t="s">
        <v>2997</v>
      </c>
      <c r="B1629" s="13" t="str">
        <f>HYPERLINK("https://shopee.co.id/NOOLA-Breezy-Willow-Moist-Serum-i.68111.8325988168", "https://shopee.co.id/NOOLA-Breezy-Willow-Moist-Serum-i.68111.8325988168")</f>
        <v>https://shopee.co.id/NOOLA-Breezy-Willow-Moist-Serum-i.68111.8325988168</v>
      </c>
      <c r="C1629" s="8" t="s">
        <v>2794</v>
      </c>
      <c r="D1629" s="8" t="s">
        <v>441</v>
      </c>
      <c r="E1629" s="8" t="s">
        <v>12</v>
      </c>
      <c r="F1629" s="8" t="s">
        <v>13</v>
      </c>
      <c r="G1629" s="8" t="s">
        <v>130</v>
      </c>
      <c r="H1629" s="16">
        <v>8.0</v>
      </c>
      <c r="I1629" s="15" t="str">
        <f>SUBSTITUTE(Sheet1!K1629, "Rp", "")</f>
        <v>752400</v>
      </c>
    </row>
    <row r="1630">
      <c r="A1630" s="8" t="s">
        <v>2846</v>
      </c>
      <c r="B1630" s="13" t="str">
        <f>HYPERLINK("https://shopee.co.id/Npure-Face-Essence-Centella-Asiatica-Acne-Care-20ml-N-Pure-i.136011044.10813972622", "https://shopee.co.id/Npure-Face-Essence-Centella-Asiatica-Acne-Care-20ml-N-Pure-i.136011044.10813972622")</f>
        <v>https://shopee.co.id/Npure-Face-Essence-Centella-Asiatica-Acne-Care-20ml-N-Pure-i.136011044.10813972622</v>
      </c>
      <c r="C1630" s="8" t="s">
        <v>266</v>
      </c>
      <c r="D1630" s="8" t="s">
        <v>632</v>
      </c>
      <c r="E1630" s="8" t="s">
        <v>12</v>
      </c>
      <c r="F1630" s="8" t="s">
        <v>13</v>
      </c>
      <c r="G1630" s="8" t="s">
        <v>21</v>
      </c>
      <c r="H1630" s="16">
        <v>8.0</v>
      </c>
      <c r="I1630" s="15" t="str">
        <f>SUBSTITUTE(Sheet1!K1630, "Rp", "")</f>
        <v>972000</v>
      </c>
    </row>
    <row r="1631">
      <c r="A1631" s="8" t="s">
        <v>3090</v>
      </c>
      <c r="B1631" s="13" t="str">
        <f>HYPERLINK("https://shopee.co.id/Nu-Aroma-Argan-Oil-Natural-Serum-Wajah-Serum-Kulit-Serum-Rambut--i.262175945.6855682291", "https://shopee.co.id/Nu-Aroma-Argan-Oil-Natural-Serum-Wajah-Serum-Kulit-Serum-Rambut--i.262175945.6855682291")</f>
        <v>https://shopee.co.id/Nu-Aroma-Argan-Oil-Natural-Serum-Wajah-Serum-Kulit-Serum-Rambut--i.262175945.6855682291</v>
      </c>
      <c r="C1631" s="8" t="s">
        <v>2863</v>
      </c>
      <c r="D1631" s="8" t="s">
        <v>2864</v>
      </c>
      <c r="E1631" s="8" t="s">
        <v>12</v>
      </c>
      <c r="F1631" s="8" t="s">
        <v>13</v>
      </c>
      <c r="G1631" s="8" t="s">
        <v>945</v>
      </c>
      <c r="H1631" s="16">
        <v>8.0</v>
      </c>
      <c r="I1631" s="15" t="str">
        <f>SUBSTITUTE(Sheet1!K1631, "Rp", "")</f>
        <v>637000</v>
      </c>
    </row>
    <row r="1632">
      <c r="A1632" s="8" t="s">
        <v>3003</v>
      </c>
      <c r="B1632" s="13" t="str">
        <f>HYPERLINK("https://shopee.co.id/Olay-Total-Effects-7-In-One-Serum-50-Ml-i.36998337.1315439929", "https://shopee.co.id/Olay-Total-Effects-7-In-One-Serum-50-Ml-i.36998337.1315439929")</f>
        <v>https://shopee.co.id/Olay-Total-Effects-7-In-One-Serum-50-Ml-i.36998337.1315439929</v>
      </c>
      <c r="C1632" s="8" t="s">
        <v>317</v>
      </c>
      <c r="D1632" s="8" t="s">
        <v>2449</v>
      </c>
      <c r="E1632" s="8" t="s">
        <v>12</v>
      </c>
      <c r="F1632" s="8" t="s">
        <v>13</v>
      </c>
      <c r="G1632" s="8" t="s">
        <v>98</v>
      </c>
      <c r="H1632" s="16">
        <v>8.0</v>
      </c>
      <c r="I1632" s="15" t="str">
        <f>SUBSTITUTE(Sheet1!K1632, "Rp", "")</f>
        <v>744200</v>
      </c>
    </row>
    <row r="1633">
      <c r="A1633" s="8" t="s">
        <v>3346</v>
      </c>
      <c r="B1633" s="13" t="str">
        <f>HYPERLINK("https://shopee.co.id/Originally-Serum-Vit-C-i.33521171.505205999", "https://shopee.co.id/Originally-Serum-Vit-C-i.33521171.505205999")</f>
        <v>https://shopee.co.id/Originally-Serum-Vit-C-i.33521171.505205999</v>
      </c>
      <c r="C1633" s="8" t="s">
        <v>3347</v>
      </c>
      <c r="D1633" s="8" t="s">
        <v>3348</v>
      </c>
      <c r="E1633" s="8" t="s">
        <v>12</v>
      </c>
      <c r="F1633" s="8" t="s">
        <v>13</v>
      </c>
      <c r="G1633" s="8" t="s">
        <v>1048</v>
      </c>
      <c r="H1633" s="16">
        <v>8.0</v>
      </c>
      <c r="I1633" s="15" t="str">
        <f>SUBSTITUTE(Sheet1!K1633, "Rp", "")</f>
        <v>393600</v>
      </c>
    </row>
    <row r="1634">
      <c r="A1634" s="8" t="s">
        <v>2617</v>
      </c>
      <c r="B1634" s="13" t="str">
        <f>HYPERLINK("https://shopee.co.id/Ponds-Age-Miracle-Youthful-Glow-Double-Action-Serum-30ml-i.30736001.3388355579", "https://shopee.co.id/Ponds-Age-Miracle-Youthful-Glow-Double-Action-Serum-30ml-i.30736001.3388355579")</f>
        <v>https://shopee.co.id/Ponds-Age-Miracle-Youthful-Glow-Double-Action-Serum-30ml-i.30736001.3388355579</v>
      </c>
      <c r="C1634" s="8" t="s">
        <v>325</v>
      </c>
      <c r="D1634" s="8" t="s">
        <v>335</v>
      </c>
      <c r="E1634" s="8" t="s">
        <v>12</v>
      </c>
      <c r="F1634" s="8" t="s">
        <v>13</v>
      </c>
      <c r="G1634" s="8" t="s">
        <v>36</v>
      </c>
      <c r="H1634" s="16">
        <v>8.0</v>
      </c>
      <c r="I1634" s="15" t="str">
        <f>SUBSTITUTE(Sheet1!K1634, "Rp", "")</f>
        <v>1399200</v>
      </c>
    </row>
    <row r="1635">
      <c r="A1635" s="8" t="s">
        <v>3533</v>
      </c>
      <c r="B1635" s="13" t="str">
        <f>HYPERLINK("https://shopee.co.id/PURECA-Botanical-Macadamia-Oil-Serum-Oil-Treatment-Pure-Oil-Anti-Aging-Serum-Wajah-i.16729119.11920475106", "https://shopee.co.id/PURECA-Botanical-Macadamia-Oil-Serum-Oil-Treatment-Pure-Oil-Anti-Aging-Serum-Wajah-i.16729119.11920475106")</f>
        <v>https://shopee.co.id/PURECA-Botanical-Macadamia-Oil-Serum-Oil-Treatment-Pure-Oil-Anti-Aging-Serum-Wajah-i.16729119.11920475106</v>
      </c>
      <c r="C1635" s="8" t="s">
        <v>3534</v>
      </c>
      <c r="D1635" s="8" t="s">
        <v>3535</v>
      </c>
      <c r="E1635" s="8" t="s">
        <v>12</v>
      </c>
      <c r="F1635" s="8" t="s">
        <v>13</v>
      </c>
      <c r="G1635" s="8" t="s">
        <v>36</v>
      </c>
      <c r="H1635" s="16">
        <v>8.0</v>
      </c>
      <c r="I1635" s="15" t="str">
        <f>SUBSTITUTE(Sheet1!K1635, "Rp", "")</f>
        <v>268800</v>
      </c>
    </row>
    <row r="1636">
      <c r="A1636" s="8" t="s">
        <v>2284</v>
      </c>
      <c r="B1636" s="13" t="str">
        <f>HYPERLINK("https://shopee.co.id/PURITO-Centella-Unscented-Serum-i.233721470.8649750382", "https://shopee.co.id/PURITO-Centella-Unscented-Serum-i.233721470.8649750382")</f>
        <v>https://shopee.co.id/PURITO-Centella-Unscented-Serum-i.233721470.8649750382</v>
      </c>
      <c r="C1636" s="8" t="s">
        <v>1993</v>
      </c>
      <c r="D1636" s="8" t="s">
        <v>1994</v>
      </c>
      <c r="E1636" s="8" t="s">
        <v>12</v>
      </c>
      <c r="F1636" s="8" t="s">
        <v>13</v>
      </c>
      <c r="G1636" s="8" t="s">
        <v>21</v>
      </c>
      <c r="H1636" s="16">
        <v>8.0</v>
      </c>
      <c r="I1636" s="15" t="str">
        <f>SUBSTITUTE(Sheet1!K1636, "Rp", "")</f>
        <v>2337000</v>
      </c>
    </row>
    <row r="1637">
      <c r="A1637" s="8" t="s">
        <v>3256</v>
      </c>
      <c r="B1637" s="13" t="str">
        <f>HYPERLINK("https://shopee.co.id/Raecca-Lippie-Serum-i.270965687.4765085359", "https://shopee.co.id/Raecca-Lippie-Serum-i.270965687.4765085359")</f>
        <v>https://shopee.co.id/Raecca-Lippie-Serum-i.270965687.4765085359</v>
      </c>
      <c r="C1637" s="8" t="s">
        <v>1630</v>
      </c>
      <c r="D1637" s="8" t="s">
        <v>379</v>
      </c>
      <c r="E1637" s="8" t="s">
        <v>12</v>
      </c>
      <c r="F1637" s="8" t="s">
        <v>13</v>
      </c>
      <c r="G1637" s="8" t="s">
        <v>380</v>
      </c>
      <c r="H1637" s="16">
        <v>8.0</v>
      </c>
      <c r="I1637" s="15" t="str">
        <f>SUBSTITUTE(Sheet1!K1637, "Rp", "")</f>
        <v>472000</v>
      </c>
    </row>
    <row r="1638">
      <c r="A1638" s="8" t="s">
        <v>3145</v>
      </c>
      <c r="B1638" s="13" t="str">
        <f>HYPERLINK("https://shopee.co.id/RORO-MENDUT-Spirulina-Salicylic-Acid-B5-Serum-i.87869551.8225248693", "https://shopee.co.id/RORO-MENDUT-Spirulina-Salicylic-Acid-B5-Serum-i.87869551.8225248693")</f>
        <v>https://shopee.co.id/RORO-MENDUT-Spirulina-Salicylic-Acid-B5-Serum-i.87869551.8225248693</v>
      </c>
      <c r="C1638" s="8" t="s">
        <v>1526</v>
      </c>
      <c r="D1638" s="8" t="s">
        <v>1527</v>
      </c>
      <c r="E1638" s="8" t="s">
        <v>12</v>
      </c>
      <c r="F1638" s="8" t="s">
        <v>13</v>
      </c>
      <c r="G1638" s="8" t="s">
        <v>380</v>
      </c>
      <c r="H1638" s="16">
        <v>8.0</v>
      </c>
      <c r="I1638" s="15" t="str">
        <f>SUBSTITUTE(Sheet1!K1638, "Rp", "")</f>
        <v>571772</v>
      </c>
    </row>
    <row r="1639">
      <c r="A1639" s="8" t="s">
        <v>2613</v>
      </c>
      <c r="B1639" s="13" t="str">
        <f>HYPERLINK("https://shopee.co.id/Safi-Age-Defy-Youth-Elixir-29G-i.30736001.7436316596", "https://shopee.co.id/Safi-Age-Defy-Youth-Elixir-29G-i.30736001.7436316596")</f>
        <v>https://shopee.co.id/Safi-Age-Defy-Youth-Elixir-29G-i.30736001.7436316596</v>
      </c>
      <c r="C1639" s="8" t="s">
        <v>278</v>
      </c>
      <c r="D1639" s="8" t="s">
        <v>335</v>
      </c>
      <c r="E1639" s="8" t="s">
        <v>12</v>
      </c>
      <c r="F1639" s="8" t="s">
        <v>13</v>
      </c>
      <c r="G1639" s="8" t="s">
        <v>36</v>
      </c>
      <c r="H1639" s="16">
        <v>8.0</v>
      </c>
      <c r="I1639" s="15" t="str">
        <f>SUBSTITUTE(Sheet1!K1639, "Rp", "")</f>
        <v>1416100</v>
      </c>
    </row>
    <row r="1640">
      <c r="A1640" s="8" t="s">
        <v>2747</v>
      </c>
      <c r="B1640" s="13" t="str">
        <f>HYPERLINK("https://shopee.co.id/Skin-Game-Acne-Combat-Serum-30ml-i.825870.7086765340", "https://shopee.co.id/Skin-Game-Acne-Combat-Serum-30ml-i.825870.7086765340")</f>
        <v>https://shopee.co.id/Skin-Game-Acne-Combat-Serum-30ml-i.825870.7086765340</v>
      </c>
      <c r="C1640" s="8" t="s">
        <v>523</v>
      </c>
      <c r="D1640" s="8" t="s">
        <v>1184</v>
      </c>
      <c r="E1640" s="8" t="s">
        <v>12</v>
      </c>
      <c r="F1640" s="8" t="s">
        <v>13</v>
      </c>
      <c r="G1640" s="8" t="s">
        <v>21</v>
      </c>
      <c r="H1640" s="16">
        <v>8.0</v>
      </c>
      <c r="I1640" s="15" t="str">
        <f>SUBSTITUTE(Sheet1!K1640, "Rp", "")</f>
        <v>1154750</v>
      </c>
    </row>
    <row r="1641">
      <c r="A1641" s="8" t="s">
        <v>2543</v>
      </c>
      <c r="B1641" s="13" t="str">
        <f>HYPERLINK("https://shopee.co.id/SOME-BY-MI-AHABHAPHA-30-Days-Miracle-Cream-i.125116082.9267178368", "https://shopee.co.id/SOME-BY-MI-AHABHAPHA-30-Days-Miracle-Cream-i.125116082.9267178368")</f>
        <v>https://shopee.co.id/SOME-BY-MI-AHABHAPHA-30-Days-Miracle-Cream-i.125116082.9267178368</v>
      </c>
      <c r="C1641" s="8" t="s">
        <v>213</v>
      </c>
      <c r="D1641" s="8" t="s">
        <v>713</v>
      </c>
      <c r="E1641" s="8" t="s">
        <v>12</v>
      </c>
      <c r="F1641" s="8" t="s">
        <v>13</v>
      </c>
      <c r="G1641" s="8" t="s">
        <v>61</v>
      </c>
      <c r="H1641" s="16">
        <v>8.0</v>
      </c>
      <c r="I1641" s="15" t="str">
        <f>SUBSTITUTE(Sheet1!K1641, "Rp", "")</f>
        <v>1598000</v>
      </c>
    </row>
    <row r="1642">
      <c r="A1642" s="8" t="s">
        <v>2133</v>
      </c>
      <c r="B1642" s="13" t="str">
        <f>HYPERLINK("https://shopee.co.id/Sulwhasoo-First-Care-Activating-Serum-15ml-i.274949344.8507362666", "https://shopee.co.id/Sulwhasoo-First-Care-Activating-Serum-15ml-i.274949344.8507362666")</f>
        <v>https://shopee.co.id/Sulwhasoo-First-Care-Activating-Serum-15ml-i.274949344.8507362666</v>
      </c>
      <c r="C1642" s="8" t="s">
        <v>282</v>
      </c>
      <c r="D1642" s="8" t="s">
        <v>283</v>
      </c>
      <c r="E1642" s="8" t="s">
        <v>12</v>
      </c>
      <c r="F1642" s="8" t="s">
        <v>13</v>
      </c>
      <c r="G1642" s="8" t="s">
        <v>61</v>
      </c>
      <c r="H1642" s="16">
        <v>8.0</v>
      </c>
      <c r="I1642" s="15" t="str">
        <f>SUBSTITUTE(Sheet1!K1642, "Rp", "")</f>
        <v>2800000</v>
      </c>
    </row>
    <row r="1643">
      <c r="A1643" s="8" t="s">
        <v>2210</v>
      </c>
      <c r="B1643" s="13" t="str">
        <f>HYPERLINK("https://shopee.co.id/TABITHA-SKIN-WHITE-Brightening-Serum-BrightSe--i.344192903.8651882498", "https://shopee.co.id/TABITHA-SKIN-WHITE-Brightening-Serum-BrightSe--i.344192903.8651882498")</f>
        <v>https://shopee.co.id/TABITHA-SKIN-WHITE-Brightening-Serum-BrightSe--i.344192903.8651882498</v>
      </c>
      <c r="C1643" s="8" t="s">
        <v>2211</v>
      </c>
      <c r="D1643" s="8" t="s">
        <v>2212</v>
      </c>
      <c r="E1643" s="8" t="s">
        <v>12</v>
      </c>
      <c r="F1643" s="8" t="s">
        <v>13</v>
      </c>
      <c r="G1643" s="8" t="s">
        <v>296</v>
      </c>
      <c r="H1643" s="16">
        <v>8.0</v>
      </c>
      <c r="I1643" s="15" t="str">
        <f>SUBSTITUTE(Sheet1!K1643, "Rp", "")</f>
        <v>2535000</v>
      </c>
    </row>
    <row r="1644">
      <c r="A1644" s="8" t="s">
        <v>2695</v>
      </c>
      <c r="B1644" s="13" t="str">
        <f>HYPERLINK("https://shopee.co.id/THE-POTIONS-Centella-Asiatica-Water-Essence-20ml-i.379239733.8311974299", "https://shopee.co.id/THE-POTIONS-Centella-Asiatica-Water-Essence-20ml-i.379239733.8311974299")</f>
        <v>https://shopee.co.id/THE-POTIONS-Centella-Asiatica-Water-Essence-20ml-i.379239733.8311974299</v>
      </c>
      <c r="C1644" s="8" t="s">
        <v>2245</v>
      </c>
      <c r="D1644" s="8" t="s">
        <v>2246</v>
      </c>
      <c r="E1644" s="8" t="s">
        <v>12</v>
      </c>
      <c r="F1644" s="8" t="s">
        <v>13</v>
      </c>
      <c r="G1644" s="8" t="s">
        <v>130</v>
      </c>
      <c r="H1644" s="16">
        <v>8.0</v>
      </c>
      <c r="I1644" s="15" t="str">
        <f>SUBSTITUTE(Sheet1!K1644, "Rp", "")</f>
        <v>1241550</v>
      </c>
    </row>
    <row r="1645">
      <c r="A1645" s="8" t="s">
        <v>3192</v>
      </c>
      <c r="B1645" s="13" t="str">
        <f>HYPERLINK("https://shopee.co.id/Wardah-C-Defense-Serum-17-ml-i.186214521.4004533130", "https://shopee.co.id/Wardah-C-Defense-Serum-17-ml-i.186214521.4004533130")</f>
        <v>https://shopee.co.id/Wardah-C-Defense-Serum-17-ml-i.186214521.4004533130</v>
      </c>
      <c r="C1645" s="8" t="s">
        <v>169</v>
      </c>
      <c r="D1645" s="8" t="s">
        <v>2293</v>
      </c>
      <c r="E1645" s="8" t="s">
        <v>12</v>
      </c>
      <c r="F1645" s="8" t="s">
        <v>13</v>
      </c>
      <c r="G1645" s="8" t="s">
        <v>61</v>
      </c>
      <c r="H1645" s="16">
        <v>8.0</v>
      </c>
      <c r="I1645" s="15" t="str">
        <f>SUBSTITUTE(Sheet1!K1645, "Rp", "")</f>
        <v>528000</v>
      </c>
    </row>
    <row r="1646">
      <c r="A1646" s="8" t="s">
        <v>3076</v>
      </c>
      <c r="B1646" s="13" t="str">
        <f>HYPERLINK("https://shopee.co.id/Wardah-Renew-You-Anti-Aging-Intensive-Serum-17-Ml-Guardian--i.186214521.4703973366", "https://shopee.co.id/Wardah-Renew-You-Anti-Aging-Intensive-Serum-17-Ml-Guardian--i.186214521.4703973366")</f>
        <v>https://shopee.co.id/Wardah-Renew-You-Anti-Aging-Intensive-Serum-17-Ml-Guardian--i.186214521.4703973366</v>
      </c>
      <c r="C1646" s="8" t="s">
        <v>169</v>
      </c>
      <c r="D1646" s="8" t="s">
        <v>2293</v>
      </c>
      <c r="E1646" s="8" t="s">
        <v>12</v>
      </c>
      <c r="F1646" s="8" t="s">
        <v>13</v>
      </c>
      <c r="G1646" s="8" t="s">
        <v>61</v>
      </c>
      <c r="H1646" s="16">
        <v>8.0</v>
      </c>
      <c r="I1646" s="15" t="str">
        <f>SUBSTITUTE(Sheet1!K1646, "Rp", "")</f>
        <v>648000</v>
      </c>
    </row>
    <row r="1647">
      <c r="A1647" s="8" t="s">
        <v>1859</v>
      </c>
      <c r="B1647" s="13" t="str">
        <f>HYPERLINK("https://shopee.co.id/Yves-Rocher-Anti-Age-Global-The-Anti-Aging-Correcting-Supra-Essence-50-ML-i.70687187.5801486787", "https://shopee.co.id/Yves-Rocher-Anti-Age-Global-The-Anti-Aging-Correcting-Supra-Essence-50-ML-i.70687187.5801486787")</f>
        <v>https://shopee.co.id/Yves-Rocher-Anti-Age-Global-The-Anti-Aging-Correcting-Supra-Essence-50-ML-i.70687187.5801486787</v>
      </c>
      <c r="C1647" s="8" t="s">
        <v>1672</v>
      </c>
      <c r="D1647" s="8" t="s">
        <v>1673</v>
      </c>
      <c r="E1647" s="8" t="s">
        <v>12</v>
      </c>
      <c r="F1647" s="8" t="s">
        <v>13</v>
      </c>
      <c r="G1647" s="8" t="s">
        <v>61</v>
      </c>
      <c r="H1647" s="16">
        <v>8.0</v>
      </c>
      <c r="I1647" s="15" t="str">
        <f>SUBSTITUTE(Sheet1!K1647, "Rp", "")</f>
        <v>4315200</v>
      </c>
    </row>
    <row r="1648">
      <c r="A1648" s="8" t="s">
        <v>1964</v>
      </c>
      <c r="B1648" s="13" t="str">
        <f>HYPERLINK("https://shopee.co.id/Yves-Rocher-Lifting-Serum-30ml-i.70687187.5165355207", "https://shopee.co.id/Yves-Rocher-Lifting-Serum-30ml-i.70687187.5165355207")</f>
        <v>https://shopee.co.id/Yves-Rocher-Lifting-Serum-30ml-i.70687187.5165355207</v>
      </c>
      <c r="C1648" s="8" t="s">
        <v>1672</v>
      </c>
      <c r="D1648" s="8" t="s">
        <v>1673</v>
      </c>
      <c r="E1648" s="8" t="s">
        <v>12</v>
      </c>
      <c r="F1648" s="8" t="s">
        <v>13</v>
      </c>
      <c r="G1648" s="8" t="s">
        <v>61</v>
      </c>
      <c r="H1648" s="16">
        <v>8.0</v>
      </c>
      <c r="I1648" s="15" t="str">
        <f>SUBSTITUTE(Sheet1!K1648, "Rp", "")</f>
        <v>3647700</v>
      </c>
    </row>
    <row r="1649">
      <c r="A1649" s="8" t="s">
        <v>3045</v>
      </c>
      <c r="B1649" s="13" t="str">
        <f>HYPERLINK("https://shopee.co.id/Vavl-Pure-White-Glowing-Serum-15ml-i.50948181.11419666151", "https://shopee.co.id/Vavl-Pure-White-Glowing-Serum-15ml-i.50948181.11419666151")</f>
        <v>https://shopee.co.id/Vavl-Pure-White-Glowing-Serum-15ml-i.50948181.11419666151</v>
      </c>
      <c r="C1649" s="8" t="s">
        <v>1171</v>
      </c>
      <c r="D1649" s="8" t="s">
        <v>1129</v>
      </c>
      <c r="E1649" s="8" t="s">
        <v>12</v>
      </c>
      <c r="F1649" s="8" t="s">
        <v>13</v>
      </c>
      <c r="G1649" s="8" t="s">
        <v>1130</v>
      </c>
      <c r="H1649" s="16">
        <v>7.0</v>
      </c>
      <c r="I1649" s="15" t="str">
        <f>SUBSTITUTE(Sheet1!K1649, "Rp", "")</f>
        <v>683100</v>
      </c>
    </row>
    <row r="1650">
      <c r="A1650" s="8" t="s">
        <v>1921</v>
      </c>
      <c r="B1650" s="13" t="str">
        <f>HYPERLINK("https://shopee.co.id/-The-Face-Shop-Yehwadam-Pure-Brightening-Serum-45ml-Original-i.34671748.2014337783", "https://shopee.co.id/-The-Face-Shop-Yehwadam-Pure-Brightening-Serum-45ml-Original-i.34671748.2014337783")</f>
        <v>https://shopee.co.id/-The-Face-Shop-Yehwadam-Pure-Brightening-Serum-45ml-Original-i.34671748.2014337783</v>
      </c>
      <c r="C1650" s="8" t="s">
        <v>1217</v>
      </c>
      <c r="D1650" s="8" t="s">
        <v>1218</v>
      </c>
      <c r="E1650" s="8" t="s">
        <v>12</v>
      </c>
      <c r="F1650" s="8" t="s">
        <v>13</v>
      </c>
      <c r="G1650" s="8" t="s">
        <v>61</v>
      </c>
      <c r="H1650" s="16">
        <v>7.0</v>
      </c>
      <c r="I1650" s="15" t="str">
        <f>SUBSTITUTE(Sheet1!K1650, "Rp", "")</f>
        <v>3850000</v>
      </c>
    </row>
    <row r="1651">
      <c r="A1651" s="8" t="s">
        <v>3827</v>
      </c>
      <c r="B1651" s="13" t="str">
        <f>HYPERLINK("https://shopee.co.id/AKANO-Cosmetics-Serum-Anti-Acne-i.285742928.8845127834", "https://shopee.co.id/AKANO-Cosmetics-Serum-Anti-Acne-i.285742928.8845127834")</f>
        <v>https://shopee.co.id/AKANO-Cosmetics-Serum-Anti-Acne-i.285742928.8845127834</v>
      </c>
      <c r="C1651" s="8" t="s">
        <v>3828</v>
      </c>
      <c r="D1651" s="8" t="s">
        <v>3829</v>
      </c>
      <c r="E1651" s="8" t="s">
        <v>12</v>
      </c>
      <c r="F1651" s="8" t="s">
        <v>13</v>
      </c>
      <c r="G1651" s="8" t="s">
        <v>61</v>
      </c>
      <c r="H1651" s="16">
        <v>7.0</v>
      </c>
      <c r="I1651" s="15" t="str">
        <f>SUBSTITUTE(Sheet1!K1651, "Rp", "")</f>
        <v>115200</v>
      </c>
    </row>
    <row r="1652">
      <c r="A1652" s="8" t="s">
        <v>2703</v>
      </c>
      <c r="B1652" s="13" t="str">
        <f>HYPERLINK("https://shopee.co.id/Astalift-Infocus-Cellatve-Serum-5-ml-Tube-Mini-Size--i.104888237.6555208075", "https://shopee.co.id/Astalift-Infocus-Cellatve-Serum-5-ml-Tube-Mini-Size--i.104888237.6555208075")</f>
        <v>https://shopee.co.id/Astalift-Infocus-Cellatve-Serum-5-ml-Tube-Mini-Size--i.104888237.6555208075</v>
      </c>
      <c r="C1652" s="8" t="s">
        <v>1529</v>
      </c>
      <c r="D1652" s="8" t="s">
        <v>1530</v>
      </c>
      <c r="E1652" s="8" t="s">
        <v>12</v>
      </c>
      <c r="F1652" s="8" t="s">
        <v>13</v>
      </c>
      <c r="G1652" s="8" t="s">
        <v>61</v>
      </c>
      <c r="H1652" s="16">
        <v>7.0</v>
      </c>
      <c r="I1652" s="15" t="str">
        <f>SUBSTITUTE(Sheet1!K1652, "Rp", "")</f>
        <v>1225000</v>
      </c>
    </row>
    <row r="1653">
      <c r="A1653" s="8" t="s">
        <v>1640</v>
      </c>
      <c r="B1653" s="13" t="str">
        <f>HYPERLINK("https://shopee.co.id/Avoskin-Hydrating-Treatment-Essence-100ml-i.10689.713059158", "https://shopee.co.id/Avoskin-Hydrating-Treatment-Essence-100ml-i.10689.713059158")</f>
        <v>https://shopee.co.id/Avoskin-Hydrating-Treatment-Essence-100ml-i.10689.713059158</v>
      </c>
      <c r="C1653" s="8" t="s">
        <v>83</v>
      </c>
      <c r="D1653" s="8" t="s">
        <v>745</v>
      </c>
      <c r="E1653" s="8" t="s">
        <v>12</v>
      </c>
      <c r="F1653" s="8" t="s">
        <v>13</v>
      </c>
      <c r="G1653" s="8" t="s">
        <v>61</v>
      </c>
      <c r="H1653" s="16">
        <v>7.0</v>
      </c>
      <c r="I1653" s="15" t="str">
        <f>SUBSTITUTE(Sheet1!K1653, "Rp", "")</f>
        <v>763000</v>
      </c>
    </row>
    <row r="1654">
      <c r="A1654" s="8" t="s">
        <v>2669</v>
      </c>
      <c r="B1654" s="13" t="str">
        <f>HYPERLINK("https://shopee.co.id/Avoskin-Perfect-Hydrating-Treatment-Essence-30ml-100ml-i.136011044.6845311972", "https://shopee.co.id/Avoskin-Perfect-Hydrating-Treatment-Essence-30ml-100ml-i.136011044.6845311972")</f>
        <v>https://shopee.co.id/Avoskin-Perfect-Hydrating-Treatment-Essence-30ml-100ml-i.136011044.6845311972</v>
      </c>
      <c r="C1654" s="8" t="s">
        <v>83</v>
      </c>
      <c r="D1654" s="8" t="s">
        <v>632</v>
      </c>
      <c r="E1654" s="8" t="s">
        <v>12</v>
      </c>
      <c r="F1654" s="8" t="s">
        <v>13</v>
      </c>
      <c r="G1654" s="8" t="s">
        <v>21</v>
      </c>
      <c r="H1654" s="16">
        <v>7.0</v>
      </c>
      <c r="I1654" s="15" t="str">
        <f>SUBSTITUTE(Sheet1!K1654, "Rp", "")</f>
        <v>1285000</v>
      </c>
    </row>
    <row r="1655">
      <c r="A1655" s="8" t="s">
        <v>2425</v>
      </c>
      <c r="B1655" s="13" t="str">
        <f>HYPERLINK("https://shopee.co.id/AVOSKIN-PERFECT-HYDRATING-TREATMENT-ESSENCE-SPECIAL-EDITION-100ML-menjaga-kelembapan-kulit-i.50972887.9932518440", "https://shopee.co.id/AVOSKIN-PERFECT-HYDRATING-TREATMENT-ESSENCE-SPECIAL-EDITION-100ML-menjaga-kelembapan-kulit-i.50972887.9932518440")</f>
        <v>https://shopee.co.id/AVOSKIN-PERFECT-HYDRATING-TREATMENT-ESSENCE-SPECIAL-EDITION-100ML-menjaga-kelembapan-kulit-i.50972887.9932518440</v>
      </c>
      <c r="C1655" s="8" t="s">
        <v>83</v>
      </c>
      <c r="D1655" s="8" t="s">
        <v>552</v>
      </c>
      <c r="E1655" s="8" t="s">
        <v>12</v>
      </c>
      <c r="F1655" s="8" t="s">
        <v>13</v>
      </c>
      <c r="G1655" s="8" t="s">
        <v>61</v>
      </c>
      <c r="H1655" s="16">
        <v>7.0</v>
      </c>
      <c r="I1655" s="15" t="str">
        <f>SUBSTITUTE(Sheet1!K1655, "Rp", "")</f>
        <v>1883700</v>
      </c>
    </row>
    <row r="1656">
      <c r="A1656" s="8" t="s">
        <v>2653</v>
      </c>
      <c r="B1656" s="13" t="str">
        <f>HYPERLINK("https://shopee.co.id/Benton-Fermentation-Essence-i.125116082.2753580538", "https://shopee.co.id/Benton-Fermentation-Essence-i.125116082.2753580538")</f>
        <v>https://shopee.co.id/Benton-Fermentation-Essence-i.125116082.2753580538</v>
      </c>
      <c r="C1656" s="8" t="s">
        <v>456</v>
      </c>
      <c r="D1656" s="8" t="s">
        <v>713</v>
      </c>
      <c r="E1656" s="8" t="s">
        <v>12</v>
      </c>
      <c r="F1656" s="8" t="s">
        <v>13</v>
      </c>
      <c r="G1656" s="8" t="s">
        <v>61</v>
      </c>
      <c r="H1656" s="16">
        <v>7.0</v>
      </c>
      <c r="I1656" s="15" t="str">
        <f>SUBSTITUTE(Sheet1!K1656, "Rp", "")</f>
        <v>1312500</v>
      </c>
    </row>
    <row r="1657">
      <c r="A1657" s="8" t="s">
        <v>2804</v>
      </c>
      <c r="B1657" s="13" t="str">
        <f>HYPERLINK("https://shopee.co.id/Best-of-Safi-s-1-i.63823668.3790525829", "https://shopee.co.id/Best-of-Safi-s-1-i.63823668.3790525829")</f>
        <v>https://shopee.co.id/Best-of-Safi-s-1-i.63823668.3790525829</v>
      </c>
      <c r="C1657" s="8" t="s">
        <v>278</v>
      </c>
      <c r="D1657" s="8" t="s">
        <v>279</v>
      </c>
      <c r="E1657" s="8" t="s">
        <v>12</v>
      </c>
      <c r="F1657" s="8" t="s">
        <v>13</v>
      </c>
      <c r="G1657" s="8" t="s">
        <v>61</v>
      </c>
      <c r="H1657" s="16">
        <v>7.0</v>
      </c>
      <c r="I1657" s="15" t="str">
        <f>SUBSTITUTE(Sheet1!K1657, "Rp", "")</f>
        <v>1053400</v>
      </c>
    </row>
    <row r="1658">
      <c r="A1658" s="8" t="s">
        <v>2234</v>
      </c>
      <c r="B1658" s="13" t="str">
        <f>HYPERLINK("https://shopee.co.id/Bio-Essence-Bio-White-Advanced-Whitening-Refiner-100-ml-Bio-White-Advanced-Whitening-Serum-30-ml-i.63822287.4378876573", "https://shopee.co.id/Bio-Essence-Bio-White-Advanced-Whitening-Refiner-100-ml-Bio-White-Advanced-Whitening-Serum-30-ml-i.63822287.4378876573")</f>
        <v>https://shopee.co.id/Bio-Essence-Bio-White-Advanced-Whitening-Refiner-100-ml-Bio-White-Advanced-Whitening-Serum-30-ml-i.63822287.4378876573</v>
      </c>
      <c r="C1658" s="8" t="s">
        <v>1254</v>
      </c>
      <c r="D1658" s="8" t="s">
        <v>835</v>
      </c>
      <c r="E1658" s="8" t="s">
        <v>12</v>
      </c>
      <c r="F1658" s="8" t="s">
        <v>13</v>
      </c>
      <c r="G1658" s="8" t="s">
        <v>61</v>
      </c>
      <c r="H1658" s="16">
        <v>7.0</v>
      </c>
      <c r="I1658" s="15" t="str">
        <f>SUBSTITUTE(Sheet1!K1658, "Rp", "")</f>
        <v>2466100</v>
      </c>
    </row>
    <row r="1659">
      <c r="A1659" s="8" t="s">
        <v>3288</v>
      </c>
      <c r="B1659" s="13" t="str">
        <f>HYPERLINK("https://shopee.co.id/Bio-Essence-Bio-Renew-Deep-Cleanser-100-gr-i.63822287.3881417876", "https://shopee.co.id/Bio-Essence-Bio-Renew-Deep-Cleanser-100-gr-i.63822287.3881417876")</f>
        <v>https://shopee.co.id/Bio-Essence-Bio-Renew-Deep-Cleanser-100-gr-i.63822287.3881417876</v>
      </c>
      <c r="C1659" s="8" t="s">
        <v>1254</v>
      </c>
      <c r="D1659" s="8" t="s">
        <v>835</v>
      </c>
      <c r="E1659" s="8" t="s">
        <v>12</v>
      </c>
      <c r="F1659" s="8" t="s">
        <v>13</v>
      </c>
      <c r="G1659" s="8" t="s">
        <v>61</v>
      </c>
      <c r="H1659" s="16">
        <v>7.0</v>
      </c>
      <c r="I1659" s="15" t="str">
        <f>SUBSTITUTE(Sheet1!K1659, "Rp", "")</f>
        <v>440900</v>
      </c>
    </row>
    <row r="1660">
      <c r="A1660" s="8" t="s">
        <v>2108</v>
      </c>
      <c r="B1660" s="13" t="str">
        <f>HYPERLINK("https://shopee.co.id/Bioderma-Atoderm-Creme-200ml-Hydrabio-Serum-40ml-Skin-Barrier-Set-i.134089202.8760140135", "https://shopee.co.id/Bioderma-Atoderm-Creme-200ml-Hydrabio-Serum-40ml-Skin-Barrier-Set-i.134089202.8760140135")</f>
        <v>https://shopee.co.id/Bioderma-Atoderm-Creme-200ml-Hydrabio-Serum-40ml-Skin-Barrier-Set-i.134089202.8760140135</v>
      </c>
      <c r="C1660" s="8" t="s">
        <v>1387</v>
      </c>
      <c r="D1660" s="8" t="s">
        <v>1388</v>
      </c>
      <c r="E1660" s="8" t="s">
        <v>12</v>
      </c>
      <c r="F1660" s="8" t="s">
        <v>13</v>
      </c>
      <c r="G1660" s="8" t="s">
        <v>130</v>
      </c>
      <c r="H1660" s="16">
        <v>7.0</v>
      </c>
      <c r="I1660" s="15" t="str">
        <f>SUBSTITUTE(Sheet1!K1660, "Rp", "")</f>
        <v>2941300</v>
      </c>
    </row>
    <row r="1661">
      <c r="A1661" s="8" t="s">
        <v>1968</v>
      </c>
      <c r="B1661" s="13" t="str">
        <f>HYPERLINK("https://shopee.co.id/BLITHE-VITAL-TREATMENT-ESSENCE-8-NOURISH-BEANS-150-ML-i.53497038.1374816433", "https://shopee.co.id/BLITHE-VITAL-TREATMENT-ESSENCE-8-NOURISH-BEANS-150-ML-i.53497038.1374816433")</f>
        <v>https://shopee.co.id/BLITHE-VITAL-TREATMENT-ESSENCE-8-NOURISH-BEANS-150-ML-i.53497038.1374816433</v>
      </c>
      <c r="C1661" s="8" t="s">
        <v>1969</v>
      </c>
      <c r="D1661" s="8" t="s">
        <v>907</v>
      </c>
      <c r="E1661" s="8" t="s">
        <v>12</v>
      </c>
      <c r="F1661" s="8" t="s">
        <v>13</v>
      </c>
      <c r="G1661" s="8" t="s">
        <v>61</v>
      </c>
      <c r="H1661" s="16">
        <v>7.0</v>
      </c>
      <c r="I1661" s="15" t="str">
        <f>SUBSTITUTE(Sheet1!K1661, "Rp", "")</f>
        <v>3626000</v>
      </c>
    </row>
    <row r="1662">
      <c r="A1662" s="8" t="s">
        <v>3497</v>
      </c>
      <c r="B1662" s="13" t="str">
        <f>HYPERLINK("https://shopee.co.id/BREYLEE-Serum-Retinol-Lifting-Anti-aging-17ml-i.68111.8453348053", "https://shopee.co.id/BREYLEE-Serum-Retinol-Lifting-Anti-aging-17ml-i.68111.8453348053")</f>
        <v>https://shopee.co.id/BREYLEE-Serum-Retinol-Lifting-Anti-aging-17ml-i.68111.8453348053</v>
      </c>
      <c r="C1662" s="8" t="s">
        <v>852</v>
      </c>
      <c r="D1662" s="8" t="s">
        <v>441</v>
      </c>
      <c r="E1662" s="8" t="s">
        <v>12</v>
      </c>
      <c r="F1662" s="8" t="s">
        <v>13</v>
      </c>
      <c r="G1662" s="8" t="s">
        <v>130</v>
      </c>
      <c r="H1662" s="16">
        <v>7.0</v>
      </c>
      <c r="I1662" s="15" t="str">
        <f>SUBSTITUTE(Sheet1!K1662, "Rp", "")</f>
        <v>286650</v>
      </c>
    </row>
    <row r="1663">
      <c r="A1663" s="8" t="s">
        <v>2573</v>
      </c>
      <c r="B1663" s="13" t="str">
        <f>HYPERLINK("https://shopee.co.id/Buy-1-Get-1-Bio-Essence-Bio-White-Advanced-Whitening-Day-Cream-50-gr-i.63822287.13706184885", "https://shopee.co.id/Buy-1-Get-1-Bio-Essence-Bio-White-Advanced-Whitening-Day-Cream-50-gr-i.63822287.13706184885")</f>
        <v>https://shopee.co.id/Buy-1-Get-1-Bio-Essence-Bio-White-Advanced-Whitening-Day-Cream-50-gr-i.63822287.13706184885</v>
      </c>
      <c r="C1663" s="8" t="s">
        <v>1254</v>
      </c>
      <c r="D1663" s="8" t="s">
        <v>835</v>
      </c>
      <c r="E1663" s="8" t="s">
        <v>12</v>
      </c>
      <c r="F1663" s="8" t="s">
        <v>13</v>
      </c>
      <c r="G1663" s="8" t="s">
        <v>61</v>
      </c>
      <c r="H1663" s="16">
        <v>7.0</v>
      </c>
      <c r="I1663" s="15" t="str">
        <f>SUBSTITUTE(Sheet1!K1663, "Rp", "")</f>
        <v>1540000</v>
      </c>
    </row>
    <row r="1664">
      <c r="A1664" s="8" t="s">
        <v>3220</v>
      </c>
      <c r="B1664" s="13" t="str">
        <f>HYPERLINK("https://shopee.co.id/DEAR-ME-BEAUTY-Single-Active-Face-Serum-Hyaluronic-Acid-Pomegranate-Extract-12ml-i.68111.9756970483", "https://shopee.co.id/DEAR-ME-BEAUTY-Single-Active-Face-Serum-Hyaluronic-Acid-Pomegranate-Extract-12ml-i.68111.9756970483")</f>
        <v>https://shopee.co.id/DEAR-ME-BEAUTY-Single-Active-Face-Serum-Hyaluronic-Acid-Pomegranate-Extract-12ml-i.68111.9756970483</v>
      </c>
      <c r="C1664" s="8" t="s">
        <v>70</v>
      </c>
      <c r="D1664" s="8" t="s">
        <v>441</v>
      </c>
      <c r="E1664" s="8" t="s">
        <v>12</v>
      </c>
      <c r="F1664" s="8" t="s">
        <v>13</v>
      </c>
      <c r="G1664" s="8" t="s">
        <v>130</v>
      </c>
      <c r="H1664" s="16">
        <v>7.0</v>
      </c>
      <c r="I1664" s="15" t="str">
        <f>SUBSTITUTE(Sheet1!K1664, "Rp", "")</f>
        <v>505600</v>
      </c>
    </row>
    <row r="1665">
      <c r="A1665" s="8" t="s">
        <v>2730</v>
      </c>
      <c r="B1665" s="13" t="str">
        <f>HYPERLINK("https://shopee.co.id/Dr-Jart-Vital-Hydra-Solution-Capsule-Ampoule-i.126014132.4520408423", "https://shopee.co.id/Dr-Jart-Vital-Hydra-Solution-Capsule-Ampoule-i.126014132.4520408423")</f>
        <v>https://shopee.co.id/Dr-Jart-Vital-Hydra-Solution-Capsule-Ampoule-i.126014132.4520408423</v>
      </c>
      <c r="C1665" s="8" t="s">
        <v>1814</v>
      </c>
      <c r="D1665" s="8" t="s">
        <v>640</v>
      </c>
      <c r="E1665" s="8" t="s">
        <v>12</v>
      </c>
      <c r="F1665" s="8" t="s">
        <v>13</v>
      </c>
      <c r="G1665" s="8" t="s">
        <v>61</v>
      </c>
      <c r="H1665" s="16">
        <v>7.0</v>
      </c>
      <c r="I1665" s="15" t="str">
        <f>SUBSTITUTE(Sheet1!K1665, "Rp", "")</f>
        <v>1183000</v>
      </c>
    </row>
    <row r="1666">
      <c r="A1666" s="8" t="s">
        <v>3021</v>
      </c>
      <c r="B1666" s="13" t="str">
        <f>HYPERLINK("https://shopee.co.id/er-1-Natural-Glow-Apple-Phytocell-Serum-Serum-Pencerah-Wajah-Natural-Sensitif-by-dr-Erna-i.147564934.2496183859", "https://shopee.co.id/er-1-Natural-Glow-Apple-Phytocell-Serum-Serum-Pencerah-Wajah-Natural-Sensitif-by-dr-Erna-i.147564934.2496183859")</f>
        <v>https://shopee.co.id/er-1-Natural-Glow-Apple-Phytocell-Serum-Serum-Pencerah-Wajah-Natural-Sensitif-by-dr-Erna-i.147564934.2496183859</v>
      </c>
      <c r="C1666" s="8" t="s">
        <v>2222</v>
      </c>
      <c r="D1666" s="8" t="s">
        <v>2223</v>
      </c>
      <c r="E1666" s="8" t="s">
        <v>12</v>
      </c>
      <c r="F1666" s="8" t="s">
        <v>13</v>
      </c>
      <c r="G1666" s="8" t="s">
        <v>21</v>
      </c>
      <c r="H1666" s="16">
        <v>7.0</v>
      </c>
      <c r="I1666" s="15" t="str">
        <f>SUBSTITUTE(Sheet1!K1666, "Rp", "")</f>
        <v>714000</v>
      </c>
    </row>
    <row r="1667">
      <c r="A1667" s="8" t="s">
        <v>2728</v>
      </c>
      <c r="B1667" s="13" t="str">
        <f>HYPERLINK("https://shopee.co.id/Erha21-Age-Corrector-Serum-20-Ml-Serum-Anti-Aging-Penyamar-Kerutan-Menjaga-Elastisitas-Kulit-i.50972887.9203515545", "https://shopee.co.id/Erha21-Age-Corrector-Serum-20-Ml-Serum-Anti-Aging-Penyamar-Kerutan-Menjaga-Elastisitas-Kulit-i.50972887.9203515545")</f>
        <v>https://shopee.co.id/Erha21-Age-Corrector-Serum-20-Ml-Serum-Anti-Aging-Penyamar-Kerutan-Menjaga-Elastisitas-Kulit-i.50972887.9203515545</v>
      </c>
      <c r="C1667" s="8" t="s">
        <v>1908</v>
      </c>
      <c r="D1667" s="8" t="s">
        <v>552</v>
      </c>
      <c r="E1667" s="8" t="s">
        <v>12</v>
      </c>
      <c r="F1667" s="8" t="s">
        <v>13</v>
      </c>
      <c r="G1667" s="8" t="s">
        <v>61</v>
      </c>
      <c r="H1667" s="16">
        <v>7.0</v>
      </c>
      <c r="I1667" s="15" t="str">
        <f>SUBSTITUTE(Sheet1!K1667, "Rp", "")</f>
        <v>1190700</v>
      </c>
    </row>
    <row r="1668">
      <c r="A1668" s="8" t="s">
        <v>2842</v>
      </c>
      <c r="B1668" s="13" t="str">
        <f>HYPERLINK("https://shopee.co.id/FABIL-Post-Acne-Lightening-Serum-with-Bidara-12-5ml-EXP-12-21-TANPA-UNIT-BOX--i.3990192.2650593489", "https://shopee.co.id/FABIL-Post-Acne-Lightening-Serum-with-Bidara-12-5ml-EXP-12-21-TANPA-UNIT-BOX--i.3990192.2650593489")</f>
        <v>https://shopee.co.id/FABIL-Post-Acne-Lightening-Serum-with-Bidara-12-5ml-EXP-12-21-TANPA-UNIT-BOX--i.3990192.2650593489</v>
      </c>
      <c r="C1668" s="8" t="s">
        <v>2579</v>
      </c>
      <c r="D1668" s="8" t="s">
        <v>2580</v>
      </c>
      <c r="E1668" s="8" t="s">
        <v>12</v>
      </c>
      <c r="F1668" s="8" t="s">
        <v>13</v>
      </c>
      <c r="G1668" s="8" t="s">
        <v>1085</v>
      </c>
      <c r="H1668" s="16">
        <v>7.0</v>
      </c>
      <c r="I1668" s="15" t="str">
        <f>SUBSTITUTE(Sheet1!K1668, "Rp", "")</f>
        <v>984000</v>
      </c>
    </row>
    <row r="1669">
      <c r="A1669" s="8" t="s">
        <v>2978</v>
      </c>
      <c r="B1669" s="13" t="str">
        <f>HYPERLINK("https://shopee.co.id/Fameux-Peptide-C-Serum-With-Peptide-and-Hyaluronic-Acid-i.54644416.2215129712", "https://shopee.co.id/Fameux-Peptide-C-Serum-With-Peptide-and-Hyaluronic-Acid-i.54644416.2215129712")</f>
        <v>https://shopee.co.id/Fameux-Peptide-C-Serum-With-Peptide-and-Hyaluronic-Acid-i.54644416.2215129712</v>
      </c>
      <c r="C1669" s="8" t="s">
        <v>2979</v>
      </c>
      <c r="D1669" s="8" t="s">
        <v>2980</v>
      </c>
      <c r="E1669" s="8" t="s">
        <v>12</v>
      </c>
      <c r="F1669" s="8" t="s">
        <v>13</v>
      </c>
      <c r="G1669" s="8" t="s">
        <v>350</v>
      </c>
      <c r="H1669" s="16">
        <v>7.0</v>
      </c>
      <c r="I1669" s="15" t="str">
        <f>SUBSTITUTE(Sheet1!K1669, "Rp", "")</f>
        <v>784245</v>
      </c>
    </row>
    <row r="1670">
      <c r="A1670" s="8" t="s">
        <v>2693</v>
      </c>
      <c r="B1670" s="13" t="str">
        <f>HYPERLINK("https://shopee.co.id/Galactomyces-Essence-i.3087844.3006984553", "https://shopee.co.id/Galactomyces-Essence-i.3087844.3006984553")</f>
        <v>https://shopee.co.id/Galactomyces-Essence-i.3087844.3006984553</v>
      </c>
      <c r="C1670" s="8" t="s">
        <v>2465</v>
      </c>
      <c r="D1670" s="8" t="s">
        <v>1158</v>
      </c>
      <c r="E1670" s="8" t="s">
        <v>12</v>
      </c>
      <c r="F1670" s="8" t="s">
        <v>13</v>
      </c>
      <c r="G1670" s="8" t="s">
        <v>241</v>
      </c>
      <c r="H1670" s="16">
        <v>7.0</v>
      </c>
      <c r="I1670" s="15" t="str">
        <f>SUBSTITUTE(Sheet1!K1670, "Rp", "")</f>
        <v>1247000</v>
      </c>
    </row>
    <row r="1671">
      <c r="A1671" s="8" t="s">
        <v>2849</v>
      </c>
      <c r="B1671" s="13" t="str">
        <f>HYPERLINK("https://shopee.co.id/Garnier-Light-Complete-Booster-Serum-15ml-Micellar-Water-Rose-400ml-Untuk-Kulit-Cerah-Glowing--i.62583853.7879242394", "https://shopee.co.id/Garnier-Light-Complete-Booster-Serum-15ml-Micellar-Water-Rose-400ml-Untuk-Kulit-Cerah-Glowing--i.62583853.7879242394")</f>
        <v>https://shopee.co.id/Garnier-Light-Complete-Booster-Serum-15ml-Micellar-Water-Rose-400ml-Untuk-Kulit-Cerah-Glowing--i.62583853.7879242394</v>
      </c>
      <c r="C1671" s="8" t="s">
        <v>74</v>
      </c>
      <c r="D1671" s="8" t="s">
        <v>75</v>
      </c>
      <c r="E1671" s="8" t="s">
        <v>12</v>
      </c>
      <c r="F1671" s="8" t="s">
        <v>13</v>
      </c>
      <c r="G1671" s="8" t="s">
        <v>61</v>
      </c>
      <c r="H1671" s="16">
        <v>7.0</v>
      </c>
      <c r="I1671" s="15" t="str">
        <f>SUBSTITUTE(Sheet1!K1671, "Rp", "")</f>
        <v>965000</v>
      </c>
    </row>
    <row r="1672">
      <c r="A1672" s="8" t="s">
        <v>3018</v>
      </c>
      <c r="B1672" s="13" t="str">
        <f>HYPERLINK("https://shopee.co.id/Garnier-Sakura-White-Booster-Serum-15-ml-Sakura-Mask-5-pcs-Untuk-Kulit-Cerah-Merona--i.62583853.6579229043", "https://shopee.co.id/Garnier-Sakura-White-Booster-Serum-15-ml-Sakura-Mask-5-pcs-Untuk-Kulit-Cerah-Merona--i.62583853.6579229043")</f>
        <v>https://shopee.co.id/Garnier-Sakura-White-Booster-Serum-15-ml-Sakura-Mask-5-pcs-Untuk-Kulit-Cerah-Merona--i.62583853.6579229043</v>
      </c>
      <c r="C1672" s="8" t="s">
        <v>74</v>
      </c>
      <c r="D1672" s="8" t="s">
        <v>75</v>
      </c>
      <c r="E1672" s="8" t="s">
        <v>12</v>
      </c>
      <c r="F1672" s="8" t="s">
        <v>13</v>
      </c>
      <c r="G1672" s="8" t="s">
        <v>61</v>
      </c>
      <c r="H1672" s="16">
        <v>7.0</v>
      </c>
      <c r="I1672" s="15" t="str">
        <f>SUBSTITUTE(Sheet1!K1672, "Rp", "")</f>
        <v>718000</v>
      </c>
    </row>
    <row r="1673">
      <c r="A1673" s="8" t="s">
        <v>3653</v>
      </c>
      <c r="B1673" s="13" t="str">
        <f>HYPERLINK("https://shopee.co.id/Garnier-Sakura-White-Whitening-Serum-Day-Cream-SPF-30-20-mL-i.65323877.6589498627", "https://shopee.co.id/Garnier-Sakura-White-Whitening-Serum-Day-Cream-SPF-30-20-mL-i.65323877.6589498627")</f>
        <v>https://shopee.co.id/Garnier-Sakura-White-Whitening-Serum-Day-Cream-SPF-30-20-mL-i.65323877.6589498627</v>
      </c>
      <c r="C1673" s="8" t="s">
        <v>74</v>
      </c>
      <c r="D1673" s="8" t="s">
        <v>1600</v>
      </c>
      <c r="E1673" s="8" t="s">
        <v>12</v>
      </c>
      <c r="F1673" s="8" t="s">
        <v>13</v>
      </c>
      <c r="G1673" s="8" t="s">
        <v>296</v>
      </c>
      <c r="H1673" s="16">
        <v>7.0</v>
      </c>
      <c r="I1673" s="15" t="str">
        <f>SUBSTITUTE(Sheet1!K1673, "Rp", "")</f>
        <v>200900</v>
      </c>
    </row>
    <row r="1674">
      <c r="A1674" s="8" t="s">
        <v>3101</v>
      </c>
      <c r="B1674" s="13" t="str">
        <f>HYPERLINK("https://shopee.co.id/GLOWINC-POTION-GENTLE-Soothing-Serum-i.487788169.11832257035", "https://shopee.co.id/GLOWINC-POTION-GENTLE-Soothing-Serum-i.487788169.11832257035")</f>
        <v>https://shopee.co.id/GLOWINC-POTION-GENTLE-Soothing-Serum-i.487788169.11832257035</v>
      </c>
      <c r="C1674" s="8" t="s">
        <v>1898</v>
      </c>
      <c r="D1674" s="8" t="s">
        <v>1899</v>
      </c>
      <c r="E1674" s="8" t="s">
        <v>12</v>
      </c>
      <c r="F1674" s="8" t="s">
        <v>13</v>
      </c>
      <c r="G1674" s="8" t="s">
        <v>21</v>
      </c>
      <c r="H1674" s="16">
        <v>7.0</v>
      </c>
      <c r="I1674" s="15" t="str">
        <f>SUBSTITUTE(Sheet1!K1674, "Rp", "")</f>
        <v>623000</v>
      </c>
    </row>
    <row r="1675">
      <c r="A1675" s="8" t="s">
        <v>3167</v>
      </c>
      <c r="B1675" s="13" t="str">
        <f>HYPERLINK("https://shopee.co.id/GLOWINC-POTION-MAINTAIN-Nutrient-Skin-Serum-i.487788169.10232265161", "https://shopee.co.id/GLOWINC-POTION-MAINTAIN-Nutrient-Skin-Serum-i.487788169.10232265161")</f>
        <v>https://shopee.co.id/GLOWINC-POTION-MAINTAIN-Nutrient-Skin-Serum-i.487788169.10232265161</v>
      </c>
      <c r="C1675" s="8" t="s">
        <v>1898</v>
      </c>
      <c r="D1675" s="8" t="s">
        <v>1899</v>
      </c>
      <c r="E1675" s="8" t="s">
        <v>12</v>
      </c>
      <c r="F1675" s="8" t="s">
        <v>13</v>
      </c>
      <c r="G1675" s="8" t="s">
        <v>21</v>
      </c>
      <c r="H1675" s="16">
        <v>7.0</v>
      </c>
      <c r="I1675" s="15" t="str">
        <f>SUBSTITUTE(Sheet1!K1675, "Rp", "")</f>
        <v>553000</v>
      </c>
    </row>
    <row r="1676">
      <c r="A1676" s="8" t="s">
        <v>2508</v>
      </c>
      <c r="B1676" s="13" t="str">
        <f>HYPERLINK("https://shopee.co.id/Glowlabs-Gentle-Bright-Serum-Peptide-Moist-i.336869851.8870597325", "https://shopee.co.id/Glowlabs-Gentle-Bright-Serum-Peptide-Moist-i.336869851.8870597325")</f>
        <v>https://shopee.co.id/Glowlabs-Gentle-Bright-Serum-Peptide-Moist-i.336869851.8870597325</v>
      </c>
      <c r="C1676" s="8" t="s">
        <v>407</v>
      </c>
      <c r="D1676" s="8" t="s">
        <v>408</v>
      </c>
      <c r="E1676" s="8" t="s">
        <v>12</v>
      </c>
      <c r="F1676" s="8" t="s">
        <v>13</v>
      </c>
      <c r="G1676" s="8" t="s">
        <v>409</v>
      </c>
      <c r="H1676" s="16">
        <v>7.0</v>
      </c>
      <c r="I1676" s="15" t="str">
        <f>SUBSTITUTE(Sheet1!K1676, "Rp", "")</f>
        <v>1683500</v>
      </c>
    </row>
    <row r="1677">
      <c r="A1677" s="8" t="s">
        <v>2443</v>
      </c>
      <c r="B1677" s="13" t="str">
        <f>HYPERLINK("https://shopee.co.id/Glowlabs-Healthy-Skin-Booster-Probiome-Acne-Serum-Retinol-Cica-Night-Serum--i.336869851.11703318865", "https://shopee.co.id/Glowlabs-Healthy-Skin-Booster-Probiome-Acne-Serum-Retinol-Cica-Night-Serum--i.336869851.11703318865")</f>
        <v>https://shopee.co.id/Glowlabs-Healthy-Skin-Booster-Probiome-Acne-Serum-Retinol-Cica-Night-Serum--i.336869851.11703318865</v>
      </c>
      <c r="C1677" s="8" t="s">
        <v>407</v>
      </c>
      <c r="D1677" s="8" t="s">
        <v>408</v>
      </c>
      <c r="E1677" s="8" t="s">
        <v>12</v>
      </c>
      <c r="F1677" s="8" t="s">
        <v>13</v>
      </c>
      <c r="G1677" s="8" t="s">
        <v>409</v>
      </c>
      <c r="H1677" s="16">
        <v>7.0</v>
      </c>
      <c r="I1677" s="15" t="str">
        <f>SUBSTITUTE(Sheet1!K1677, "Rp", "")</f>
        <v>1830000</v>
      </c>
    </row>
    <row r="1678">
      <c r="A1678" s="8" t="s">
        <v>2541</v>
      </c>
      <c r="B1678" s="13" t="str">
        <f>HYPERLINK("https://shopee.co.id/Glowlabs-Probiome-Acne-Serum-Peptide-Moist-i.336869851.9128455296", "https://shopee.co.id/Glowlabs-Probiome-Acne-Serum-Peptide-Moist-i.336869851.9128455296")</f>
        <v>https://shopee.co.id/Glowlabs-Probiome-Acne-Serum-Peptide-Moist-i.336869851.9128455296</v>
      </c>
      <c r="C1678" s="8" t="s">
        <v>407</v>
      </c>
      <c r="D1678" s="8" t="s">
        <v>408</v>
      </c>
      <c r="E1678" s="8" t="s">
        <v>12</v>
      </c>
      <c r="F1678" s="8" t="s">
        <v>13</v>
      </c>
      <c r="G1678" s="8" t="s">
        <v>409</v>
      </c>
      <c r="H1678" s="16">
        <v>7.0</v>
      </c>
      <c r="I1678" s="15" t="str">
        <f>SUBSTITUTE(Sheet1!K1678, "Rp", "")</f>
        <v>1598580</v>
      </c>
    </row>
    <row r="1679">
      <c r="A1679" s="8" t="s">
        <v>2904</v>
      </c>
      <c r="B1679" s="13" t="str">
        <f>HYPERLINK("https://shopee.co.id/HAUM-ALOECID-Niacinamide-10--i.119338790.5344062078", "https://shopee.co.id/HAUM-ALOECID-Niacinamide-10--i.119338790.5344062078")</f>
        <v>https://shopee.co.id/HAUM-ALOECID-Niacinamide-10--i.119338790.5344062078</v>
      </c>
      <c r="C1679" s="8" t="s">
        <v>1144</v>
      </c>
      <c r="D1679" s="8" t="s">
        <v>2905</v>
      </c>
      <c r="E1679" s="8" t="s">
        <v>12</v>
      </c>
      <c r="F1679" s="8" t="s">
        <v>13</v>
      </c>
      <c r="G1679" s="8" t="s">
        <v>532</v>
      </c>
      <c r="H1679" s="16">
        <v>7.0</v>
      </c>
      <c r="I1679" s="15" t="str">
        <f>SUBSTITUTE(Sheet1!K1679, "Rp", "")</f>
        <v>896000</v>
      </c>
    </row>
    <row r="1680">
      <c r="A1680" s="8" t="s">
        <v>2816</v>
      </c>
      <c r="B1680" s="13" t="str">
        <f>HYPERLINK("https://shopee.co.id/Haum-Alpha-MF-2-Alpha-Arbutin-30ml-i.825870.9436358905", "https://shopee.co.id/Haum-Alpha-MF-2-Alpha-Arbutin-30ml-i.825870.9436358905")</f>
        <v>https://shopee.co.id/Haum-Alpha-MF-2-Alpha-Arbutin-30ml-i.825870.9436358905</v>
      </c>
      <c r="C1680" s="8" t="s">
        <v>1144</v>
      </c>
      <c r="D1680" s="8" t="s">
        <v>1184</v>
      </c>
      <c r="E1680" s="8" t="s">
        <v>12</v>
      </c>
      <c r="F1680" s="8" t="s">
        <v>13</v>
      </c>
      <c r="G1680" s="8" t="s">
        <v>21</v>
      </c>
      <c r="H1680" s="16">
        <v>7.0</v>
      </c>
      <c r="I1680" s="15" t="str">
        <f>SUBSTITUTE(Sheet1!K1680, "Rp", "")</f>
        <v>1036000</v>
      </c>
    </row>
    <row r="1681">
      <c r="A1681" s="8" t="s">
        <v>2095</v>
      </c>
      <c r="B1681" s="13" t="str">
        <f>HYPERLINK("https://shopee.co.id/HAYEJIN-Blessing-of-Sprout-Enriched-Serum-Twinpack-2pcs-i.318720131.8079878803", "https://shopee.co.id/HAYEJIN-Blessing-of-Sprout-Enriched-Serum-Twinpack-2pcs-i.318720131.8079878803")</f>
        <v>https://shopee.co.id/HAYEJIN-Blessing-of-Sprout-Enriched-Serum-Twinpack-2pcs-i.318720131.8079878803</v>
      </c>
      <c r="C1681" s="8" t="s">
        <v>761</v>
      </c>
      <c r="D1681" s="8" t="s">
        <v>823</v>
      </c>
      <c r="E1681" s="8" t="s">
        <v>12</v>
      </c>
      <c r="F1681" s="8" t="s">
        <v>13</v>
      </c>
      <c r="G1681" s="8" t="s">
        <v>98</v>
      </c>
      <c r="H1681" s="16">
        <v>7.0</v>
      </c>
      <c r="I1681" s="15" t="str">
        <f>SUBSTITUTE(Sheet1!K1681, "Rp", "")</f>
        <v>3003000</v>
      </c>
    </row>
    <row r="1682">
      <c r="A1682" s="8" t="s">
        <v>3221</v>
      </c>
      <c r="B1682" s="13" t="str">
        <f>HYPERLINK("https://shopee.co.id/Hiqween-Face-Essence-Preparing-Serum-Formula-Lama-i.481417149.5894178479", "https://shopee.co.id/Hiqween-Face-Essence-Preparing-Serum-Formula-Lama-i.481417149.5894178479")</f>
        <v>https://shopee.co.id/Hiqween-Face-Essence-Preparing-Serum-Formula-Lama-i.481417149.5894178479</v>
      </c>
      <c r="C1682" s="8" t="s">
        <v>2270</v>
      </c>
      <c r="D1682" s="8" t="s">
        <v>2271</v>
      </c>
      <c r="E1682" s="8" t="s">
        <v>12</v>
      </c>
      <c r="F1682" s="8" t="s">
        <v>13</v>
      </c>
      <c r="G1682" s="8" t="s">
        <v>350</v>
      </c>
      <c r="H1682" s="16">
        <v>7.0</v>
      </c>
      <c r="I1682" s="15" t="str">
        <f>SUBSTITUTE(Sheet1!K1682, "Rp", "")</f>
        <v>501000</v>
      </c>
    </row>
    <row r="1683">
      <c r="A1683" s="8" t="s">
        <v>2612</v>
      </c>
      <c r="B1683" s="13" t="str">
        <f>HYPERLINK("https://shopee.co.id/Holika-Holika-Aloe-Soothing-Essence-Skin-Care-Special-Set-i.18856010.1807244531", "https://shopee.co.id/Holika-Holika-Aloe-Soothing-Essence-Skin-Care-Special-Set-i.18856010.1807244531")</f>
        <v>https://shopee.co.id/Holika-Holika-Aloe-Soothing-Essence-Skin-Care-Special-Set-i.18856010.1807244531</v>
      </c>
      <c r="C1683" s="8" t="s">
        <v>2265</v>
      </c>
      <c r="D1683" s="8" t="s">
        <v>2266</v>
      </c>
      <c r="E1683" s="8" t="s">
        <v>12</v>
      </c>
      <c r="F1683" s="8" t="s">
        <v>13</v>
      </c>
      <c r="G1683" s="8" t="s">
        <v>21</v>
      </c>
      <c r="H1683" s="16">
        <v>7.0</v>
      </c>
      <c r="I1683" s="15" t="str">
        <f>SUBSTITUTE(Sheet1!K1683, "Rp", "")</f>
        <v>1416400</v>
      </c>
    </row>
    <row r="1684">
      <c r="A1684" s="8" t="s">
        <v>2475</v>
      </c>
      <c r="B1684" s="13" t="str">
        <f>HYPERLINK("https://shopee.co.id/Huxley-Oil-Essence-Essence-Like-Oil-Like-i.125116082.2754005521", "https://shopee.co.id/Huxley-Oil-Essence-Essence-Like-Oil-Like-i.125116082.2754005521")</f>
        <v>https://shopee.co.id/Huxley-Oil-Essence-Essence-Like-Oil-Like-i.125116082.2754005521</v>
      </c>
      <c r="C1684" s="8" t="s">
        <v>1635</v>
      </c>
      <c r="D1684" s="8" t="s">
        <v>713</v>
      </c>
      <c r="E1684" s="8" t="s">
        <v>12</v>
      </c>
      <c r="F1684" s="8" t="s">
        <v>13</v>
      </c>
      <c r="G1684" s="8" t="s">
        <v>61</v>
      </c>
      <c r="H1684" s="16">
        <v>7.0</v>
      </c>
      <c r="I1684" s="15" t="str">
        <f>SUBSTITUTE(Sheet1!K1684, "Rp", "")</f>
        <v>1764000</v>
      </c>
    </row>
    <row r="1685">
      <c r="A1685" s="8" t="s">
        <v>3154</v>
      </c>
      <c r="B1685" s="13" t="str">
        <f>HYPERLINK("https://shopee.co.id/Innertrue-Acneficent-Treatment-Gel-10g-i.10689.8033020420", "https://shopee.co.id/Innertrue-Acneficent-Treatment-Gel-10g-i.10689.8033020420")</f>
        <v>https://shopee.co.id/Innertrue-Acneficent-Treatment-Gel-10g-i.10689.8033020420</v>
      </c>
      <c r="C1685" s="8" t="s">
        <v>1321</v>
      </c>
      <c r="D1685" s="8" t="s">
        <v>745</v>
      </c>
      <c r="E1685" s="8" t="s">
        <v>12</v>
      </c>
      <c r="F1685" s="8" t="s">
        <v>13</v>
      </c>
      <c r="G1685" s="8" t="s">
        <v>61</v>
      </c>
      <c r="H1685" s="16">
        <v>7.0</v>
      </c>
      <c r="I1685" s="15" t="str">
        <f>SUBSTITUTE(Sheet1!K1685, "Rp", "")</f>
        <v>560000</v>
      </c>
    </row>
    <row r="1686">
      <c r="A1686" s="8" t="s">
        <v>2205</v>
      </c>
      <c r="B1686" s="13" t="str">
        <f>HYPERLINK("https://shopee.co.id/Junkisui-Refreshing-Spots-Serum-i.105297385.7358213370", "https://shopee.co.id/Junkisui-Refreshing-Spots-Serum-i.105297385.7358213370")</f>
        <v>https://shopee.co.id/Junkisui-Refreshing-Spots-Serum-i.105297385.7358213370</v>
      </c>
      <c r="C1686" s="8" t="s">
        <v>1997</v>
      </c>
      <c r="D1686" s="8" t="s">
        <v>1998</v>
      </c>
      <c r="E1686" s="8" t="s">
        <v>12</v>
      </c>
      <c r="F1686" s="8" t="s">
        <v>13</v>
      </c>
      <c r="G1686" s="8" t="s">
        <v>532</v>
      </c>
      <c r="H1686" s="16">
        <v>7.0</v>
      </c>
      <c r="I1686" s="15" t="str">
        <f>SUBSTITUTE(Sheet1!K1686, "Rp", "")</f>
        <v>2547950</v>
      </c>
    </row>
    <row r="1687">
      <c r="A1687" s="8" t="s">
        <v>1684</v>
      </c>
      <c r="B1687" s="13" t="str">
        <f>HYPERLINK("https://shopee.co.id/KANEBO-The-First-Serum-60ML-i.169111593.4801803781", "https://shopee.co.id/KANEBO-The-First-Serum-60ML-i.169111593.4801803781")</f>
        <v>https://shopee.co.id/KANEBO-The-First-Serum-60ML-i.169111593.4801803781</v>
      </c>
      <c r="C1687" s="8" t="s">
        <v>1473</v>
      </c>
      <c r="D1687" s="8" t="s">
        <v>1474</v>
      </c>
      <c r="E1687" s="8" t="s">
        <v>12</v>
      </c>
      <c r="F1687" s="8" t="s">
        <v>13</v>
      </c>
      <c r="G1687" s="8" t="s">
        <v>532</v>
      </c>
      <c r="H1687" s="16">
        <v>7.0</v>
      </c>
      <c r="I1687" s="15" t="str">
        <f>SUBSTITUTE(Sheet1!K1687, "Rp", "")</f>
        <v>5565000</v>
      </c>
    </row>
    <row r="1688">
      <c r="A1688" s="8" t="s">
        <v>2474</v>
      </c>
      <c r="B1688" s="13" t="str">
        <f>HYPERLINK("https://shopee.co.id/Keep-Cool-Soothe-Bamboo-Serum-50-ml-i.125116082.4019990627", "https://shopee.co.id/Keep-Cool-Soothe-Bamboo-Serum-50-ml-i.125116082.4019990627")</f>
        <v>https://shopee.co.id/Keep-Cool-Soothe-Bamboo-Serum-50-ml-i.125116082.4019990627</v>
      </c>
      <c r="C1688" s="8" t="s">
        <v>1202</v>
      </c>
      <c r="D1688" s="8" t="s">
        <v>713</v>
      </c>
      <c r="E1688" s="8" t="s">
        <v>12</v>
      </c>
      <c r="F1688" s="8" t="s">
        <v>13</v>
      </c>
      <c r="G1688" s="8" t="s">
        <v>61</v>
      </c>
      <c r="H1688" s="16">
        <v>7.0</v>
      </c>
      <c r="I1688" s="15" t="str">
        <f>SUBSTITUTE(Sheet1!K1688, "Rp", "")</f>
        <v>1767000</v>
      </c>
    </row>
    <row r="1689">
      <c r="A1689" s="8" t="s">
        <v>1180</v>
      </c>
      <c r="B1689" s="13" t="str">
        <f>HYPERLINK("https://shopee.co.id/L-Occitane-Immortelle-Divine-Extract-Serum-Wajah-30-mL--i.88079439.1480571588", "https://shopee.co.id/L-Occitane-Immortelle-Divine-Extract-Serum-Wajah-30-mL--i.88079439.1480571588")</f>
        <v>https://shopee.co.id/L-Occitane-Immortelle-Divine-Extract-Serum-Wajah-30-mL--i.88079439.1480571588</v>
      </c>
      <c r="C1689" s="8" t="s">
        <v>579</v>
      </c>
      <c r="D1689" s="8" t="s">
        <v>580</v>
      </c>
      <c r="E1689" s="8" t="s">
        <v>12</v>
      </c>
      <c r="F1689" s="8" t="s">
        <v>13</v>
      </c>
      <c r="G1689" s="8" t="s">
        <v>532</v>
      </c>
      <c r="H1689" s="16">
        <v>7.0</v>
      </c>
      <c r="I1689" s="15" t="str">
        <f>SUBSTITUTE(Sheet1!K1689, "Rp", "")</f>
        <v>13370000</v>
      </c>
    </row>
    <row r="1690">
      <c r="A1690" s="8" t="s">
        <v>2109</v>
      </c>
      <c r="B1690" s="13" t="str">
        <f>HYPERLINK("https://shopee.co.id/Mamonde-Vital-Vitamin-Essence-100ml-i.160417197.2413130414", "https://shopee.co.id/Mamonde-Vital-Vitamin-Essence-100ml-i.160417197.2413130414")</f>
        <v>https://shopee.co.id/Mamonde-Vital-Vitamin-Essence-100ml-i.160417197.2413130414</v>
      </c>
      <c r="C1690" s="8" t="s">
        <v>447</v>
      </c>
      <c r="D1690" s="8" t="s">
        <v>448</v>
      </c>
      <c r="E1690" s="8" t="s">
        <v>12</v>
      </c>
      <c r="F1690" s="8" t="s">
        <v>13</v>
      </c>
      <c r="G1690" s="8" t="s">
        <v>61</v>
      </c>
      <c r="H1690" s="16">
        <v>7.0</v>
      </c>
      <c r="I1690" s="15" t="str">
        <f>SUBSTITUTE(Sheet1!K1690, "Rp", "")</f>
        <v>2935350</v>
      </c>
    </row>
    <row r="1691">
      <c r="A1691" s="8" t="s">
        <v>2806</v>
      </c>
      <c r="B1691" s="13" t="str">
        <f>HYPERLINK("https://shopee.co.id/MD-Glowing-Serum-Vitamin-C-i.98061713.1734098276", "https://shopee.co.id/MD-Glowing-Serum-Vitamin-C-i.98061713.1734098276")</f>
        <v>https://shopee.co.id/MD-Glowing-Serum-Vitamin-C-i.98061713.1734098276</v>
      </c>
      <c r="C1691" s="8" t="s">
        <v>1353</v>
      </c>
      <c r="D1691" s="8" t="s">
        <v>1354</v>
      </c>
      <c r="E1691" s="8" t="s">
        <v>12</v>
      </c>
      <c r="F1691" s="8" t="s">
        <v>13</v>
      </c>
      <c r="G1691" s="8" t="s">
        <v>370</v>
      </c>
      <c r="H1691" s="16">
        <v>7.0</v>
      </c>
      <c r="I1691" s="15" t="str">
        <f>SUBSTITUTE(Sheet1!K1691, "Rp", "")</f>
        <v>1050000</v>
      </c>
    </row>
    <row r="1692">
      <c r="A1692" s="8" t="s">
        <v>3315</v>
      </c>
      <c r="B1692" s="13" t="str">
        <f>HYPERLINK("https://shopee.co.id/Mireya-Glow-C-Youth-Boost-Serum-i.101578297.3988276949", "https://shopee.co.id/Mireya-Glow-C-Youth-Boost-Serum-i.101578297.3988276949")</f>
        <v>https://shopee.co.id/Mireya-Glow-C-Youth-Boost-Serum-i.101578297.3988276949</v>
      </c>
      <c r="C1692" s="8" t="s">
        <v>2430</v>
      </c>
      <c r="D1692" s="8" t="s">
        <v>2431</v>
      </c>
      <c r="E1692" s="8" t="s">
        <v>12</v>
      </c>
      <c r="F1692" s="8" t="s">
        <v>13</v>
      </c>
      <c r="G1692" s="8" t="s">
        <v>21</v>
      </c>
      <c r="H1692" s="16">
        <v>7.0</v>
      </c>
      <c r="I1692" s="15" t="str">
        <f>SUBSTITUTE(Sheet1!K1692, "Rp", "")</f>
        <v>422100</v>
      </c>
    </row>
    <row r="1693">
      <c r="A1693" s="8" t="s">
        <v>3114</v>
      </c>
      <c r="B1693" s="13" t="str">
        <f>HYPERLINK("https://shopee.co.id/MSBB-Dear-Me-Beauty-1-Bakuchiol-Blueberry-Extract-Face-Serum-12Ml-i.288588702.3395781846", "https://shopee.co.id/MSBB-Dear-Me-Beauty-1-Bakuchiol-Blueberry-Extract-Face-Serum-12Ml-i.288588702.3395781846")</f>
        <v>https://shopee.co.id/MSBB-Dear-Me-Beauty-1-Bakuchiol-Blueberry-Extract-Face-Serum-12Ml-i.288588702.3395781846</v>
      </c>
      <c r="C1693" s="8" t="s">
        <v>78</v>
      </c>
      <c r="D1693" s="8" t="s">
        <v>79</v>
      </c>
      <c r="E1693" s="8" t="s">
        <v>12</v>
      </c>
      <c r="F1693" s="8" t="s">
        <v>13</v>
      </c>
      <c r="G1693" s="8" t="s">
        <v>80</v>
      </c>
      <c r="H1693" s="16">
        <v>7.0</v>
      </c>
      <c r="I1693" s="15" t="str">
        <f>SUBSTITUTE(Sheet1!K1693, "Rp", "")</f>
        <v>609650</v>
      </c>
    </row>
    <row r="1694">
      <c r="A1694" s="8" t="s">
        <v>2784</v>
      </c>
      <c r="B1694" s="13" t="str">
        <f>HYPERLINK("https://shopee.co.id/MSBB-Indoganic-Beauty-Rose-Essence-C-i.288588702.11718160571", "https://shopee.co.id/MSBB-Indoganic-Beauty-Rose-Essence-C-i.288588702.11718160571")</f>
        <v>https://shopee.co.id/MSBB-Indoganic-Beauty-Rose-Essence-C-i.288588702.11718160571</v>
      </c>
      <c r="C1694" s="8" t="s">
        <v>78</v>
      </c>
      <c r="D1694" s="8" t="s">
        <v>79</v>
      </c>
      <c r="E1694" s="8" t="s">
        <v>12</v>
      </c>
      <c r="F1694" s="8" t="s">
        <v>13</v>
      </c>
      <c r="G1694" s="8" t="s">
        <v>80</v>
      </c>
      <c r="H1694" s="16">
        <v>7.0</v>
      </c>
      <c r="I1694" s="15" t="str">
        <f>SUBSTITUTE(Sheet1!K1694, "Rp", "")</f>
        <v>1082790</v>
      </c>
    </row>
    <row r="1695">
      <c r="A1695" s="8" t="s">
        <v>2810</v>
      </c>
      <c r="B1695" s="13" t="str">
        <f>HYPERLINK("https://shopee.co.id/MSBB-Skin-Game-Acne-Combat-Serum-30-gr-i.288588702.9542629475", "https://shopee.co.id/MSBB-Skin-Game-Acne-Combat-Serum-30-gr-i.288588702.9542629475")</f>
        <v>https://shopee.co.id/MSBB-Skin-Game-Acne-Combat-Serum-30-gr-i.288588702.9542629475</v>
      </c>
      <c r="C1695" s="8" t="s">
        <v>523</v>
      </c>
      <c r="D1695" s="8" t="s">
        <v>79</v>
      </c>
      <c r="E1695" s="8" t="s">
        <v>12</v>
      </c>
      <c r="F1695" s="8" t="s">
        <v>13</v>
      </c>
      <c r="G1695" s="8" t="s">
        <v>80</v>
      </c>
      <c r="H1695" s="16">
        <v>7.0</v>
      </c>
      <c r="I1695" s="15" t="str">
        <f>SUBSTITUTE(Sheet1!K1695, "Rp", "")</f>
        <v>1043000</v>
      </c>
    </row>
    <row r="1696">
      <c r="A1696" s="8" t="s">
        <v>2995</v>
      </c>
      <c r="B1696" s="13" t="str">
        <f>HYPERLINK("https://shopee.co.id/MSBB-True-To-Skin-Niacinamide-Brightening-Serum-i.288588702.8728398088", "https://shopee.co.id/MSBB-True-To-Skin-Niacinamide-Brightening-Serum-i.288588702.8728398088")</f>
        <v>https://shopee.co.id/MSBB-True-To-Skin-Niacinamide-Brightening-Serum-i.288588702.8728398088</v>
      </c>
      <c r="C1696" s="8" t="s">
        <v>666</v>
      </c>
      <c r="D1696" s="8" t="s">
        <v>79</v>
      </c>
      <c r="E1696" s="8" t="s">
        <v>12</v>
      </c>
      <c r="F1696" s="8" t="s">
        <v>13</v>
      </c>
      <c r="G1696" s="8" t="s">
        <v>80</v>
      </c>
      <c r="H1696" s="16">
        <v>7.0</v>
      </c>
      <c r="I1696" s="15" t="str">
        <f>SUBSTITUTE(Sheet1!K1696, "Rp", "")</f>
        <v>753190</v>
      </c>
    </row>
    <row r="1697">
      <c r="A1697" s="8" t="s">
        <v>2666</v>
      </c>
      <c r="B1697" s="13" t="str">
        <f>HYPERLINK("https://shopee.co.id/Natasha-by-dr-Fredi-Setyawan-Almond-Brightening-Day-Serum-i.40121814.693787398", "https://shopee.co.id/Natasha-by-dr-Fredi-Setyawan-Almond-Brightening-Day-Serum-i.40121814.693787398")</f>
        <v>https://shopee.co.id/Natasha-by-dr-Fredi-Setyawan-Almond-Brightening-Day-Serum-i.40121814.693787398</v>
      </c>
      <c r="C1697" s="8" t="s">
        <v>1752</v>
      </c>
      <c r="D1697" s="8" t="s">
        <v>794</v>
      </c>
      <c r="E1697" s="8" t="s">
        <v>12</v>
      </c>
      <c r="F1697" s="8" t="s">
        <v>13</v>
      </c>
      <c r="G1697" s="8" t="s">
        <v>380</v>
      </c>
      <c r="H1697" s="16">
        <v>7.0</v>
      </c>
      <c r="I1697" s="15" t="str">
        <f>SUBSTITUTE(Sheet1!K1697, "Rp", "")</f>
        <v>1287883</v>
      </c>
    </row>
    <row r="1698">
      <c r="A1698" s="8" t="s">
        <v>2460</v>
      </c>
      <c r="B1698" s="13" t="str">
        <f>HYPERLINK("https://shopee.co.id/Nusantics-Gotukola-Biome-Treatment-Essence-i.156645962.2334131533", "https://shopee.co.id/Nusantics-Gotukola-Biome-Treatment-Essence-i.156645962.2334131533")</f>
        <v>https://shopee.co.id/Nusantics-Gotukola-Biome-Treatment-Essence-i.156645962.2334131533</v>
      </c>
      <c r="C1698" s="8" t="s">
        <v>2427</v>
      </c>
      <c r="D1698" s="8" t="s">
        <v>2428</v>
      </c>
      <c r="E1698" s="8" t="s">
        <v>12</v>
      </c>
      <c r="F1698" s="8" t="s">
        <v>13</v>
      </c>
      <c r="G1698" s="8" t="s">
        <v>98</v>
      </c>
      <c r="H1698" s="16">
        <v>7.0</v>
      </c>
      <c r="I1698" s="15" t="str">
        <f>SUBSTITUTE(Sheet1!K1698, "Rp", "")</f>
        <v>1797454</v>
      </c>
    </row>
    <row r="1699">
      <c r="A1699" s="8" t="s">
        <v>2731</v>
      </c>
      <c r="B1699" s="13" t="str">
        <f>HYPERLINK("https://shopee.co.id/Olay-Regenerist-Serum-Retinol-30-Ml-i.36998337.4846060886", "https://shopee.co.id/Olay-Regenerist-Serum-Retinol-30-Ml-i.36998337.4846060886")</f>
        <v>https://shopee.co.id/Olay-Regenerist-Serum-Retinol-30-Ml-i.36998337.4846060886</v>
      </c>
      <c r="C1699" s="8" t="s">
        <v>317</v>
      </c>
      <c r="D1699" s="8" t="s">
        <v>2449</v>
      </c>
      <c r="E1699" s="8" t="s">
        <v>12</v>
      </c>
      <c r="F1699" s="8" t="s">
        <v>13</v>
      </c>
      <c r="G1699" s="8" t="s">
        <v>98</v>
      </c>
      <c r="H1699" s="16">
        <v>7.0</v>
      </c>
      <c r="I1699" s="15" t="str">
        <f>SUBSTITUTE(Sheet1!K1699, "Rp", "")</f>
        <v>1182300</v>
      </c>
    </row>
    <row r="1700">
      <c r="A1700" s="8" t="s">
        <v>2803</v>
      </c>
      <c r="B1700" s="13" t="str">
        <f>HYPERLINK("https://shopee.co.id/Paket-EVERPURE-Sweet-Almond-Everwhite-Cica-Soothing-serum-free-Eyeliner-Everwhite-i.200766350.8775024103", "https://shopee.co.id/Paket-EVERPURE-Sweet-Almond-Everwhite-Cica-Soothing-serum-free-Eyeliner-Everwhite-i.200766350.8775024103")</f>
        <v>https://shopee.co.id/Paket-EVERPURE-Sweet-Almond-Everwhite-Cica-Soothing-serum-free-Eyeliner-Everwhite-i.200766350.8775024103</v>
      </c>
      <c r="C1700" s="8" t="s">
        <v>157</v>
      </c>
      <c r="D1700" s="8" t="s">
        <v>2774</v>
      </c>
      <c r="E1700" s="8" t="s">
        <v>12</v>
      </c>
      <c r="F1700" s="8" t="s">
        <v>13</v>
      </c>
      <c r="G1700" s="8" t="s">
        <v>61</v>
      </c>
      <c r="H1700" s="16">
        <v>7.0</v>
      </c>
      <c r="I1700" s="15" t="str">
        <f>SUBSTITUTE(Sheet1!K1700, "Rp", "")</f>
        <v>1059294</v>
      </c>
    </row>
    <row r="1701">
      <c r="A1701" s="8" t="s">
        <v>2772</v>
      </c>
      <c r="B1701" s="13" t="str">
        <f>HYPERLINK("https://shopee.co.id/PAKET-KULIT-MOIST-AVOCADO-OIL-BRIGHTENING-ESSENCE-SERUM--i.200766350.5939098991", "https://shopee.co.id/PAKET-KULIT-MOIST-AVOCADO-OIL-BRIGHTENING-ESSENCE-SERUM--i.200766350.5939098991")</f>
        <v>https://shopee.co.id/PAKET-KULIT-MOIST-AVOCADO-OIL-BRIGHTENING-ESSENCE-SERUM--i.200766350.5939098991</v>
      </c>
      <c r="C1701" s="8" t="s">
        <v>2773</v>
      </c>
      <c r="D1701" s="8" t="s">
        <v>2774</v>
      </c>
      <c r="E1701" s="8" t="s">
        <v>12</v>
      </c>
      <c r="F1701" s="8" t="s">
        <v>13</v>
      </c>
      <c r="G1701" s="8" t="s">
        <v>61</v>
      </c>
      <c r="H1701" s="16">
        <v>7.0</v>
      </c>
      <c r="I1701" s="15" t="str">
        <f>SUBSTITUTE(Sheet1!K1701, "Rp", "")</f>
        <v>1103200</v>
      </c>
    </row>
    <row r="1702">
      <c r="A1702" s="8" t="s">
        <v>3205</v>
      </c>
      <c r="B1702" s="13" t="str">
        <f>HYPERLINK("https://shopee.co.id/Probeauty-Night-Serum-Plus-Serum-Anti-Aging-With-Soybean-Oil-i.9171679.7102703906", "https://shopee.co.id/Probeauty-Night-Serum-Plus-Serum-Anti-Aging-With-Soybean-Oil-i.9171679.7102703906")</f>
        <v>https://shopee.co.id/Probeauty-Night-Serum-Plus-Serum-Anti-Aging-With-Soybean-Oil-i.9171679.7102703906</v>
      </c>
      <c r="C1702" s="8" t="s">
        <v>2207</v>
      </c>
      <c r="D1702" s="8" t="s">
        <v>2208</v>
      </c>
      <c r="E1702" s="8" t="s">
        <v>12</v>
      </c>
      <c r="F1702" s="8" t="s">
        <v>13</v>
      </c>
      <c r="G1702" s="8" t="s">
        <v>2209</v>
      </c>
      <c r="H1702" s="16">
        <v>7.0</v>
      </c>
      <c r="I1702" s="15" t="str">
        <f>SUBSTITUTE(Sheet1!K1702, "Rp", "")</f>
        <v>515970</v>
      </c>
    </row>
    <row r="1703">
      <c r="A1703" s="8" t="s">
        <v>2956</v>
      </c>
      <c r="B1703" s="13" t="str">
        <f>HYPERLINK("https://shopee.co.id/Promo-Dr-Ekles-Skincare-Face-Tonic-Whitening-Premium-120ml-i.294944553.11545972617", "https://shopee.co.id/Promo-Dr-Ekles-Skincare-Face-Tonic-Whitening-Premium-120ml-i.294944553.11545972617")</f>
        <v>https://shopee.co.id/Promo-Dr-Ekles-Skincare-Face-Tonic-Whitening-Premium-120ml-i.294944553.11545972617</v>
      </c>
      <c r="C1703" s="8" t="s">
        <v>1487</v>
      </c>
      <c r="D1703" s="8" t="s">
        <v>1488</v>
      </c>
      <c r="E1703" s="8" t="s">
        <v>12</v>
      </c>
      <c r="F1703" s="8" t="s">
        <v>13</v>
      </c>
      <c r="G1703" s="8" t="s">
        <v>61</v>
      </c>
      <c r="H1703" s="16">
        <v>7.0</v>
      </c>
      <c r="I1703" s="15" t="str">
        <f>SUBSTITUTE(Sheet1!K1703, "Rp", "")</f>
        <v>823200</v>
      </c>
    </row>
    <row r="1704">
      <c r="A1704" s="8" t="s">
        <v>3270</v>
      </c>
      <c r="B1704" s="13" t="str">
        <f>HYPERLINK("https://shopee.co.id/Real-White-AHA-Glycolic-Acid-Collagen-Night-Body-Serum-i.349337394.4567447872", "https://shopee.co.id/Real-White-AHA-Glycolic-Acid-Collagen-Night-Body-Serum-i.349337394.4567447872")</f>
        <v>https://shopee.co.id/Real-White-AHA-Glycolic-Acid-Collagen-Night-Body-Serum-i.349337394.4567447872</v>
      </c>
      <c r="C1704" s="8" t="s">
        <v>547</v>
      </c>
      <c r="D1704" s="8" t="s">
        <v>548</v>
      </c>
      <c r="E1704" s="8" t="s">
        <v>12</v>
      </c>
      <c r="F1704" s="8" t="s">
        <v>13</v>
      </c>
      <c r="G1704" s="8" t="s">
        <v>380</v>
      </c>
      <c r="H1704" s="16">
        <v>7.0</v>
      </c>
      <c r="I1704" s="15" t="str">
        <f>SUBSTITUTE(Sheet1!K1704, "Rp", "")</f>
        <v>455000</v>
      </c>
    </row>
    <row r="1705">
      <c r="A1705" s="8" t="s">
        <v>2940</v>
      </c>
      <c r="B1705" s="13" t="str">
        <f>HYPERLINK("https://shopee.co.id/Safi-Age-Defy-Gold-Water-Essence-100-ml-i.186214521.5104532767", "https://shopee.co.id/Safi-Age-Defy-Gold-Water-Essence-100-ml-i.186214521.5104532767")</f>
        <v>https://shopee.co.id/Safi-Age-Defy-Gold-Water-Essence-100-ml-i.186214521.5104532767</v>
      </c>
      <c r="C1705" s="8" t="s">
        <v>278</v>
      </c>
      <c r="D1705" s="8" t="s">
        <v>2293</v>
      </c>
      <c r="E1705" s="8" t="s">
        <v>12</v>
      </c>
      <c r="F1705" s="8" t="s">
        <v>13</v>
      </c>
      <c r="G1705" s="8" t="s">
        <v>61</v>
      </c>
      <c r="H1705" s="16">
        <v>7.0</v>
      </c>
      <c r="I1705" s="15" t="str">
        <f>SUBSTITUTE(Sheet1!K1705, "Rp", "")</f>
        <v>840200</v>
      </c>
    </row>
    <row r="1706">
      <c r="A1706" s="8" t="s">
        <v>3413</v>
      </c>
      <c r="B1706" s="13" t="str">
        <f>HYPERLINK("https://shopee.co.id/Safi-Age-Defy-Gold-Water-Essence-30Ml-i.186214521.6488102180", "https://shopee.co.id/Safi-Age-Defy-Gold-Water-Essence-30Ml-i.186214521.6488102180")</f>
        <v>https://shopee.co.id/Safi-Age-Defy-Gold-Water-Essence-30Ml-i.186214521.6488102180</v>
      </c>
      <c r="C1706" s="8" t="s">
        <v>278</v>
      </c>
      <c r="D1706" s="8" t="s">
        <v>2293</v>
      </c>
      <c r="E1706" s="8" t="s">
        <v>12</v>
      </c>
      <c r="F1706" s="8" t="s">
        <v>13</v>
      </c>
      <c r="G1706" s="8" t="s">
        <v>61</v>
      </c>
      <c r="H1706" s="16">
        <v>7.0</v>
      </c>
      <c r="I1706" s="15" t="str">
        <f>SUBSTITUTE(Sheet1!K1706, "Rp", "")</f>
        <v>355500</v>
      </c>
    </row>
    <row r="1707">
      <c r="A1707" s="8" t="s">
        <v>3109</v>
      </c>
      <c r="B1707" s="13" t="str">
        <f>HYPERLINK("https://shopee.co.id/Safi-White-Expert-Ultima-Essence-20ml-i.30736001.1016516918", "https://shopee.co.id/Safi-White-Expert-Ultima-Essence-20ml-i.30736001.1016516918")</f>
        <v>https://shopee.co.id/Safi-White-Expert-Ultima-Essence-20ml-i.30736001.1016516918</v>
      </c>
      <c r="C1707" s="8" t="s">
        <v>1210</v>
      </c>
      <c r="D1707" s="8" t="s">
        <v>335</v>
      </c>
      <c r="E1707" s="8" t="s">
        <v>12</v>
      </c>
      <c r="F1707" s="8" t="s">
        <v>13</v>
      </c>
      <c r="G1707" s="8" t="s">
        <v>36</v>
      </c>
      <c r="H1707" s="16">
        <v>7.0</v>
      </c>
      <c r="I1707" s="15" t="str">
        <f>SUBSTITUTE(Sheet1!K1707, "Rp", "")</f>
        <v>613000</v>
      </c>
    </row>
    <row r="1708">
      <c r="A1708" s="8" t="s">
        <v>3255</v>
      </c>
      <c r="B1708" s="13" t="str">
        <f>HYPERLINK("https://shopee.co.id/Scarlett-Whitening-Acne-Serum-15ml-i.10689.10733772197", "https://shopee.co.id/Scarlett-Whitening-Acne-Serum-15ml-i.10689.10733772197")</f>
        <v>https://shopee.co.id/Scarlett-Whitening-Acne-Serum-15ml-i.10689.10733772197</v>
      </c>
      <c r="C1708" s="8" t="s">
        <v>19</v>
      </c>
      <c r="D1708" s="8" t="s">
        <v>745</v>
      </c>
      <c r="E1708" s="8" t="s">
        <v>12</v>
      </c>
      <c r="F1708" s="8" t="s">
        <v>13</v>
      </c>
      <c r="G1708" s="8" t="s">
        <v>61</v>
      </c>
      <c r="H1708" s="16">
        <v>7.0</v>
      </c>
      <c r="I1708" s="15" t="str">
        <f>SUBSTITUTE(Sheet1!K1708, "Rp", "")</f>
        <v>472500</v>
      </c>
    </row>
    <row r="1709">
      <c r="A1709" s="8" t="s">
        <v>3362</v>
      </c>
      <c r="B1709" s="13" t="str">
        <f>HYPERLINK("https://shopee.co.id/Secret-Wish-by-Angel-Lelga-Acne-Solution-Serum-Acne-Serum-10ml-secretwishofficial-i.240781486.5855306529", "https://shopee.co.id/Secret-Wish-by-Angel-Lelga-Acne-Solution-Serum-Acne-Serum-10ml-secretwishofficial-i.240781486.5855306529")</f>
        <v>https://shopee.co.id/Secret-Wish-by-Angel-Lelga-Acne-Solution-Serum-Acne-Serum-10ml-secretwishofficial-i.240781486.5855306529</v>
      </c>
      <c r="C1709" s="8" t="s">
        <v>1956</v>
      </c>
      <c r="D1709" s="8" t="s">
        <v>1957</v>
      </c>
      <c r="E1709" s="8" t="s">
        <v>12</v>
      </c>
      <c r="F1709" s="8" t="s">
        <v>13</v>
      </c>
      <c r="G1709" s="8" t="s">
        <v>61</v>
      </c>
      <c r="H1709" s="16">
        <v>7.0</v>
      </c>
      <c r="I1709" s="15" t="str">
        <f>SUBSTITUTE(Sheet1!K1709, "Rp", "")</f>
        <v>386960</v>
      </c>
    </row>
    <row r="1710">
      <c r="A1710" s="8" t="s">
        <v>1996</v>
      </c>
      <c r="B1710" s="13" t="str">
        <f>HYPERLINK("https://shopee.co.id/Sekkisei-Sun-Protect-Essence-Gel-i.105297385.8434953921", "https://shopee.co.id/Sekkisei-Sun-Protect-Essence-Gel-i.105297385.8434953921")</f>
        <v>https://shopee.co.id/Sekkisei-Sun-Protect-Essence-Gel-i.105297385.8434953921</v>
      </c>
      <c r="C1710" s="8" t="s">
        <v>1997</v>
      </c>
      <c r="D1710" s="8" t="s">
        <v>1998</v>
      </c>
      <c r="E1710" s="8" t="s">
        <v>12</v>
      </c>
      <c r="F1710" s="8" t="s">
        <v>13</v>
      </c>
      <c r="G1710" s="8" t="s">
        <v>532</v>
      </c>
      <c r="H1710" s="16">
        <v>7.0</v>
      </c>
      <c r="I1710" s="15" t="str">
        <f>SUBSTITUTE(Sheet1!K1710, "Rp", "")</f>
        <v>3493000</v>
      </c>
    </row>
    <row r="1711">
      <c r="A1711" s="8" t="s">
        <v>3241</v>
      </c>
      <c r="B1711" s="13" t="str">
        <f>HYPERLINK("https://shopee.co.id/Serum-for-Oily-Skin-Serum-Komedo-Marwah-Skincare-i.357101711.8215962401", "https://shopee.co.id/Serum-for-Oily-Skin-Serum-Komedo-Marwah-Skincare-i.357101711.8215962401")</f>
        <v>https://shopee.co.id/Serum-for-Oily-Skin-Serum-Komedo-Marwah-Skincare-i.357101711.8215962401</v>
      </c>
      <c r="C1711" s="8" t="s">
        <v>2249</v>
      </c>
      <c r="D1711" s="8" t="s">
        <v>2250</v>
      </c>
      <c r="E1711" s="8" t="s">
        <v>12</v>
      </c>
      <c r="F1711" s="8" t="s">
        <v>13</v>
      </c>
      <c r="G1711" s="8" t="s">
        <v>370</v>
      </c>
      <c r="H1711" s="16">
        <v>7.0</v>
      </c>
      <c r="I1711" s="15" t="str">
        <f>SUBSTITUTE(Sheet1!K1711, "Rp", "")</f>
        <v>490000</v>
      </c>
    </row>
    <row r="1712">
      <c r="A1712" s="8" t="s">
        <v>3155</v>
      </c>
      <c r="B1712" s="13" t="str">
        <f>HYPERLINK("https://shopee.co.id/Serum-Kinclong-Marwah-Skincare-i.357101711.8341229235", "https://shopee.co.id/Serum-Kinclong-Marwah-Skincare-i.357101711.8341229235")</f>
        <v>https://shopee.co.id/Serum-Kinclong-Marwah-Skincare-i.357101711.8341229235</v>
      </c>
      <c r="C1712" s="8" t="s">
        <v>2249</v>
      </c>
      <c r="D1712" s="8" t="s">
        <v>2250</v>
      </c>
      <c r="E1712" s="8" t="s">
        <v>12</v>
      </c>
      <c r="F1712" s="8" t="s">
        <v>13</v>
      </c>
      <c r="G1712" s="8" t="s">
        <v>370</v>
      </c>
      <c r="H1712" s="16">
        <v>7.0</v>
      </c>
      <c r="I1712" s="15" t="str">
        <f>SUBSTITUTE(Sheet1!K1712, "Rp", "")</f>
        <v>560000</v>
      </c>
    </row>
    <row r="1713">
      <c r="A1713" s="8" t="s">
        <v>1928</v>
      </c>
      <c r="B1713" s="13" t="str">
        <f>HYPERLINK("https://shopee.co.id/Skin-Dewi-Tamanu-Green-Serum-30ml-Skincare-Organic--i.69413780.6610760513", "https://shopee.co.id/Skin-Dewi-Tamanu-Green-Serum-30ml-Skincare-Organic--i.69413780.6610760513")</f>
        <v>https://shopee.co.id/Skin-Dewi-Tamanu-Green-Serum-30ml-Skincare-Organic--i.69413780.6610760513</v>
      </c>
      <c r="C1713" s="8" t="s">
        <v>940</v>
      </c>
      <c r="D1713" s="8" t="s">
        <v>1929</v>
      </c>
      <c r="E1713" s="8" t="s">
        <v>12</v>
      </c>
      <c r="F1713" s="8" t="s">
        <v>13</v>
      </c>
      <c r="G1713" s="8" t="s">
        <v>61</v>
      </c>
      <c r="H1713" s="16">
        <v>7.0</v>
      </c>
      <c r="I1713" s="15" t="str">
        <f>SUBSTITUTE(Sheet1!K1713, "Rp", "")</f>
        <v>3834600</v>
      </c>
    </row>
    <row r="1714">
      <c r="A1714" s="8" t="s">
        <v>2622</v>
      </c>
      <c r="B1714" s="13" t="str">
        <f>HYPERLINK("https://shopee.co.id/Somethinc-10-Niacinamide-Moisture-Sabi-Beet-Max-Brightening-Serum-40ml-i.825870.3785601855", "https://shopee.co.id/Somethinc-10-Niacinamide-Moisture-Sabi-Beet-Max-Brightening-Serum-40ml-i.825870.3785601855")</f>
        <v>https://shopee.co.id/Somethinc-10-Niacinamide-Moisture-Sabi-Beet-Max-Brightening-Serum-40ml-i.825870.3785601855</v>
      </c>
      <c r="C1714" s="8" t="s">
        <v>45</v>
      </c>
      <c r="D1714" s="8" t="s">
        <v>1184</v>
      </c>
      <c r="E1714" s="8" t="s">
        <v>12</v>
      </c>
      <c r="F1714" s="8" t="s">
        <v>13</v>
      </c>
      <c r="G1714" s="8" t="s">
        <v>21</v>
      </c>
      <c r="H1714" s="16">
        <v>7.0</v>
      </c>
      <c r="I1714" s="15" t="str">
        <f>SUBSTITUTE(Sheet1!K1714, "Rp", "")</f>
        <v>1393000</v>
      </c>
    </row>
    <row r="1715">
      <c r="A1715" s="8" t="s">
        <v>2594</v>
      </c>
      <c r="B1715" s="13" t="str">
        <f>HYPERLINK("https://shopee.co.id/SOMETHINC-Niacinamide-Moisture-Beet-Serum-40ml-i.30736001.5384170300", "https://shopee.co.id/SOMETHINC-Niacinamide-Moisture-Beet-Serum-40ml-i.30736001.5384170300")</f>
        <v>https://shopee.co.id/SOMETHINC-Niacinamide-Moisture-Beet-Serum-40ml-i.30736001.5384170300</v>
      </c>
      <c r="C1715" s="8" t="s">
        <v>45</v>
      </c>
      <c r="D1715" s="8" t="s">
        <v>335</v>
      </c>
      <c r="E1715" s="8" t="s">
        <v>12</v>
      </c>
      <c r="F1715" s="8" t="s">
        <v>13</v>
      </c>
      <c r="G1715" s="8" t="s">
        <v>36</v>
      </c>
      <c r="H1715" s="16">
        <v>7.0</v>
      </c>
      <c r="I1715" s="15" t="str">
        <f>SUBSTITUTE(Sheet1!K1715, "Rp", "")</f>
        <v>1488520</v>
      </c>
    </row>
    <row r="1716">
      <c r="A1716" s="8" t="s">
        <v>3056</v>
      </c>
      <c r="B1716" s="13" t="str">
        <f>HYPERLINK("https://shopee.co.id/TABITHA-SKIN-WHITE-Dark-Spot-Serum-i.344192903.3377349946", "https://shopee.co.id/TABITHA-SKIN-WHITE-Dark-Spot-Serum-i.344192903.3377349946")</f>
        <v>https://shopee.co.id/TABITHA-SKIN-WHITE-Dark-Spot-Serum-i.344192903.3377349946</v>
      </c>
      <c r="C1716" s="8" t="s">
        <v>2211</v>
      </c>
      <c r="D1716" s="8" t="s">
        <v>2212</v>
      </c>
      <c r="E1716" s="8" t="s">
        <v>12</v>
      </c>
      <c r="F1716" s="8" t="s">
        <v>13</v>
      </c>
      <c r="G1716" s="8" t="s">
        <v>296</v>
      </c>
      <c r="H1716" s="16">
        <v>7.0</v>
      </c>
      <c r="I1716" s="15" t="str">
        <f>SUBSTITUTE(Sheet1!K1716, "Rp", "")</f>
        <v>672000</v>
      </c>
    </row>
    <row r="1717">
      <c r="A1717" s="8" t="s">
        <v>3134</v>
      </c>
      <c r="B1717" s="13" t="str">
        <f>HYPERLINK("https://shopee.co.id/THE-AUBREE-Ginseng-Renewing-First-Serum-30ml-i.270965687.4077464335", "https://shopee.co.id/THE-AUBREE-Ginseng-Renewing-First-Serum-30ml-i.270965687.4077464335")</f>
        <v>https://shopee.co.id/THE-AUBREE-Ginseng-Renewing-First-Serum-30ml-i.270965687.4077464335</v>
      </c>
      <c r="C1717" s="8" t="s">
        <v>772</v>
      </c>
      <c r="D1717" s="8" t="s">
        <v>379</v>
      </c>
      <c r="E1717" s="8" t="s">
        <v>12</v>
      </c>
      <c r="F1717" s="8" t="s">
        <v>13</v>
      </c>
      <c r="G1717" s="8" t="s">
        <v>380</v>
      </c>
      <c r="H1717" s="16">
        <v>7.0</v>
      </c>
      <c r="I1717" s="15" t="str">
        <f>SUBSTITUTE(Sheet1!K1717, "Rp", "")</f>
        <v>589050</v>
      </c>
    </row>
    <row r="1718">
      <c r="A1718" s="8" t="s">
        <v>3673</v>
      </c>
      <c r="B1718" s="13" t="str">
        <f>HYPERLINK("https://shopee.co.id/The-Body-Culture-BUY-1-GET-1-Fruitamin-Serum-i.114290068.5042974962", "https://shopee.co.id/The-Body-Culture-BUY-1-GET-1-Fruitamin-Serum-i.114290068.5042974962")</f>
        <v>https://shopee.co.id/The-Body-Culture-BUY-1-GET-1-Fruitamin-Serum-i.114290068.5042974962</v>
      </c>
      <c r="C1718" s="8" t="s">
        <v>3674</v>
      </c>
      <c r="D1718" s="8" t="s">
        <v>3675</v>
      </c>
      <c r="E1718" s="8" t="s">
        <v>12</v>
      </c>
      <c r="F1718" s="8" t="s">
        <v>13</v>
      </c>
      <c r="G1718" s="8" t="s">
        <v>61</v>
      </c>
      <c r="H1718" s="16">
        <v>7.0</v>
      </c>
      <c r="I1718" s="15" t="str">
        <f>SUBSTITUTE(Sheet1!K1718, "Rp", "")</f>
        <v>190000</v>
      </c>
    </row>
    <row r="1719">
      <c r="A1719" s="8" t="s">
        <v>3924</v>
      </c>
      <c r="B1719" s="13" t="str">
        <f>HYPERLINK("https://shopee.co.id/THE-POTIONS-Set-of-3-Maksimal-Checkout-3-pcs--i.379239733.3983017896", "https://shopee.co.id/THE-POTIONS-Set-of-3-Maksimal-Checkout-3-pcs--i.379239733.3983017896")</f>
        <v>https://shopee.co.id/THE-POTIONS-Set-of-3-Maksimal-Checkout-3-pcs--i.379239733.3983017896</v>
      </c>
      <c r="C1719" s="8" t="s">
        <v>2245</v>
      </c>
      <c r="D1719" s="8" t="s">
        <v>2246</v>
      </c>
      <c r="E1719" s="8" t="s">
        <v>12</v>
      </c>
      <c r="F1719" s="8" t="s">
        <v>13</v>
      </c>
      <c r="G1719" s="8" t="s">
        <v>130</v>
      </c>
      <c r="H1719" s="16">
        <v>7.0</v>
      </c>
      <c r="I1719" s="15" t="str">
        <f>SUBSTITUTE(Sheet1!K1719, "Rp", "")</f>
        <v>69600</v>
      </c>
    </row>
    <row r="1720">
      <c r="A1720" s="8" t="s">
        <v>3560</v>
      </c>
      <c r="B1720" s="13" t="str">
        <f>HYPERLINK("https://shopee.co.id/Yoqueen-Beauty-Serum-for-Acne-30ml-Buy-1-Get-1--i.48380572.11016489744", "https://shopee.co.id/Yoqueen-Beauty-Serum-for-Acne-30ml-Buy-1-Get-1--i.48380572.11016489744")</f>
        <v>https://shopee.co.id/Yoqueen-Beauty-Serum-for-Acne-30ml-Buy-1-Get-1--i.48380572.11016489744</v>
      </c>
      <c r="C1720" s="8" t="s">
        <v>3103</v>
      </c>
      <c r="D1720" s="8" t="s">
        <v>2119</v>
      </c>
      <c r="E1720" s="8" t="s">
        <v>12</v>
      </c>
      <c r="F1720" s="8" t="s">
        <v>13</v>
      </c>
      <c r="G1720" s="8" t="s">
        <v>2120</v>
      </c>
      <c r="H1720" s="16">
        <v>7.0</v>
      </c>
      <c r="I1720" s="15" t="str">
        <f>SUBSTITUTE(Sheet1!K1720, "Rp", "")</f>
        <v>245998</v>
      </c>
    </row>
    <row r="1721">
      <c r="A1721" s="8" t="s">
        <v>2858</v>
      </c>
      <c r="B1721" s="13" t="str">
        <f>HYPERLINK("https://shopee.co.id/Avoskin-Your-Skin-Bae-Mugwort-Series-30ml-100ml-i.50948181.2977319843", "https://shopee.co.id/Avoskin-Your-Skin-Bae-Mugwort-Series-30ml-100ml-i.50948181.2977319843")</f>
        <v>https://shopee.co.id/Avoskin-Your-Skin-Bae-Mugwort-Series-30ml-100ml-i.50948181.2977319843</v>
      </c>
      <c r="C1721" s="8" t="s">
        <v>83</v>
      </c>
      <c r="D1721" s="8" t="s">
        <v>1129</v>
      </c>
      <c r="E1721" s="8" t="s">
        <v>12</v>
      </c>
      <c r="F1721" s="8" t="s">
        <v>13</v>
      </c>
      <c r="G1721" s="8" t="s">
        <v>1130</v>
      </c>
      <c r="H1721" s="16">
        <v>6.0</v>
      </c>
      <c r="I1721" s="15" t="str">
        <f>SUBSTITUTE(Sheet1!K1721, "Rp", "")</f>
        <v>954000</v>
      </c>
    </row>
    <row r="1722">
      <c r="A1722" s="8" t="s">
        <v>2959</v>
      </c>
      <c r="B1722" s="13" t="str">
        <f>HYPERLINK("https://shopee.co.id/Avoskin-Your-Skin-Bae-Serum-Ultimate-Hyaluron-HYACROSS-3-Green-Tea-30ml-i.50948181.10717397538", "https://shopee.co.id/Avoskin-Your-Skin-Bae-Serum-Ultimate-Hyaluron-HYACROSS-3-Green-Tea-30ml-i.50948181.10717397538")</f>
        <v>https://shopee.co.id/Avoskin-Your-Skin-Bae-Serum-Ultimate-Hyaluron-HYACROSS-3-Green-Tea-30ml-i.50948181.10717397538</v>
      </c>
      <c r="C1722" s="8" t="s">
        <v>83</v>
      </c>
      <c r="D1722" s="8" t="s">
        <v>1129</v>
      </c>
      <c r="E1722" s="8" t="s">
        <v>12</v>
      </c>
      <c r="F1722" s="8" t="s">
        <v>13</v>
      </c>
      <c r="G1722" s="8" t="s">
        <v>1130</v>
      </c>
      <c r="H1722" s="16">
        <v>6.0</v>
      </c>
      <c r="I1722" s="15" t="str">
        <f>SUBSTITUTE(Sheet1!K1722, "Rp", "")</f>
        <v>813500</v>
      </c>
    </row>
    <row r="1723">
      <c r="A1723" s="8" t="s">
        <v>3140</v>
      </c>
      <c r="B1723" s="13" t="str">
        <f>HYPERLINK("https://shopee.co.id/True-to-Skin-Niacinamide-Brigthening-Serum-Niacinamide-Zinc-Allantoin-20ml-i.50948181.6982299980", "https://shopee.co.id/True-to-Skin-Niacinamide-Brigthening-Serum-Niacinamide-Zinc-Allantoin-20ml-i.50948181.6982299980")</f>
        <v>https://shopee.co.id/True-to-Skin-Niacinamide-Brigthening-Serum-Niacinamide-Zinc-Allantoin-20ml-i.50948181.6982299980</v>
      </c>
      <c r="C1723" s="8" t="s">
        <v>666</v>
      </c>
      <c r="D1723" s="8" t="s">
        <v>1129</v>
      </c>
      <c r="E1723" s="8" t="s">
        <v>12</v>
      </c>
      <c r="F1723" s="8" t="s">
        <v>13</v>
      </c>
      <c r="G1723" s="8" t="s">
        <v>1130</v>
      </c>
      <c r="H1723" s="16">
        <v>6.0</v>
      </c>
      <c r="I1723" s="15" t="str">
        <f>SUBSTITUTE(Sheet1!K1723, "Rp", "")</f>
        <v>577700</v>
      </c>
    </row>
    <row r="1724">
      <c r="A1724" s="8" t="s">
        <v>2624</v>
      </c>
      <c r="B1724" s="13" t="str">
        <f>HYPERLINK("https://shopee.co.id/-innisfree-Jeju-Pomegranate-Revitalizing-Emulsion-160ML-i.61504589.7616068874", "https://shopee.co.id/-innisfree-Jeju-Pomegranate-Revitalizing-Emulsion-160ML-i.61504589.7616068874")</f>
        <v>https://shopee.co.id/-innisfree-Jeju-Pomegranate-Revitalizing-Emulsion-160ML-i.61504589.7616068874</v>
      </c>
      <c r="C1724" s="8" t="s">
        <v>294</v>
      </c>
      <c r="D1724" s="8" t="s">
        <v>295</v>
      </c>
      <c r="E1724" s="8" t="s">
        <v>12</v>
      </c>
      <c r="F1724" s="8" t="s">
        <v>13</v>
      </c>
      <c r="G1724" s="8" t="s">
        <v>296</v>
      </c>
      <c r="H1724" s="16">
        <v>6.0</v>
      </c>
      <c r="I1724" s="15" t="str">
        <f>SUBSTITUTE(Sheet1!K1724, "Rp", "")</f>
        <v>1392000</v>
      </c>
    </row>
    <row r="1725">
      <c r="A1725" s="8" t="s">
        <v>3267</v>
      </c>
      <c r="B1725" s="13" t="str">
        <f>HYPERLINK("https://shopee.co.id/Acnes-Derma-Care-Anti-Blemish-Essence-20ml-i.10689.6573422042", "https://shopee.co.id/Acnes-Derma-Care-Anti-Blemish-Essence-20ml-i.10689.6573422042")</f>
        <v>https://shopee.co.id/Acnes-Derma-Care-Anti-Blemish-Essence-20ml-i.10689.6573422042</v>
      </c>
      <c r="C1725" s="8" t="s">
        <v>1162</v>
      </c>
      <c r="D1725" s="8" t="s">
        <v>745</v>
      </c>
      <c r="E1725" s="8" t="s">
        <v>12</v>
      </c>
      <c r="F1725" s="8" t="s">
        <v>13</v>
      </c>
      <c r="G1725" s="8" t="s">
        <v>61</v>
      </c>
      <c r="H1725" s="16">
        <v>6.0</v>
      </c>
      <c r="I1725" s="15" t="str">
        <f>SUBSTITUTE(Sheet1!K1725, "Rp", "")</f>
        <v>459250</v>
      </c>
    </row>
    <row r="1726">
      <c r="A1726" s="8" t="s">
        <v>1727</v>
      </c>
      <c r="B1726" s="13" t="str">
        <f>HYPERLINK("https://shopee.co.id/Aish-Serum-Paket-10-Pcs-Bebas-Pilih-Varian-isi-di-catatan-i.406360531.9577784346", "https://shopee.co.id/Aish-Serum-Paket-10-Pcs-Bebas-Pilih-Varian-isi-di-catatan-i.406360531.9577784346")</f>
        <v>https://shopee.co.id/Aish-Serum-Paket-10-Pcs-Bebas-Pilih-Varian-isi-di-catatan-i.406360531.9577784346</v>
      </c>
      <c r="C1726" s="8" t="s">
        <v>1015</v>
      </c>
      <c r="D1726" s="8" t="s">
        <v>444</v>
      </c>
      <c r="E1726" s="8" t="s">
        <v>12</v>
      </c>
      <c r="F1726" s="8" t="s">
        <v>13</v>
      </c>
      <c r="G1726" s="8" t="s">
        <v>241</v>
      </c>
      <c r="H1726" s="16">
        <v>6.0</v>
      </c>
      <c r="I1726" s="15" t="str">
        <f>SUBSTITUTE(Sheet1!K1726, "Rp", "")</f>
        <v>5160000</v>
      </c>
    </row>
    <row r="1727">
      <c r="A1727" s="8" t="s">
        <v>2943</v>
      </c>
      <c r="B1727" s="13" t="str">
        <f>HYPERLINK("https://shopee.co.id/Aizen-SepiWhite-MSH-3-Ultra-Ampoule-Serum-Pemutih-Pencerah-Kulit-Wajah-i.89939211.8009163469", "https://shopee.co.id/Aizen-SepiWhite-MSH-3-Ultra-Ampoule-Serum-Pemutih-Pencerah-Kulit-Wajah-i.89939211.8009163469")</f>
        <v>https://shopee.co.id/Aizen-SepiWhite-MSH-3-Ultra-Ampoule-Serum-Pemutih-Pencerah-Kulit-Wajah-i.89939211.8009163469</v>
      </c>
      <c r="C1727" s="8" t="s">
        <v>1325</v>
      </c>
      <c r="D1727" s="8" t="s">
        <v>1326</v>
      </c>
      <c r="E1727" s="8" t="s">
        <v>12</v>
      </c>
      <c r="F1727" s="8" t="s">
        <v>13</v>
      </c>
      <c r="G1727" s="8" t="s">
        <v>14</v>
      </c>
      <c r="H1727" s="16">
        <v>6.0</v>
      </c>
      <c r="I1727" s="15" t="str">
        <f>SUBSTITUTE(Sheet1!K1727, "Rp", "")</f>
        <v>834000</v>
      </c>
    </row>
    <row r="1728">
      <c r="A1728" s="8" t="s">
        <v>2459</v>
      </c>
      <c r="B1728" s="13" t="str">
        <f>HYPERLINK("https://shopee.co.id/All-Perfect-Bundling-Package-1-Serum-2pcs--i.167618454.7168857131", "https://shopee.co.id/All-Perfect-Bundling-Package-1-Serum-2pcs--i.167618454.7168857131")</f>
        <v>https://shopee.co.id/All-Perfect-Bundling-Package-1-Serum-2pcs--i.167618454.7168857131</v>
      </c>
      <c r="C1728" s="8" t="s">
        <v>718</v>
      </c>
      <c r="D1728" s="8" t="s">
        <v>678</v>
      </c>
      <c r="E1728" s="8" t="s">
        <v>12</v>
      </c>
      <c r="F1728" s="8" t="s">
        <v>13</v>
      </c>
      <c r="G1728" s="8" t="s">
        <v>296</v>
      </c>
      <c r="H1728" s="16">
        <v>6.0</v>
      </c>
      <c r="I1728" s="15" t="str">
        <f>SUBSTITUTE(Sheet1!K1728, "Rp", "")</f>
        <v>1800000</v>
      </c>
    </row>
    <row r="1729">
      <c r="A1729" s="8" t="s">
        <v>2583</v>
      </c>
      <c r="B1729" s="13" t="str">
        <f>HYPERLINK("https://shopee.co.id/AZARINE-C-white-lightening-serum-i.270965687.11215443646", "https://shopee.co.id/AZARINE-C-white-lightening-serum-i.270965687.11215443646")</f>
        <v>https://shopee.co.id/AZARINE-C-white-lightening-serum-i.270965687.11215443646</v>
      </c>
      <c r="C1729" s="8" t="s">
        <v>233</v>
      </c>
      <c r="D1729" s="8" t="s">
        <v>379</v>
      </c>
      <c r="E1729" s="8" t="s">
        <v>12</v>
      </c>
      <c r="F1729" s="8" t="s">
        <v>13</v>
      </c>
      <c r="G1729" s="8" t="s">
        <v>380</v>
      </c>
      <c r="H1729" s="16">
        <v>6.0</v>
      </c>
      <c r="I1729" s="15" t="str">
        <f>SUBSTITUTE(Sheet1!K1729, "Rp", "")</f>
        <v>315000</v>
      </c>
    </row>
    <row r="1730">
      <c r="A1730" s="8" t="s">
        <v>3590</v>
      </c>
      <c r="B1730" s="13" t="str">
        <f>HYPERLINK("https://shopee.co.id/Azarine-Eyeluminate-Firming-Serum-C-White-15mL-i.65323877.10519054372", "https://shopee.co.id/Azarine-Eyeluminate-Firming-Serum-C-White-15mL-i.65323877.10519054372")</f>
        <v>https://shopee.co.id/Azarine-Eyeluminate-Firming-Serum-C-White-15mL-i.65323877.10519054372</v>
      </c>
      <c r="C1730" s="8" t="s">
        <v>233</v>
      </c>
      <c r="D1730" s="8" t="s">
        <v>1600</v>
      </c>
      <c r="E1730" s="8" t="s">
        <v>12</v>
      </c>
      <c r="F1730" s="8" t="s">
        <v>13</v>
      </c>
      <c r="G1730" s="8" t="s">
        <v>296</v>
      </c>
      <c r="H1730" s="16">
        <v>6.0</v>
      </c>
      <c r="I1730" s="15" t="str">
        <f>SUBSTITUTE(Sheet1!K1730, "Rp", "")</f>
        <v>232300</v>
      </c>
    </row>
    <row r="1731">
      <c r="A1731" s="8" t="s">
        <v>2841</v>
      </c>
      <c r="B1731" s="13" t="str">
        <f>HYPERLINK("https://shopee.co.id/Benton-Snail-Bee-High-Content-Essence-60ml-i.825870.2030401326", "https://shopee.co.id/Benton-Snail-Bee-High-Content-Essence-60ml-i.825870.2030401326")</f>
        <v>https://shopee.co.id/Benton-Snail-Bee-High-Content-Essence-60ml-i.825870.2030401326</v>
      </c>
      <c r="C1731" s="8" t="s">
        <v>456</v>
      </c>
      <c r="D1731" s="8" t="s">
        <v>1184</v>
      </c>
      <c r="E1731" s="8" t="s">
        <v>12</v>
      </c>
      <c r="F1731" s="8" t="s">
        <v>13</v>
      </c>
      <c r="G1731" s="8" t="s">
        <v>21</v>
      </c>
      <c r="H1731" s="16">
        <v>6.0</v>
      </c>
      <c r="I1731" s="15" t="str">
        <f>SUBSTITUTE(Sheet1!K1731, "Rp", "")</f>
        <v>990000</v>
      </c>
    </row>
    <row r="1732">
      <c r="A1732" s="8" t="s">
        <v>2574</v>
      </c>
      <c r="B1732" s="13" t="str">
        <f>HYPERLINK("https://shopee.co.id/Buy-1-Get-1-Bio-Essence-Bio-White-Advanced-Whitening-Night-Cream-45-gr-i.63822287.12606212308", "https://shopee.co.id/Buy-1-Get-1-Bio-Essence-Bio-White-Advanced-Whitening-Night-Cream-45-gr-i.63822287.12606212308")</f>
        <v>https://shopee.co.id/Buy-1-Get-1-Bio-Essence-Bio-White-Advanced-Whitening-Night-Cream-45-gr-i.63822287.12606212308</v>
      </c>
      <c r="C1732" s="8" t="s">
        <v>1254</v>
      </c>
      <c r="D1732" s="8" t="s">
        <v>835</v>
      </c>
      <c r="E1732" s="8" t="s">
        <v>12</v>
      </c>
      <c r="F1732" s="8" t="s">
        <v>13</v>
      </c>
      <c r="G1732" s="8" t="s">
        <v>61</v>
      </c>
      <c r="H1732" s="16">
        <v>6.0</v>
      </c>
      <c r="I1732" s="15" t="str">
        <f>SUBSTITUTE(Sheet1!K1732, "Rp", "")</f>
        <v>1540000</v>
      </c>
    </row>
    <row r="1733">
      <c r="A1733" s="8" t="s">
        <v>3150</v>
      </c>
      <c r="B1733" s="13" t="str">
        <f>HYPERLINK("https://shopee.co.id/Calmedi-Acne-Bio-Serum-10-ml-Totol-Jerawat-Ampuh-i.129229117.2146092345", "https://shopee.co.id/Calmedi-Acne-Bio-Serum-10-ml-Totol-Jerawat-Ampuh-i.129229117.2146092345")</f>
        <v>https://shopee.co.id/Calmedi-Acne-Bio-Serum-10-ml-Totol-Jerawat-Ampuh-i.129229117.2146092345</v>
      </c>
      <c r="C1733" s="8" t="s">
        <v>2931</v>
      </c>
      <c r="D1733" s="8" t="s">
        <v>2932</v>
      </c>
      <c r="E1733" s="8" t="s">
        <v>12</v>
      </c>
      <c r="F1733" s="8" t="s">
        <v>13</v>
      </c>
      <c r="G1733" s="8" t="s">
        <v>98</v>
      </c>
      <c r="H1733" s="16">
        <v>6.0</v>
      </c>
      <c r="I1733" s="15" t="str">
        <f>SUBSTITUTE(Sheet1!K1733, "Rp", "")</f>
        <v>566200</v>
      </c>
    </row>
    <row r="1734">
      <c r="A1734" s="8" t="s">
        <v>3143</v>
      </c>
      <c r="B1734" s="13" t="str">
        <f>HYPERLINK("https://shopee.co.id/Daneen-Whip-Acne-Serum-10ml-i.328329669.5279300338", "https://shopee.co.id/Daneen-Whip-Acne-Serum-10ml-i.328329669.5279300338")</f>
        <v>https://shopee.co.id/Daneen-Whip-Acne-Serum-10ml-i.328329669.5279300338</v>
      </c>
      <c r="C1734" s="8" t="s">
        <v>2675</v>
      </c>
      <c r="D1734" s="8" t="s">
        <v>2676</v>
      </c>
      <c r="E1734" s="8" t="s">
        <v>12</v>
      </c>
      <c r="F1734" s="8" t="s">
        <v>13</v>
      </c>
      <c r="G1734" s="8" t="s">
        <v>36</v>
      </c>
      <c r="H1734" s="16">
        <v>6.0</v>
      </c>
      <c r="I1734" s="15" t="str">
        <f>SUBSTITUTE(Sheet1!K1734, "Rp", "")</f>
        <v>575720</v>
      </c>
    </row>
    <row r="1735">
      <c r="A1735" s="8" t="s">
        <v>3311</v>
      </c>
      <c r="B1735" s="13" t="str">
        <f>HYPERLINK("https://shopee.co.id/Dear-Me-Beauty-Hyaluronic-Acid-Pomegranate-Extract-Face-Serum-12ml-i.270965687.9158609078", "https://shopee.co.id/Dear-Me-Beauty-Hyaluronic-Acid-Pomegranate-Extract-Face-Serum-12ml-i.270965687.9158609078")</f>
        <v>https://shopee.co.id/Dear-Me-Beauty-Hyaluronic-Acid-Pomegranate-Extract-Face-Serum-12ml-i.270965687.9158609078</v>
      </c>
      <c r="C1735" s="8" t="s">
        <v>70</v>
      </c>
      <c r="D1735" s="8" t="s">
        <v>379</v>
      </c>
      <c r="E1735" s="8" t="s">
        <v>12</v>
      </c>
      <c r="F1735" s="8" t="s">
        <v>13</v>
      </c>
      <c r="G1735" s="8" t="s">
        <v>380</v>
      </c>
      <c r="H1735" s="16">
        <v>6.0</v>
      </c>
      <c r="I1735" s="15" t="str">
        <f>SUBSTITUTE(Sheet1!K1735, "Rp", "")</f>
        <v>426600</v>
      </c>
    </row>
    <row r="1736">
      <c r="A1736" s="8" t="s">
        <v>2125</v>
      </c>
      <c r="B1736" s="13" t="str">
        <f>HYPERLINK("https://shopee.co.id/ElsheSkin-Special-Bundle-for-You-i.9035345.11248164450", "https://shopee.co.id/ElsheSkin-Special-Bundle-for-You-i.9035345.11248164450")</f>
        <v>https://shopee.co.id/ElsheSkin-Special-Bundle-for-You-i.9035345.11248164450</v>
      </c>
      <c r="C1736" s="8" t="s">
        <v>135</v>
      </c>
      <c r="D1736" s="8" t="s">
        <v>136</v>
      </c>
      <c r="E1736" s="8" t="s">
        <v>12</v>
      </c>
      <c r="F1736" s="8" t="s">
        <v>13</v>
      </c>
      <c r="G1736" s="8" t="s">
        <v>80</v>
      </c>
      <c r="H1736" s="16">
        <v>6.0</v>
      </c>
      <c r="I1736" s="15" t="str">
        <f>SUBSTITUTE(Sheet1!K1736, "Rp", "")</f>
        <v>2838000</v>
      </c>
    </row>
    <row r="1737">
      <c r="A1737" s="8" t="s">
        <v>2832</v>
      </c>
      <c r="B1737" s="13" t="str">
        <f>HYPERLINK("https://shopee.co.id/essenHERB-Tea-Tree-Ampoule-50ml-i.270965687.5638523869", "https://shopee.co.id/essenHERB-Tea-Tree-Ampoule-50ml-i.270965687.5638523869")</f>
        <v>https://shopee.co.id/essenHERB-Tea-Tree-Ampoule-50ml-i.270965687.5638523869</v>
      </c>
      <c r="C1737" s="8" t="s">
        <v>2802</v>
      </c>
      <c r="D1737" s="8" t="s">
        <v>379</v>
      </c>
      <c r="E1737" s="8" t="s">
        <v>12</v>
      </c>
      <c r="F1737" s="8" t="s">
        <v>13</v>
      </c>
      <c r="G1737" s="8" t="s">
        <v>380</v>
      </c>
      <c r="H1737" s="16">
        <v>6.0</v>
      </c>
      <c r="I1737" s="15" t="str">
        <f>SUBSTITUTE(Sheet1!K1737, "Rp", "")</f>
        <v>1002000</v>
      </c>
    </row>
    <row r="1738">
      <c r="A1738" s="8" t="s">
        <v>2937</v>
      </c>
      <c r="B1738" s="13" t="str">
        <f>HYPERLINK("https://shopee.co.id/FABIL-Plumping-Mandelic-Acid-Serum-with-Hyaluronic-Acid-Niacinamide-and-Bidara-20ml-i.3990192.3641693461", "https://shopee.co.id/FABIL-Plumping-Mandelic-Acid-Serum-with-Hyaluronic-Acid-Niacinamide-and-Bidara-20ml-i.3990192.3641693461")</f>
        <v>https://shopee.co.id/FABIL-Plumping-Mandelic-Acid-Serum-with-Hyaluronic-Acid-Niacinamide-and-Bidara-20ml-i.3990192.3641693461</v>
      </c>
      <c r="C1738" s="8" t="s">
        <v>2579</v>
      </c>
      <c r="D1738" s="8" t="s">
        <v>2580</v>
      </c>
      <c r="E1738" s="8" t="s">
        <v>12</v>
      </c>
      <c r="F1738" s="8" t="s">
        <v>13</v>
      </c>
      <c r="G1738" s="8" t="s">
        <v>1085</v>
      </c>
      <c r="H1738" s="16">
        <v>6.0</v>
      </c>
      <c r="I1738" s="15" t="str">
        <f>SUBSTITUTE(Sheet1!K1738, "Rp", "")</f>
        <v>846000</v>
      </c>
    </row>
    <row r="1739">
      <c r="A1739" s="8" t="s">
        <v>3097</v>
      </c>
      <c r="B1739" s="13" t="str">
        <f>HYPERLINK("https://shopee.co.id/FIRST-LAB-Travel-Size-FIRST-LAB-Probiotic-Serum-10ml-i.109981258.7451921353", "https://shopee.co.id/FIRST-LAB-Travel-Size-FIRST-LAB-Probiotic-Serum-10ml-i.109981258.7451921353")</f>
        <v>https://shopee.co.id/FIRST-LAB-Travel-Size-FIRST-LAB-Probiotic-Serum-10ml-i.109981258.7451921353</v>
      </c>
      <c r="C1739" s="8" t="s">
        <v>1617</v>
      </c>
      <c r="D1739" s="8" t="s">
        <v>2576</v>
      </c>
      <c r="E1739" s="8" t="s">
        <v>12</v>
      </c>
      <c r="F1739" s="8" t="s">
        <v>13</v>
      </c>
      <c r="G1739" s="8" t="s">
        <v>21</v>
      </c>
      <c r="H1739" s="16">
        <v>6.0</v>
      </c>
      <c r="I1739" s="15" t="str">
        <f>SUBSTITUTE(Sheet1!K1739, "Rp", "")</f>
        <v>627000</v>
      </c>
    </row>
    <row r="1740">
      <c r="A1740" s="8" t="s">
        <v>2575</v>
      </c>
      <c r="B1740" s="13" t="str">
        <f>HYPERLINK("https://shopee.co.id/FIRST-LAB-Probiotic-Skin-Essence-SIGNATURE-150ml-i.109981258.4051943569", "https://shopee.co.id/FIRST-LAB-Probiotic-Skin-Essence-SIGNATURE-150ml-i.109981258.4051943569")</f>
        <v>https://shopee.co.id/FIRST-LAB-Probiotic-Skin-Essence-SIGNATURE-150ml-i.109981258.4051943569</v>
      </c>
      <c r="C1740" s="8" t="s">
        <v>1617</v>
      </c>
      <c r="D1740" s="8" t="s">
        <v>2576</v>
      </c>
      <c r="E1740" s="8" t="s">
        <v>12</v>
      </c>
      <c r="F1740" s="8" t="s">
        <v>13</v>
      </c>
      <c r="G1740" s="8" t="s">
        <v>21</v>
      </c>
      <c r="H1740" s="16">
        <v>6.0</v>
      </c>
      <c r="I1740" s="15" t="str">
        <f>SUBSTITUTE(Sheet1!K1740, "Rp", "")</f>
        <v>1535490</v>
      </c>
    </row>
    <row r="1741">
      <c r="A1741" s="8" t="s">
        <v>2707</v>
      </c>
      <c r="B1741" s="13" t="str">
        <f>HYPERLINK("https://shopee.co.id/For-Skin-s-Sake-FSS-Hyaluronic-Acid-Serum-i.99513899.1620722116", "https://shopee.co.id/For-Skin-s-Sake-FSS-Hyaluronic-Acid-Serum-i.99513899.1620722116")</f>
        <v>https://shopee.co.id/For-Skin-s-Sake-FSS-Hyaluronic-Acid-Serum-i.99513899.1620722116</v>
      </c>
      <c r="C1741" s="8" t="s">
        <v>1772</v>
      </c>
      <c r="D1741" s="8" t="s">
        <v>1773</v>
      </c>
      <c r="E1741" s="8" t="s">
        <v>12</v>
      </c>
      <c r="F1741" s="8" t="s">
        <v>13</v>
      </c>
      <c r="G1741" s="8" t="s">
        <v>130</v>
      </c>
      <c r="H1741" s="16">
        <v>6.0</v>
      </c>
      <c r="I1741" s="15" t="str">
        <f>SUBSTITUTE(Sheet1!K1741, "Rp", "")</f>
        <v>1215000</v>
      </c>
    </row>
    <row r="1742">
      <c r="A1742" s="8" t="s">
        <v>2318</v>
      </c>
      <c r="B1742" s="13" t="str">
        <f>HYPERLINK("https://shopee.co.id/Frudia-Green-Grape-Pore-Serum-FREE-Frudia-Pouch-Garis-Vertikal-i.98124209.6175910857", "https://shopee.co.id/Frudia-Green-Grape-Pore-Serum-FREE-Frudia-Pouch-Garis-Vertikal-i.98124209.6175910857")</f>
        <v>https://shopee.co.id/Frudia-Green-Grape-Pore-Serum-FREE-Frudia-Pouch-Garis-Vertikal-i.98124209.6175910857</v>
      </c>
      <c r="C1742" s="8" t="s">
        <v>790</v>
      </c>
      <c r="D1742" s="8" t="s">
        <v>791</v>
      </c>
      <c r="E1742" s="8" t="s">
        <v>12</v>
      </c>
      <c r="F1742" s="8" t="s">
        <v>13</v>
      </c>
      <c r="G1742" s="8" t="s">
        <v>85</v>
      </c>
      <c r="H1742" s="16">
        <v>6.0</v>
      </c>
      <c r="I1742" s="15" t="str">
        <f>SUBSTITUTE(Sheet1!K1742, "Rp", "")</f>
        <v>2220000</v>
      </c>
    </row>
    <row r="1743">
      <c r="A1743" s="8" t="s">
        <v>3022</v>
      </c>
      <c r="B1743" s="13" t="str">
        <f>HYPERLINK("https://shopee.co.id/Garnier-Light-Complete-Booster-Serum-15-ml-Light-Complete-Mask-5-pcs-Untuk-Kulit-Cerah-Cepat--i.62583853.9014722883", "https://shopee.co.id/Garnier-Light-Complete-Booster-Serum-15-ml-Light-Complete-Mask-5-pcs-Untuk-Kulit-Cerah-Cepat--i.62583853.9014722883")</f>
        <v>https://shopee.co.id/Garnier-Light-Complete-Booster-Serum-15-ml-Light-Complete-Mask-5-pcs-Untuk-Kulit-Cerah-Cepat--i.62583853.9014722883</v>
      </c>
      <c r="C1743" s="8" t="s">
        <v>74</v>
      </c>
      <c r="D1743" s="8" t="s">
        <v>75</v>
      </c>
      <c r="E1743" s="8" t="s">
        <v>12</v>
      </c>
      <c r="F1743" s="8" t="s">
        <v>13</v>
      </c>
      <c r="G1743" s="8" t="s">
        <v>61</v>
      </c>
      <c r="H1743" s="16">
        <v>6.0</v>
      </c>
      <c r="I1743" s="15" t="str">
        <f>SUBSTITUTE(Sheet1!K1743, "Rp", "")</f>
        <v>714000</v>
      </c>
    </row>
    <row r="1744">
      <c r="A1744" s="8" t="s">
        <v>3562</v>
      </c>
      <c r="B1744" s="13" t="str">
        <f>HYPERLINK("https://shopee.co.id/Garnier-Sakura-White-Whitening-Serum-Day-Cream-UV-40-mL-i.65323877.8079237416", "https://shopee.co.id/Garnier-Sakura-White-Whitening-Serum-Day-Cream-UV-40-mL-i.65323877.8079237416")</f>
        <v>https://shopee.co.id/Garnier-Sakura-White-Whitening-Serum-Day-Cream-UV-40-mL-i.65323877.8079237416</v>
      </c>
      <c r="C1744" s="8" t="s">
        <v>74</v>
      </c>
      <c r="D1744" s="8" t="s">
        <v>1600</v>
      </c>
      <c r="E1744" s="8" t="s">
        <v>12</v>
      </c>
      <c r="F1744" s="8" t="s">
        <v>13</v>
      </c>
      <c r="G1744" s="8" t="s">
        <v>296</v>
      </c>
      <c r="H1744" s="16">
        <v>6.0</v>
      </c>
      <c r="I1744" s="15" t="str">
        <f>SUBSTITUTE(Sheet1!K1744, "Rp", "")</f>
        <v>244300</v>
      </c>
    </row>
    <row r="1745">
      <c r="A1745" s="8" t="s">
        <v>2255</v>
      </c>
      <c r="B1745" s="13" t="str">
        <f>HYPERLINK("https://shopee.co.id/Gloskin-Xpert-Serum-Package-i.206769167.9142518365", "https://shopee.co.id/Gloskin-Xpert-Serum-Package-i.206769167.9142518365")</f>
        <v>https://shopee.co.id/Gloskin-Xpert-Serum-Package-i.206769167.9142518365</v>
      </c>
      <c r="C1745" s="8" t="s">
        <v>2256</v>
      </c>
      <c r="D1745" s="8" t="s">
        <v>2257</v>
      </c>
      <c r="E1745" s="8" t="s">
        <v>12</v>
      </c>
      <c r="F1745" s="8" t="s">
        <v>13</v>
      </c>
      <c r="G1745" s="8" t="s">
        <v>98</v>
      </c>
      <c r="H1745" s="16">
        <v>6.0</v>
      </c>
      <c r="I1745" s="15" t="str">
        <f>SUBSTITUTE(Sheet1!K1745, "Rp", "")</f>
        <v>2394000</v>
      </c>
    </row>
    <row r="1746">
      <c r="A1746" s="8" t="s">
        <v>2645</v>
      </c>
      <c r="B1746" s="13" t="str">
        <f>HYPERLINK("https://shopee.co.id/GLOWINC-POTION-FOREVER-Pro-Youth-Serum-i.68111.9990618151", "https://shopee.co.id/GLOWINC-POTION-FOREVER-Pro-Youth-Serum-i.68111.9990618151")</f>
        <v>https://shopee.co.id/GLOWINC-POTION-FOREVER-Pro-Youth-Serum-i.68111.9990618151</v>
      </c>
      <c r="C1746" s="8" t="s">
        <v>1898</v>
      </c>
      <c r="D1746" s="8" t="s">
        <v>441</v>
      </c>
      <c r="E1746" s="8" t="s">
        <v>12</v>
      </c>
      <c r="F1746" s="8" t="s">
        <v>13</v>
      </c>
      <c r="G1746" s="8" t="s">
        <v>130</v>
      </c>
      <c r="H1746" s="16">
        <v>6.0</v>
      </c>
      <c r="I1746" s="15" t="str">
        <f>SUBSTITUTE(Sheet1!K1746, "Rp", "")</f>
        <v>534000</v>
      </c>
    </row>
    <row r="1747">
      <c r="A1747" s="8" t="s">
        <v>3428</v>
      </c>
      <c r="B1747" s="13" t="str">
        <f>HYPERLINK("https://shopee.co.id/Hanasui-Gold-Whitening-Serum-20Ml-Isi-3-Pcs-Serum-Wajah-Pelembab-Wajah-Vitamin-Wajah-i.185943783.4614722864", "https://shopee.co.id/Hanasui-Gold-Whitening-Serum-20Ml-Isi-3-Pcs-Serum-Wajah-Pelembab-Wajah-Vitamin-Wajah-i.185943783.4614722864")</f>
        <v>https://shopee.co.id/Hanasui-Gold-Whitening-Serum-20Ml-Isi-3-Pcs-Serum-Wajah-Pelembab-Wajah-Vitamin-Wajah-i.185943783.4614722864</v>
      </c>
      <c r="C1747" s="8" t="s">
        <v>784</v>
      </c>
      <c r="D1747" s="8" t="s">
        <v>3429</v>
      </c>
      <c r="E1747" s="8" t="s">
        <v>12</v>
      </c>
      <c r="F1747" s="8" t="s">
        <v>13</v>
      </c>
      <c r="G1747" s="8" t="s">
        <v>36</v>
      </c>
      <c r="H1747" s="16">
        <v>6.0</v>
      </c>
      <c r="I1747" s="15" t="str">
        <f>SUBSTITUTE(Sheet1!K1747, "Rp", "")</f>
        <v>337578</v>
      </c>
    </row>
    <row r="1748">
      <c r="A1748" s="8" t="s">
        <v>3720</v>
      </c>
      <c r="B1748" s="13" t="str">
        <f>HYPERLINK("https://shopee.co.id/Hanasui-Serum-Whitening-Gold-20ml-417911--i.16735262.6865257482", "https://shopee.co.id/Hanasui-Serum-Whitening-Gold-20ml-417911--i.16735262.6865257482")</f>
        <v>https://shopee.co.id/Hanasui-Serum-Whitening-Gold-20ml-417911--i.16735262.6865257482</v>
      </c>
      <c r="C1748" s="8" t="s">
        <v>784</v>
      </c>
      <c r="D1748" s="8" t="s">
        <v>3598</v>
      </c>
      <c r="E1748" s="8" t="s">
        <v>12</v>
      </c>
      <c r="F1748" s="8" t="s">
        <v>13</v>
      </c>
      <c r="G1748" s="8" t="s">
        <v>36</v>
      </c>
      <c r="H1748" s="16">
        <v>6.0</v>
      </c>
      <c r="I1748" s="15" t="str">
        <f>SUBSTITUTE(Sheet1!K1748, "Rp", "")</f>
        <v>165200</v>
      </c>
    </row>
    <row r="1749">
      <c r="A1749" s="8" t="s">
        <v>2351</v>
      </c>
      <c r="B1749" s="13" t="str">
        <f>HYPERLINK("https://shopee.co.id/HAUM-BUNDLING-ALPHA-MF-C-i.344731863.8841962091", "https://shopee.co.id/HAUM-BUNDLING-ALPHA-MF-C-i.344731863.8841962091")</f>
        <v>https://shopee.co.id/HAUM-BUNDLING-ALPHA-MF-C-i.344731863.8841962091</v>
      </c>
      <c r="C1749" s="8" t="s">
        <v>1144</v>
      </c>
      <c r="D1749" s="8" t="s">
        <v>1145</v>
      </c>
      <c r="E1749" s="8" t="s">
        <v>12</v>
      </c>
      <c r="F1749" s="8" t="s">
        <v>13</v>
      </c>
      <c r="G1749" s="8" t="s">
        <v>98</v>
      </c>
      <c r="H1749" s="16">
        <v>6.0</v>
      </c>
      <c r="I1749" s="15" t="str">
        <f>SUBSTITUTE(Sheet1!K1749, "Rp", "")</f>
        <v>2107200</v>
      </c>
    </row>
    <row r="1750">
      <c r="A1750" s="8" t="s">
        <v>2873</v>
      </c>
      <c r="B1750" s="13" t="str">
        <f>HYPERLINK("https://shopee.co.id/Holika-Holika-One-Solution-Super-Energy-Ampoule-i.18856010.690896601", "https://shopee.co.id/Holika-Holika-One-Solution-Super-Energy-Ampoule-i.18856010.690896601")</f>
        <v>https://shopee.co.id/Holika-Holika-One-Solution-Super-Energy-Ampoule-i.18856010.690896601</v>
      </c>
      <c r="C1750" s="8" t="s">
        <v>2265</v>
      </c>
      <c r="D1750" s="8" t="s">
        <v>2266</v>
      </c>
      <c r="E1750" s="8" t="s">
        <v>12</v>
      </c>
      <c r="F1750" s="8" t="s">
        <v>13</v>
      </c>
      <c r="G1750" s="8" t="s">
        <v>21</v>
      </c>
      <c r="H1750" s="16">
        <v>6.0</v>
      </c>
      <c r="I1750" s="15" t="str">
        <f>SUBSTITUTE(Sheet1!K1750, "Rp", "")</f>
        <v>938000</v>
      </c>
    </row>
    <row r="1751">
      <c r="A1751" s="8" t="s">
        <v>2938</v>
      </c>
      <c r="B1751" s="13" t="str">
        <f>HYPERLINK("https://shopee.co.id/Illuminare-Youth-Serum-30-mL-Serum-Anti-Aging-i.204185841.6435240739", "https://shopee.co.id/Illuminare-Youth-Serum-30-mL-Serum-Anti-Aging-i.204185841.6435240739")</f>
        <v>https://shopee.co.id/Illuminare-Youth-Serum-30-mL-Serum-Anti-Aging-i.204185841.6435240739</v>
      </c>
      <c r="C1751" s="8" t="s">
        <v>1750</v>
      </c>
      <c r="D1751" s="8" t="s">
        <v>2568</v>
      </c>
      <c r="E1751" s="8" t="s">
        <v>12</v>
      </c>
      <c r="F1751" s="8" t="s">
        <v>13</v>
      </c>
      <c r="G1751" s="8" t="s">
        <v>36</v>
      </c>
      <c r="H1751" s="16">
        <v>6.0</v>
      </c>
      <c r="I1751" s="15" t="str">
        <f>SUBSTITUTE(Sheet1!K1751, "Rp", "")</f>
        <v>843350</v>
      </c>
    </row>
    <row r="1752">
      <c r="A1752" s="8" t="s">
        <v>2263</v>
      </c>
      <c r="B1752" s="13" t="str">
        <f>HYPERLINK("https://shopee.co.id/Joylab-Bundling-Wonderskin-1-Serum-Creme-Free-Gotta-Matcha-Hydrating-Cleanser-Mini-i.127604258.11101460260", "https://shopee.co.id/Joylab-Bundling-Wonderskin-1-Serum-Creme-Free-Gotta-Matcha-Hydrating-Cleanser-Mini-i.127604258.11101460260")</f>
        <v>https://shopee.co.id/Joylab-Bundling-Wonderskin-1-Serum-Creme-Free-Gotta-Matcha-Hydrating-Cleanser-Mini-i.127604258.11101460260</v>
      </c>
      <c r="C1752" s="8" t="s">
        <v>1795</v>
      </c>
      <c r="D1752" s="8" t="s">
        <v>1796</v>
      </c>
      <c r="E1752" s="8" t="s">
        <v>12</v>
      </c>
      <c r="F1752" s="8" t="s">
        <v>13</v>
      </c>
      <c r="G1752" s="8" t="s">
        <v>98</v>
      </c>
      <c r="H1752" s="16">
        <v>6.0</v>
      </c>
      <c r="I1752" s="15" t="str">
        <f>SUBSTITUTE(Sheet1!K1752, "Rp", "")</f>
        <v>2385000</v>
      </c>
    </row>
    <row r="1753">
      <c r="A1753" s="8" t="s">
        <v>1788</v>
      </c>
      <c r="B1753" s="13" t="str">
        <f>HYPERLINK("https://shopee.co.id/KANEBO-Smoothing-Serum-100ML-i.169111593.5701802312", "https://shopee.co.id/KANEBO-Smoothing-Serum-100ML-i.169111593.5701802312")</f>
        <v>https://shopee.co.id/KANEBO-Smoothing-Serum-100ML-i.169111593.5701802312</v>
      </c>
      <c r="C1753" s="8" t="s">
        <v>1473</v>
      </c>
      <c r="D1753" s="8" t="s">
        <v>1474</v>
      </c>
      <c r="E1753" s="8" t="s">
        <v>12</v>
      </c>
      <c r="F1753" s="8" t="s">
        <v>13</v>
      </c>
      <c r="G1753" s="8" t="s">
        <v>532</v>
      </c>
      <c r="H1753" s="16">
        <v>6.0</v>
      </c>
      <c r="I1753" s="15" t="str">
        <f>SUBSTITUTE(Sheet1!K1753, "Rp", "")</f>
        <v>4770000</v>
      </c>
    </row>
    <row r="1754">
      <c r="A1754" s="8" t="s">
        <v>2769</v>
      </c>
      <c r="B1754" s="13" t="str">
        <f>HYPERLINK("https://shopee.co.id/Kulit-Cerah-Merona-i.63822287.8449342195", "https://shopee.co.id/Kulit-Cerah-Merona-i.63822287.8449342195")</f>
        <v>https://shopee.co.id/Kulit-Cerah-Merona-i.63822287.8449342195</v>
      </c>
      <c r="C1754" s="8" t="s">
        <v>1254</v>
      </c>
      <c r="D1754" s="8" t="s">
        <v>835</v>
      </c>
      <c r="E1754" s="8" t="s">
        <v>12</v>
      </c>
      <c r="F1754" s="8" t="s">
        <v>13</v>
      </c>
      <c r="G1754" s="8" t="s">
        <v>61</v>
      </c>
      <c r="H1754" s="16">
        <v>6.0</v>
      </c>
      <c r="I1754" s="15" t="str">
        <f>SUBSTITUTE(Sheet1!K1754, "Rp", "")</f>
        <v>1106100</v>
      </c>
    </row>
    <row r="1755">
      <c r="A1755" s="8" t="s">
        <v>1268</v>
      </c>
      <c r="B1755" s="13" t="str">
        <f>HYPERLINK("https://shopee.co.id/La-Roche-Posay-Care-Protect-Bundle-FREE-Kerastase--i.433144176.11349209739", "https://shopee.co.id/La-Roche-Posay-Care-Protect-Bundle-FREE-Kerastase--i.433144176.11349209739")</f>
        <v>https://shopee.co.id/La-Roche-Posay-Care-Protect-Bundle-FREE-Kerastase--i.433144176.11349209739</v>
      </c>
      <c r="C1755" s="8" t="s">
        <v>147</v>
      </c>
      <c r="D1755" s="8" t="s">
        <v>148</v>
      </c>
      <c r="E1755" s="8" t="s">
        <v>12</v>
      </c>
      <c r="F1755" s="8" t="s">
        <v>13</v>
      </c>
      <c r="G1755" s="8" t="s">
        <v>61</v>
      </c>
      <c r="H1755" s="16">
        <v>6.0</v>
      </c>
      <c r="I1755" s="15" t="str">
        <f>SUBSTITUTE(Sheet1!K1755, "Rp", "")</f>
        <v>11490000</v>
      </c>
    </row>
    <row r="1756">
      <c r="A1756" s="8" t="s">
        <v>2638</v>
      </c>
      <c r="B1756" s="13" t="str">
        <f>HYPERLINK("https://shopee.co.id/Lacoco-5-Bakuchiol-Essence-i.270965687.11428033221", "https://shopee.co.id/Lacoco-5-Bakuchiol-Essence-i.270965687.11428033221")</f>
        <v>https://shopee.co.id/Lacoco-5-Bakuchiol-Essence-i.270965687.11428033221</v>
      </c>
      <c r="C1756" s="8" t="s">
        <v>501</v>
      </c>
      <c r="D1756" s="8" t="s">
        <v>379</v>
      </c>
      <c r="E1756" s="8" t="s">
        <v>12</v>
      </c>
      <c r="F1756" s="8" t="s">
        <v>13</v>
      </c>
      <c r="G1756" s="8" t="s">
        <v>380</v>
      </c>
      <c r="H1756" s="16">
        <v>6.0</v>
      </c>
      <c r="I1756" s="15" t="str">
        <f>SUBSTITUTE(Sheet1!K1756, "Rp", "")</f>
        <v>1350000</v>
      </c>
    </row>
    <row r="1757">
      <c r="A1757" s="8" t="s">
        <v>3016</v>
      </c>
      <c r="B1757" s="13" t="str">
        <f>HYPERLINK("https://shopee.co.id/MEDGLOW-CLINIC-Whitening-Dark-Spot-Serum-Aesthetic-Skincare-Serum-Penghilang-Noda-Flek-Hitam-BPOM-i.285885972.6949885461", "https://shopee.co.id/MEDGLOW-CLINIC-Whitening-Dark-Spot-Serum-Aesthetic-Skincare-Serum-Penghilang-Noda-Flek-Hitam-BPOM-i.285885972.6949885461")</f>
        <v>https://shopee.co.id/MEDGLOW-CLINIC-Whitening-Dark-Spot-Serum-Aesthetic-Skincare-Serum-Penghilang-Noda-Flek-Hitam-BPOM-i.285885972.6949885461</v>
      </c>
      <c r="C1757" s="8" t="s">
        <v>949</v>
      </c>
      <c r="D1757" s="8" t="s">
        <v>950</v>
      </c>
      <c r="E1757" s="8" t="s">
        <v>12</v>
      </c>
      <c r="F1757" s="8" t="s">
        <v>13</v>
      </c>
      <c r="G1757" s="8" t="s">
        <v>380</v>
      </c>
      <c r="H1757" s="16">
        <v>6.0</v>
      </c>
      <c r="I1757" s="15" t="str">
        <f>SUBSTITUTE(Sheet1!K1757, "Rp", "")</f>
        <v>718750</v>
      </c>
    </row>
    <row r="1758">
      <c r="A1758" s="8" t="s">
        <v>3325</v>
      </c>
      <c r="B1758" s="13" t="str">
        <f>HYPERLINK("https://shopee.co.id/Mini-Size-Face-Oil-Clearly-Gold-Serum--i.161217472.9814541521", "https://shopee.co.id/Mini-Size-Face-Oil-Clearly-Gold-Serum--i.161217472.9814541521")</f>
        <v>https://shopee.co.id/Mini-Size-Face-Oil-Clearly-Gold-Serum--i.161217472.9814541521</v>
      </c>
      <c r="C1758" s="8" t="s">
        <v>2190</v>
      </c>
      <c r="D1758" s="8" t="s">
        <v>2191</v>
      </c>
      <c r="E1758" s="8" t="s">
        <v>12</v>
      </c>
      <c r="F1758" s="8" t="s">
        <v>13</v>
      </c>
      <c r="G1758" s="8" t="s">
        <v>1314</v>
      </c>
      <c r="H1758" s="16">
        <v>6.0</v>
      </c>
      <c r="I1758" s="15" t="str">
        <f>SUBSTITUTE(Sheet1!K1758, "Rp", "")</f>
        <v>404000</v>
      </c>
    </row>
    <row r="1759">
      <c r="A1759" s="8" t="s">
        <v>2494</v>
      </c>
      <c r="B1759" s="13" t="str">
        <f>HYPERLINK("https://shopee.co.id/MSBB-Avoskin-Perfect-Hydrating-Treatment-Essence-Special-Edition-100ml-i.288588702.7471553889", "https://shopee.co.id/MSBB-Avoskin-Perfect-Hydrating-Treatment-Essence-Special-Edition-100ml-i.288588702.7471553889")</f>
        <v>https://shopee.co.id/MSBB-Avoskin-Perfect-Hydrating-Treatment-Essence-Special-Edition-100ml-i.288588702.7471553889</v>
      </c>
      <c r="C1759" s="8" t="s">
        <v>83</v>
      </c>
      <c r="D1759" s="8" t="s">
        <v>79</v>
      </c>
      <c r="E1759" s="8" t="s">
        <v>12</v>
      </c>
      <c r="F1759" s="8" t="s">
        <v>13</v>
      </c>
      <c r="G1759" s="8" t="s">
        <v>80</v>
      </c>
      <c r="H1759" s="16">
        <v>6.0</v>
      </c>
      <c r="I1759" s="15" t="str">
        <f>SUBSTITUTE(Sheet1!K1759, "Rp", "")</f>
        <v>1722240</v>
      </c>
    </row>
    <row r="1760">
      <c r="A1760" s="8" t="s">
        <v>2635</v>
      </c>
      <c r="B1760" s="13" t="str">
        <f>HYPERLINK("https://shopee.co.id/MSBB-Somethinc-CRIOUSLY-24k-GOLD-ESSENCE-40ml-i.288588702.5446404926", "https://shopee.co.id/MSBB-Somethinc-CRIOUSLY-24k-GOLD-ESSENCE-40ml-i.288588702.5446404926")</f>
        <v>https://shopee.co.id/MSBB-Somethinc-CRIOUSLY-24k-GOLD-ESSENCE-40ml-i.288588702.5446404926</v>
      </c>
      <c r="C1760" s="8" t="s">
        <v>45</v>
      </c>
      <c r="D1760" s="8" t="s">
        <v>79</v>
      </c>
      <c r="E1760" s="8" t="s">
        <v>12</v>
      </c>
      <c r="F1760" s="8" t="s">
        <v>13</v>
      </c>
      <c r="G1760" s="8" t="s">
        <v>80</v>
      </c>
      <c r="H1760" s="16">
        <v>6.0</v>
      </c>
      <c r="I1760" s="15" t="str">
        <f>SUBSTITUTE(Sheet1!K1760, "Rp", "")</f>
        <v>1353000</v>
      </c>
    </row>
    <row r="1761">
      <c r="A1761" s="8" t="s">
        <v>3085</v>
      </c>
      <c r="B1761" s="13" t="str">
        <f>HYPERLINK("https://shopee.co.id/MSBB-True-To-Skin-Hyaluronic-Acid-Hydrating-Serum-i.288588702.7082510448", "https://shopee.co.id/MSBB-True-To-Skin-Hyaluronic-Acid-Hydrating-Serum-i.288588702.7082510448")</f>
        <v>https://shopee.co.id/MSBB-True-To-Skin-Hyaluronic-Acid-Hydrating-Serum-i.288588702.7082510448</v>
      </c>
      <c r="C1761" s="8" t="s">
        <v>666</v>
      </c>
      <c r="D1761" s="8" t="s">
        <v>79</v>
      </c>
      <c r="E1761" s="8" t="s">
        <v>12</v>
      </c>
      <c r="F1761" s="8" t="s">
        <v>13</v>
      </c>
      <c r="G1761" s="8" t="s">
        <v>80</v>
      </c>
      <c r="H1761" s="16">
        <v>6.0</v>
      </c>
      <c r="I1761" s="15" t="str">
        <f>SUBSTITUTE(Sheet1!K1761, "Rp", "")</f>
        <v>640920</v>
      </c>
    </row>
    <row r="1762">
      <c r="A1762" s="8" t="s">
        <v>2966</v>
      </c>
      <c r="B1762" s="13" t="str">
        <f>HYPERLINK("https://shopee.co.id/Natasha-by-dr-Fredi-Setyawan-Teen-Glowing-Essence-i.40121814.4757949503", "https://shopee.co.id/Natasha-by-dr-Fredi-Setyawan-Teen-Glowing-Essence-i.40121814.4757949503")</f>
        <v>https://shopee.co.id/Natasha-by-dr-Fredi-Setyawan-Teen-Glowing-Essence-i.40121814.4757949503</v>
      </c>
      <c r="C1762" s="8" t="s">
        <v>793</v>
      </c>
      <c r="D1762" s="8" t="s">
        <v>794</v>
      </c>
      <c r="E1762" s="8" t="s">
        <v>12</v>
      </c>
      <c r="F1762" s="8" t="s">
        <v>13</v>
      </c>
      <c r="G1762" s="8" t="s">
        <v>380</v>
      </c>
      <c r="H1762" s="16">
        <v>6.0</v>
      </c>
      <c r="I1762" s="15" t="str">
        <f>SUBSTITUTE(Sheet1!K1762, "Rp", "")</f>
        <v>808704</v>
      </c>
    </row>
    <row r="1763">
      <c r="A1763" s="8" t="s">
        <v>3172</v>
      </c>
      <c r="B1763" s="13" t="str">
        <f>HYPERLINK("https://shopee.co.id/Natur-E-Serum-White-Secret-Pure-Treatment-Essence-100ml-Advance-Anti-Aging-15ml-i.30736001.5537354526", "https://shopee.co.id/Natur-E-Serum-White-Secret-Pure-Treatment-Essence-100ml-Advance-Anti-Aging-15ml-i.30736001.5537354526")</f>
        <v>https://shopee.co.id/Natur-E-Serum-White-Secret-Pure-Treatment-Essence-100ml-Advance-Anti-Aging-15ml-i.30736001.5537354526</v>
      </c>
      <c r="C1763" s="8" t="s">
        <v>849</v>
      </c>
      <c r="D1763" s="8" t="s">
        <v>335</v>
      </c>
      <c r="E1763" s="8" t="s">
        <v>12</v>
      </c>
      <c r="F1763" s="8" t="s">
        <v>13</v>
      </c>
      <c r="G1763" s="8" t="s">
        <v>36</v>
      </c>
      <c r="H1763" s="16">
        <v>6.0</v>
      </c>
      <c r="I1763" s="15" t="str">
        <f>SUBSTITUTE(Sheet1!K1763, "Rp", "")</f>
        <v>547200</v>
      </c>
    </row>
    <row r="1764">
      <c r="A1764" s="8" t="s">
        <v>2353</v>
      </c>
      <c r="B1764" s="13" t="str">
        <f>HYPERLINK("https://shopee.co.id/NATURE-REPUBLIC-Around-The-Nature-Treatment-Essence-i.78838801.2278675624", "https://shopee.co.id/NATURE-REPUBLIC-Around-The-Nature-Treatment-Essence-i.78838801.2278675624")</f>
        <v>https://shopee.co.id/NATURE-REPUBLIC-Around-The-Nature-Treatment-Essence-i.78838801.2278675624</v>
      </c>
      <c r="C1764" s="8" t="s">
        <v>1079</v>
      </c>
      <c r="D1764" s="8" t="s">
        <v>1080</v>
      </c>
      <c r="E1764" s="8" t="s">
        <v>12</v>
      </c>
      <c r="F1764" s="8" t="s">
        <v>13</v>
      </c>
      <c r="G1764" s="8" t="s">
        <v>532</v>
      </c>
      <c r="H1764" s="16">
        <v>6.0</v>
      </c>
      <c r="I1764" s="15" t="str">
        <f>SUBSTITUTE(Sheet1!K1764, "Rp", "")</f>
        <v>2100000</v>
      </c>
    </row>
    <row r="1765">
      <c r="A1765" s="8" t="s">
        <v>2898</v>
      </c>
      <c r="B1765" s="13" t="str">
        <f>HYPERLINK("https://shopee.co.id/NATURE-REPUBLIC-Good-Skin-Ampoule-MINERAL-i.78838801.7165317461", "https://shopee.co.id/NATURE-REPUBLIC-Good-Skin-Ampoule-MINERAL-i.78838801.7165317461")</f>
        <v>https://shopee.co.id/NATURE-REPUBLIC-Good-Skin-Ampoule-MINERAL-i.78838801.7165317461</v>
      </c>
      <c r="C1765" s="8" t="s">
        <v>1079</v>
      </c>
      <c r="D1765" s="8" t="s">
        <v>1080</v>
      </c>
      <c r="E1765" s="8" t="s">
        <v>12</v>
      </c>
      <c r="F1765" s="8" t="s">
        <v>13</v>
      </c>
      <c r="G1765" s="8" t="s">
        <v>532</v>
      </c>
      <c r="H1765" s="16">
        <v>6.0</v>
      </c>
      <c r="I1765" s="15" t="str">
        <f>SUBSTITUTE(Sheet1!K1765, "Rp", "")</f>
        <v>900000</v>
      </c>
    </row>
    <row r="1766">
      <c r="A1766" s="8" t="s">
        <v>2327</v>
      </c>
      <c r="B1766" s="13" t="str">
        <f>HYPERLINK("https://shopee.co.id/NATURE-REPUBLIC-Real-Squeeze-Aloe-Vera-Essence-i.78838801.1454690067", "https://shopee.co.id/NATURE-REPUBLIC-Real-Squeeze-Aloe-Vera-Essence-i.78838801.1454690067")</f>
        <v>https://shopee.co.id/NATURE-REPUBLIC-Real-Squeeze-Aloe-Vera-Essence-i.78838801.1454690067</v>
      </c>
      <c r="C1766" s="8" t="s">
        <v>1079</v>
      </c>
      <c r="D1766" s="8" t="s">
        <v>1080</v>
      </c>
      <c r="E1766" s="8" t="s">
        <v>12</v>
      </c>
      <c r="F1766" s="8" t="s">
        <v>13</v>
      </c>
      <c r="G1766" s="8" t="s">
        <v>532</v>
      </c>
      <c r="H1766" s="16">
        <v>6.0</v>
      </c>
      <c r="I1766" s="15" t="str">
        <f>SUBSTITUTE(Sheet1!K1766, "Rp", "")</f>
        <v>2190000</v>
      </c>
    </row>
    <row r="1767">
      <c r="A1767" s="8" t="s">
        <v>2060</v>
      </c>
      <c r="B1767" s="13" t="str">
        <f>HYPERLINK("https://shopee.co.id/NATURE-REPUBLIC-Snail-Solution-Skin-Booster-i.78838801.1413605491", "https://shopee.co.id/NATURE-REPUBLIC-Snail-Solution-Skin-Booster-i.78838801.1413605491")</f>
        <v>https://shopee.co.id/NATURE-REPUBLIC-Snail-Solution-Skin-Booster-i.78838801.1413605491</v>
      </c>
      <c r="C1767" s="8" t="s">
        <v>1079</v>
      </c>
      <c r="D1767" s="8" t="s">
        <v>1080</v>
      </c>
      <c r="E1767" s="8" t="s">
        <v>12</v>
      </c>
      <c r="F1767" s="8" t="s">
        <v>13</v>
      </c>
      <c r="G1767" s="8" t="s">
        <v>532</v>
      </c>
      <c r="H1767" s="16">
        <v>6.0</v>
      </c>
      <c r="I1767" s="15" t="str">
        <f>SUBSTITUTE(Sheet1!K1767, "Rp", "")</f>
        <v>3228000</v>
      </c>
    </row>
    <row r="1768">
      <c r="A1768" s="8" t="s">
        <v>2807</v>
      </c>
      <c r="B1768" s="13" t="str">
        <f>HYPERLINK("https://shopee.co.id/Nusantics-Rosehip-Biome-Oil-Serum-i.156645962.2334652873", "https://shopee.co.id/Nusantics-Rosehip-Biome-Oil-Serum-i.156645962.2334652873")</f>
        <v>https://shopee.co.id/Nusantics-Rosehip-Biome-Oil-Serum-i.156645962.2334652873</v>
      </c>
      <c r="C1768" s="8" t="s">
        <v>2427</v>
      </c>
      <c r="D1768" s="8" t="s">
        <v>2428</v>
      </c>
      <c r="E1768" s="8" t="s">
        <v>12</v>
      </c>
      <c r="F1768" s="8" t="s">
        <v>13</v>
      </c>
      <c r="G1768" s="8" t="s">
        <v>98</v>
      </c>
      <c r="H1768" s="16">
        <v>6.0</v>
      </c>
      <c r="I1768" s="15" t="str">
        <f>SUBSTITUTE(Sheet1!K1768, "Rp", "")</f>
        <v>1048792</v>
      </c>
    </row>
    <row r="1769">
      <c r="A1769" s="8" t="s">
        <v>2875</v>
      </c>
      <c r="B1769" s="13" t="str">
        <f>HYPERLINK("https://shopee.co.id/Olay-White-Radiance-Cellucent-White-Essence-Serum-30-ml-i.36998337.2932375019", "https://shopee.co.id/Olay-White-Radiance-Cellucent-White-Essence-Serum-30-ml-i.36998337.2932375019")</f>
        <v>https://shopee.co.id/Olay-White-Radiance-Cellucent-White-Essence-Serum-30-ml-i.36998337.2932375019</v>
      </c>
      <c r="C1769" s="8" t="s">
        <v>317</v>
      </c>
      <c r="D1769" s="8" t="s">
        <v>2449</v>
      </c>
      <c r="E1769" s="8" t="s">
        <v>12</v>
      </c>
      <c r="F1769" s="8" t="s">
        <v>13</v>
      </c>
      <c r="G1769" s="8" t="s">
        <v>98</v>
      </c>
      <c r="H1769" s="16">
        <v>6.0</v>
      </c>
      <c r="I1769" s="15" t="str">
        <f>SUBSTITUTE(Sheet1!K1769, "Rp", "")</f>
        <v>936000</v>
      </c>
    </row>
    <row r="1770">
      <c r="A1770" s="8" t="s">
        <v>3023</v>
      </c>
      <c r="B1770" s="13" t="str">
        <f>HYPERLINK("https://shopee.co.id/Omniskin-Watermelon-Glow-Waterfull-Whitening-Serum-20ml-i.136011044.11626227035", "https://shopee.co.id/Omniskin-Watermelon-Glow-Waterfull-Whitening-Serum-20ml-i.136011044.11626227035")</f>
        <v>https://shopee.co.id/Omniskin-Watermelon-Glow-Waterfull-Whitening-Serum-20ml-i.136011044.11626227035</v>
      </c>
      <c r="C1770" s="8" t="s">
        <v>2268</v>
      </c>
      <c r="D1770" s="8" t="s">
        <v>632</v>
      </c>
      <c r="E1770" s="8" t="s">
        <v>12</v>
      </c>
      <c r="F1770" s="8" t="s">
        <v>13</v>
      </c>
      <c r="G1770" s="8" t="s">
        <v>21</v>
      </c>
      <c r="H1770" s="16">
        <v>6.0</v>
      </c>
      <c r="I1770" s="15" t="str">
        <f>SUBSTITUTE(Sheet1!K1770, "Rp", "")</f>
        <v>714000</v>
      </c>
    </row>
    <row r="1771">
      <c r="A1771" s="8" t="s">
        <v>3136</v>
      </c>
      <c r="B1771" s="13" t="str">
        <f>HYPERLINK("https://shopee.co.id/POB-SERUM-VITAMIN-C-BPOM-MENCERAHKAN-WAJAH-KARENA-POLUSI-i.495355925.9583078457", "https://shopee.co.id/POB-SERUM-VITAMIN-C-BPOM-MENCERAHKAN-WAJAH-KARENA-POLUSI-i.495355925.9583078457")</f>
        <v>https://shopee.co.id/POB-SERUM-VITAMIN-C-BPOM-MENCERAHKAN-WAJAH-KARENA-POLUSI-i.495355925.9583078457</v>
      </c>
      <c r="C1771" s="8" t="s">
        <v>2719</v>
      </c>
      <c r="D1771" s="8" t="s">
        <v>2720</v>
      </c>
      <c r="E1771" s="8" t="s">
        <v>12</v>
      </c>
      <c r="F1771" s="8" t="s">
        <v>13</v>
      </c>
      <c r="G1771" s="8" t="s">
        <v>532</v>
      </c>
      <c r="H1771" s="16">
        <v>6.0</v>
      </c>
      <c r="I1771" s="15" t="str">
        <f>SUBSTITUTE(Sheet1!K1771, "Rp", "")</f>
        <v>588000</v>
      </c>
    </row>
    <row r="1772">
      <c r="A1772" s="8" t="s">
        <v>3416</v>
      </c>
      <c r="B1772" s="13" t="str">
        <f>HYPERLINK("https://shopee.co.id/Probio-C-Vitamin-C-Spray-10ml-i.121791179.3217749465", "https://shopee.co.id/Probio-C-Vitamin-C-Spray-10ml-i.121791179.3217749465")</f>
        <v>https://shopee.co.id/Probio-C-Vitamin-C-Spray-10ml-i.121791179.3217749465</v>
      </c>
      <c r="C1772" s="8" t="s">
        <v>2671</v>
      </c>
      <c r="D1772" s="8" t="s">
        <v>1733</v>
      </c>
      <c r="E1772" s="8" t="s">
        <v>12</v>
      </c>
      <c r="F1772" s="8" t="s">
        <v>13</v>
      </c>
      <c r="G1772" s="8" t="s">
        <v>36</v>
      </c>
      <c r="H1772" s="16">
        <v>6.0</v>
      </c>
      <c r="I1772" s="15" t="str">
        <f>SUBSTITUTE(Sheet1!K1772, "Rp", "")</f>
        <v>351360</v>
      </c>
    </row>
    <row r="1773">
      <c r="A1773" s="8" t="s">
        <v>2825</v>
      </c>
      <c r="B1773" s="13" t="str">
        <f>HYPERLINK("https://shopee.co.id/Rated-Green-Real-Shea-Moisturizing-Recharging-Serum-size-150-ml-Edit-by-Sociolla-i.224957239.4531626719", "https://shopee.co.id/Rated-Green-Real-Shea-Moisturizing-Recharging-Serum-size-150-ml-Edit-by-Sociolla-i.224957239.4531626719")</f>
        <v>https://shopee.co.id/Rated-Green-Real-Shea-Moisturizing-Recharging-Serum-size-150-ml-Edit-by-Sociolla-i.224957239.4531626719</v>
      </c>
      <c r="C1773" s="8" t="s">
        <v>2826</v>
      </c>
      <c r="D1773" s="8" t="s">
        <v>492</v>
      </c>
      <c r="E1773" s="8" t="s">
        <v>12</v>
      </c>
      <c r="F1773" s="8" t="s">
        <v>13</v>
      </c>
      <c r="G1773" s="8" t="s">
        <v>21</v>
      </c>
      <c r="H1773" s="16">
        <v>6.0</v>
      </c>
      <c r="I1773" s="15" t="str">
        <f>SUBSTITUTE(Sheet1!K1773, "Rp", "")</f>
        <v>1014900</v>
      </c>
    </row>
    <row r="1774">
      <c r="A1774" s="8" t="s">
        <v>2398</v>
      </c>
      <c r="B1774" s="13" t="str">
        <f>HYPERLINK("https://shopee.co.id/Rivera-Youth-Expert-Fortifying-Serum-50ml-i.15093776.3308993287", "https://shopee.co.id/Rivera-Youth-Expert-Fortifying-Serum-50ml-i.15093776.3308993287")</f>
        <v>https://shopee.co.id/Rivera-Youth-Expert-Fortifying-Serum-50ml-i.15093776.3308993287</v>
      </c>
      <c r="C1774" s="8" t="s">
        <v>2399</v>
      </c>
      <c r="D1774" s="8" t="s">
        <v>2400</v>
      </c>
      <c r="E1774" s="8" t="s">
        <v>12</v>
      </c>
      <c r="F1774" s="8" t="s">
        <v>13</v>
      </c>
      <c r="G1774" s="8" t="s">
        <v>21</v>
      </c>
      <c r="H1774" s="16">
        <v>6.0</v>
      </c>
      <c r="I1774" s="15" t="str">
        <f>SUBSTITUTE(Sheet1!K1774, "Rp", "")</f>
        <v>1960000</v>
      </c>
    </row>
    <row r="1775">
      <c r="A1775" s="8" t="s">
        <v>3821</v>
      </c>
      <c r="B1775" s="13" t="str">
        <f>HYPERLINK("https://shopee.co.id/ROJUKISS-Jeju-Lotus-Pinkish-Bright-Serum-8ml-i.270965687.9773016965", "https://shopee.co.id/ROJUKISS-Jeju-Lotus-Pinkish-Bright-Serum-8ml-i.270965687.9773016965")</f>
        <v>https://shopee.co.id/ROJUKISS-Jeju-Lotus-Pinkish-Bright-Serum-8ml-i.270965687.9773016965</v>
      </c>
      <c r="C1775" s="8" t="s">
        <v>1508</v>
      </c>
      <c r="D1775" s="8" t="s">
        <v>379</v>
      </c>
      <c r="E1775" s="8" t="s">
        <v>12</v>
      </c>
      <c r="F1775" s="8" t="s">
        <v>13</v>
      </c>
      <c r="G1775" s="8" t="s">
        <v>380</v>
      </c>
      <c r="H1775" s="16">
        <v>6.0</v>
      </c>
      <c r="I1775" s="15" t="str">
        <f>SUBSTITUTE(Sheet1!K1775, "Rp", "")</f>
        <v>117000</v>
      </c>
    </row>
    <row r="1776">
      <c r="A1776" s="8" t="s">
        <v>3309</v>
      </c>
      <c r="B1776" s="13" t="str">
        <f>HYPERLINK("https://shopee.co.id/RORO-MENDUT-Orange-Peel-Kojic-Acid-Serum-i.87869551.4481750193", "https://shopee.co.id/RORO-MENDUT-Orange-Peel-Kojic-Acid-Serum-i.87869551.4481750193")</f>
        <v>https://shopee.co.id/RORO-MENDUT-Orange-Peel-Kojic-Acid-Serum-i.87869551.4481750193</v>
      </c>
      <c r="C1776" s="8" t="s">
        <v>1526</v>
      </c>
      <c r="D1776" s="8" t="s">
        <v>1527</v>
      </c>
      <c r="E1776" s="8" t="s">
        <v>12</v>
      </c>
      <c r="F1776" s="8" t="s">
        <v>13</v>
      </c>
      <c r="G1776" s="8" t="s">
        <v>380</v>
      </c>
      <c r="H1776" s="16">
        <v>6.0</v>
      </c>
      <c r="I1776" s="15" t="str">
        <f>SUBSTITUTE(Sheet1!K1776, "Rp", "")</f>
        <v>428829</v>
      </c>
    </row>
    <row r="1777">
      <c r="A1777" s="8" t="s">
        <v>3234</v>
      </c>
      <c r="B1777" s="13" t="str">
        <f>HYPERLINK("https://shopee.co.id/Saffbeautys-Bundle-Glowing-Serum-Saffron-Facemist-Saffron-Saffron-Collagen-Shoap-i.61316931.9564660699", "https://shopee.co.id/Saffbeautys-Bundle-Glowing-Serum-Saffron-Facemist-Saffron-Saffron-Collagen-Shoap-i.61316931.9564660699")</f>
        <v>https://shopee.co.id/Saffbeautys-Bundle-Glowing-Serum-Saffron-Facemist-Saffron-Saffron-Collagen-Shoap-i.61316931.9564660699</v>
      </c>
      <c r="C1777" s="8" t="s">
        <v>2127</v>
      </c>
      <c r="D1777" s="8" t="s">
        <v>2128</v>
      </c>
      <c r="E1777" s="8" t="s">
        <v>12</v>
      </c>
      <c r="F1777" s="8" t="s">
        <v>13</v>
      </c>
      <c r="G1777" s="8" t="s">
        <v>409</v>
      </c>
      <c r="H1777" s="16">
        <v>6.0</v>
      </c>
      <c r="I1777" s="15" t="str">
        <f>SUBSTITUTE(Sheet1!K1777, "Rp", "")</f>
        <v>498000</v>
      </c>
    </row>
    <row r="1778">
      <c r="A1778" s="8" t="s">
        <v>2311</v>
      </c>
      <c r="B1778" s="13" t="str">
        <f>HYPERLINK("https://shopee.co.id/Sbcskin-Bundling-Sunscreen-Oily-Serum-Vit-C-Hemat-28k--i.229435322.6356874684", "https://shopee.co.id/Sbcskin-Bundling-Sunscreen-Oily-Serum-Vit-C-Hemat-28k--i.229435322.6356874684")</f>
        <v>https://shopee.co.id/Sbcskin-Bundling-Sunscreen-Oily-Serum-Vit-C-Hemat-28k--i.229435322.6356874684</v>
      </c>
      <c r="C1778" s="8" t="s">
        <v>1775</v>
      </c>
      <c r="D1778" s="8" t="s">
        <v>1776</v>
      </c>
      <c r="E1778" s="8" t="s">
        <v>12</v>
      </c>
      <c r="F1778" s="8" t="s">
        <v>13</v>
      </c>
      <c r="G1778" s="8" t="s">
        <v>1777</v>
      </c>
      <c r="H1778" s="16">
        <v>6.0</v>
      </c>
      <c r="I1778" s="15" t="str">
        <f>SUBSTITUTE(Sheet1!K1778, "Rp", "")</f>
        <v>2233550</v>
      </c>
    </row>
    <row r="1779">
      <c r="A1779" s="8" t="s">
        <v>2344</v>
      </c>
      <c r="B1779" s="13" t="str">
        <f>HYPERLINK("https://shopee.co.id/SECA-Anti-Aging-Bundle-i.373749700.9277583879", "https://shopee.co.id/SECA-Anti-Aging-Bundle-i.373749700.9277583879")</f>
        <v>https://shopee.co.id/SECA-Anti-Aging-Bundle-i.373749700.9277583879</v>
      </c>
      <c r="C1779" s="8" t="s">
        <v>985</v>
      </c>
      <c r="D1779" s="8" t="s">
        <v>986</v>
      </c>
      <c r="E1779" s="8" t="s">
        <v>12</v>
      </c>
      <c r="F1779" s="8" t="s">
        <v>13</v>
      </c>
      <c r="G1779" s="8" t="s">
        <v>36</v>
      </c>
      <c r="H1779" s="16">
        <v>6.0</v>
      </c>
      <c r="I1779" s="15" t="str">
        <f>SUBSTITUTE(Sheet1!K1779, "Rp", "")</f>
        <v>2142000</v>
      </c>
    </row>
    <row r="1780">
      <c r="A1780" s="8" t="s">
        <v>2371</v>
      </c>
      <c r="B1780" s="13" t="str">
        <f>HYPERLINK("https://shopee.co.id/SECA-Glowing-Skin-Package-i.373749700.9377602410", "https://shopee.co.id/SECA-Glowing-Skin-Package-i.373749700.9377602410")</f>
        <v>https://shopee.co.id/SECA-Glowing-Skin-Package-i.373749700.9377602410</v>
      </c>
      <c r="C1780" s="8" t="s">
        <v>985</v>
      </c>
      <c r="D1780" s="8" t="s">
        <v>986</v>
      </c>
      <c r="E1780" s="8" t="s">
        <v>12</v>
      </c>
      <c r="F1780" s="8" t="s">
        <v>13</v>
      </c>
      <c r="G1780" s="8" t="s">
        <v>36</v>
      </c>
      <c r="H1780" s="16">
        <v>6.0</v>
      </c>
      <c r="I1780" s="15" t="str">
        <f>SUBSTITUTE(Sheet1!K1780, "Rp", "")</f>
        <v>2035800</v>
      </c>
    </row>
    <row r="1781">
      <c r="A1781" s="8" t="s">
        <v>2336</v>
      </c>
      <c r="B1781" s="13" t="str">
        <f>HYPERLINK("https://shopee.co.id/Secret-Key-Starting-Treatment-Essence-Rose-Edition-size-150-ml-i.224957239.8357345852", "https://shopee.co.id/Secret-Key-Starting-Treatment-Essence-Rose-Edition-size-150-ml-i.224957239.8357345852")</f>
        <v>https://shopee.co.id/Secret-Key-Starting-Treatment-Essence-Rose-Edition-size-150-ml-i.224957239.8357345852</v>
      </c>
      <c r="C1781" s="8" t="s">
        <v>1340</v>
      </c>
      <c r="D1781" s="8" t="s">
        <v>492</v>
      </c>
      <c r="E1781" s="8" t="s">
        <v>12</v>
      </c>
      <c r="F1781" s="8" t="s">
        <v>13</v>
      </c>
      <c r="G1781" s="8" t="s">
        <v>21</v>
      </c>
      <c r="H1781" s="16">
        <v>6.0</v>
      </c>
      <c r="I1781" s="15" t="str">
        <f>SUBSTITUTE(Sheet1!K1781, "Rp", "")</f>
        <v>2160000</v>
      </c>
    </row>
    <row r="1782">
      <c r="A1782" s="8" t="s">
        <v>3470</v>
      </c>
      <c r="B1782" s="13" t="str">
        <f>HYPERLINK("https://shopee.co.id/Serum-Gluta-Marwah-Skin-Care-i.357101711.8741338769", "https://shopee.co.id/Serum-Gluta-Marwah-Skin-Care-i.357101711.8741338769")</f>
        <v>https://shopee.co.id/Serum-Gluta-Marwah-Skin-Care-i.357101711.8741338769</v>
      </c>
      <c r="C1782" s="8" t="s">
        <v>2249</v>
      </c>
      <c r="D1782" s="8" t="s">
        <v>2250</v>
      </c>
      <c r="E1782" s="8" t="s">
        <v>12</v>
      </c>
      <c r="F1782" s="8" t="s">
        <v>13</v>
      </c>
      <c r="G1782" s="8" t="s">
        <v>370</v>
      </c>
      <c r="H1782" s="16">
        <v>6.0</v>
      </c>
      <c r="I1782" s="15" t="str">
        <f>SUBSTITUTE(Sheet1!K1782, "Rp", "")</f>
        <v>300000</v>
      </c>
    </row>
    <row r="1783">
      <c r="A1783" s="8" t="s">
        <v>2114</v>
      </c>
      <c r="B1783" s="13" t="str">
        <f>HYPERLINK("https://shopee.co.id/So-Natural-Red-Peel-Tingle-Serum-35ml-i.317091141.7855801803", "https://shopee.co.id/So-Natural-Red-Peel-Tingle-Serum-35ml-i.317091141.7855801803")</f>
        <v>https://shopee.co.id/So-Natural-Red-Peel-Tingle-Serum-35ml-i.317091141.7855801803</v>
      </c>
      <c r="C1783" s="8" t="s">
        <v>2115</v>
      </c>
      <c r="D1783" s="8" t="s">
        <v>2116</v>
      </c>
      <c r="E1783" s="8" t="s">
        <v>12</v>
      </c>
      <c r="F1783" s="8" t="s">
        <v>13</v>
      </c>
      <c r="G1783" s="8" t="s">
        <v>21</v>
      </c>
      <c r="H1783" s="16">
        <v>6.0</v>
      </c>
      <c r="I1783" s="15" t="str">
        <f>SUBSTITUTE(Sheet1!K1783, "Rp", "")</f>
        <v>2895750</v>
      </c>
    </row>
    <row r="1784">
      <c r="A1784" s="8" t="s">
        <v>2869</v>
      </c>
      <c r="B1784" s="13" t="str">
        <f>HYPERLINK("https://shopee.co.id/Solcare-Extra-White-Serum-i.266902345.5076260378", "https://shopee.co.id/Solcare-Extra-White-Serum-i.266902345.5076260378")</f>
        <v>https://shopee.co.id/Solcare-Extra-White-Serum-i.266902345.5076260378</v>
      </c>
      <c r="C1784" s="8" t="s">
        <v>910</v>
      </c>
      <c r="D1784" s="8" t="s">
        <v>911</v>
      </c>
      <c r="E1784" s="8" t="s">
        <v>12</v>
      </c>
      <c r="F1784" s="8" t="s">
        <v>13</v>
      </c>
      <c r="G1784" s="8" t="s">
        <v>241</v>
      </c>
      <c r="H1784" s="16">
        <v>6.0</v>
      </c>
      <c r="I1784" s="15" t="str">
        <f>SUBSTITUTE(Sheet1!K1784, "Rp", "")</f>
        <v>944400</v>
      </c>
    </row>
    <row r="1785">
      <c r="A1785" s="8" t="s">
        <v>3019</v>
      </c>
      <c r="B1785" s="13" t="str">
        <f>HYPERLINK("https://shopee.co.id/Somethinc-Criously-24-Gold-Essence-20ml-i.825870.8146197603", "https://shopee.co.id/Somethinc-Criously-24-Gold-Essence-20ml-i.825870.8146197603")</f>
        <v>https://shopee.co.id/Somethinc-Criously-24-Gold-Essence-20ml-i.825870.8146197603</v>
      </c>
      <c r="C1785" s="8" t="s">
        <v>45</v>
      </c>
      <c r="D1785" s="8" t="s">
        <v>1184</v>
      </c>
      <c r="E1785" s="8" t="s">
        <v>12</v>
      </c>
      <c r="F1785" s="8" t="s">
        <v>13</v>
      </c>
      <c r="G1785" s="8" t="s">
        <v>21</v>
      </c>
      <c r="H1785" s="16">
        <v>6.0</v>
      </c>
      <c r="I1785" s="15" t="str">
        <f>SUBSTITUTE(Sheet1!K1785, "Rp", "")</f>
        <v>717000</v>
      </c>
    </row>
    <row r="1786">
      <c r="A1786" s="8" t="s">
        <v>2636</v>
      </c>
      <c r="B1786" s="13" t="str">
        <f>HYPERLINK("https://shopee.co.id/Somethinc-CRIOUSLY-24k-GOLD-ESSENCE-40ml-i.110573301.8815961675", "https://shopee.co.id/Somethinc-CRIOUSLY-24k-GOLD-ESSENCE-40ml-i.110573301.8815961675")</f>
        <v>https://shopee.co.id/Somethinc-CRIOUSLY-24k-GOLD-ESSENCE-40ml-i.110573301.8815961675</v>
      </c>
      <c r="C1786" s="8" t="s">
        <v>45</v>
      </c>
      <c r="D1786" s="8" t="s">
        <v>227</v>
      </c>
      <c r="E1786" s="8" t="s">
        <v>12</v>
      </c>
      <c r="F1786" s="8" t="s">
        <v>13</v>
      </c>
      <c r="G1786" s="8" t="s">
        <v>61</v>
      </c>
      <c r="H1786" s="16">
        <v>6.0</v>
      </c>
      <c r="I1786" s="15" t="str">
        <f>SUBSTITUTE(Sheet1!K1786, "Rp", "")</f>
        <v>1353000</v>
      </c>
    </row>
    <row r="1787">
      <c r="A1787" s="8" t="s">
        <v>2985</v>
      </c>
      <c r="B1787" s="13" t="str">
        <f>HYPERLINK("https://shopee.co.id/Somethinc-Holygrail-Multipeptide-Youth-Elixir-20ml-i.825870.9655783065", "https://shopee.co.id/Somethinc-Holygrail-Multipeptide-Youth-Elixir-20ml-i.825870.9655783065")</f>
        <v>https://shopee.co.id/Somethinc-Holygrail-Multipeptide-Youth-Elixir-20ml-i.825870.9655783065</v>
      </c>
      <c r="C1787" s="8" t="s">
        <v>45</v>
      </c>
      <c r="D1787" s="8" t="s">
        <v>1184</v>
      </c>
      <c r="E1787" s="8" t="s">
        <v>12</v>
      </c>
      <c r="F1787" s="8" t="s">
        <v>13</v>
      </c>
      <c r="G1787" s="8" t="s">
        <v>21</v>
      </c>
      <c r="H1787" s="16">
        <v>6.0</v>
      </c>
      <c r="I1787" s="15" t="str">
        <f>SUBSTITUTE(Sheet1!K1787, "Rp", "")</f>
        <v>774000</v>
      </c>
    </row>
    <row r="1788">
      <c r="A1788" s="8" t="s">
        <v>2193</v>
      </c>
      <c r="B1788" s="13" t="str">
        <f>HYPERLINK("https://shopee.co.id/SOMETHINC-Holygrail-Multipeptide-Youth-Elixir-20ml-i.270965687.3488569534", "https://shopee.co.id/SOMETHINC-Holygrail-Multipeptide-Youth-Elixir-20ml-i.270965687.3488569534")</f>
        <v>https://shopee.co.id/SOMETHINC-Holygrail-Multipeptide-Youth-Elixir-20ml-i.270965687.3488569534</v>
      </c>
      <c r="C1788" s="8" t="s">
        <v>45</v>
      </c>
      <c r="D1788" s="8" t="s">
        <v>379</v>
      </c>
      <c r="E1788" s="8" t="s">
        <v>12</v>
      </c>
      <c r="F1788" s="8" t="s">
        <v>13</v>
      </c>
      <c r="G1788" s="8" t="s">
        <v>380</v>
      </c>
      <c r="H1788" s="16">
        <v>6.0</v>
      </c>
      <c r="I1788" s="15" t="str">
        <f>SUBSTITUTE(Sheet1!K1788, "Rp", "")</f>
        <v>774000</v>
      </c>
    </row>
    <row r="1789">
      <c r="A1789" s="8" t="s">
        <v>2880</v>
      </c>
      <c r="B1789" s="13" t="str">
        <f>HYPERLINK("https://shopee.co.id/Somethinc-Salmon-DNA-Marine-Collagen-Elixir-20ml-i.136011044.3048908282", "https://shopee.co.id/Somethinc-Salmon-DNA-Marine-Collagen-Elixir-20ml-i.136011044.3048908282")</f>
        <v>https://shopee.co.id/Somethinc-Salmon-DNA-Marine-Collagen-Elixir-20ml-i.136011044.3048908282</v>
      </c>
      <c r="C1789" s="8" t="s">
        <v>45</v>
      </c>
      <c r="D1789" s="8" t="s">
        <v>632</v>
      </c>
      <c r="E1789" s="8" t="s">
        <v>12</v>
      </c>
      <c r="F1789" s="8" t="s">
        <v>13</v>
      </c>
      <c r="G1789" s="8" t="s">
        <v>21</v>
      </c>
      <c r="H1789" s="16">
        <v>6.0</v>
      </c>
      <c r="I1789" s="15" t="str">
        <f>SUBSTITUTE(Sheet1!K1789, "Rp", "")</f>
        <v>930000</v>
      </c>
    </row>
    <row r="1790">
      <c r="A1790" s="8" t="s">
        <v>3183</v>
      </c>
      <c r="B1790" s="13" t="str">
        <f>HYPERLINK("https://shopee.co.id/The-Aubree-Centella-Herb-Serum-30ml-i.136011044.9512850486", "https://shopee.co.id/The-Aubree-Centella-Herb-Serum-30ml-i.136011044.9512850486")</f>
        <v>https://shopee.co.id/The-Aubree-Centella-Herb-Serum-30ml-i.136011044.9512850486</v>
      </c>
      <c r="C1790" s="8" t="s">
        <v>772</v>
      </c>
      <c r="D1790" s="8" t="s">
        <v>632</v>
      </c>
      <c r="E1790" s="8" t="s">
        <v>12</v>
      </c>
      <c r="F1790" s="8" t="s">
        <v>13</v>
      </c>
      <c r="G1790" s="8" t="s">
        <v>21</v>
      </c>
      <c r="H1790" s="16">
        <v>6.0</v>
      </c>
      <c r="I1790" s="15" t="str">
        <f>SUBSTITUTE(Sheet1!K1790, "Rp", "")</f>
        <v>534600</v>
      </c>
    </row>
    <row r="1791">
      <c r="A1791" s="8" t="s">
        <v>2421</v>
      </c>
      <c r="B1791" s="13" t="str">
        <f>HYPERLINK("https://shopee.co.id/Tje-Fuk-Wrinkle-Essence-i.45550652.722694173", "https://shopee.co.id/Tje-Fuk-Wrinkle-Essence-i.45550652.722694173")</f>
        <v>https://shopee.co.id/Tje-Fuk-Wrinkle-Essence-i.45550652.722694173</v>
      </c>
      <c r="C1791" s="8" t="s">
        <v>2422</v>
      </c>
      <c r="D1791" s="8" t="s">
        <v>2423</v>
      </c>
      <c r="E1791" s="8" t="s">
        <v>12</v>
      </c>
      <c r="F1791" s="8" t="s">
        <v>13</v>
      </c>
      <c r="G1791" s="8" t="s">
        <v>21</v>
      </c>
      <c r="H1791" s="16">
        <v>6.0</v>
      </c>
      <c r="I1791" s="15" t="str">
        <f>SUBSTITUTE(Sheet1!K1791, "Rp", "")</f>
        <v>1889400</v>
      </c>
    </row>
    <row r="1792">
      <c r="A1792" s="8" t="s">
        <v>2944</v>
      </c>
      <c r="B1792" s="13" t="str">
        <f>HYPERLINK("https://shopee.co.id/Tuesbelle-SKIN-GAME-Theory-Of-Everything-Essence-100ml-i.36872574.9085469491", "https://shopee.co.id/Tuesbelle-SKIN-GAME-Theory-Of-Everything-Essence-100ml-i.36872574.9085469491")</f>
        <v>https://shopee.co.id/Tuesbelle-SKIN-GAME-Theory-Of-Everything-Essence-100ml-i.36872574.9085469491</v>
      </c>
      <c r="C1792" s="8" t="s">
        <v>523</v>
      </c>
      <c r="D1792" s="8" t="s">
        <v>969</v>
      </c>
      <c r="E1792" s="8" t="s">
        <v>12</v>
      </c>
      <c r="F1792" s="8" t="s">
        <v>13</v>
      </c>
      <c r="G1792" s="8" t="s">
        <v>115</v>
      </c>
      <c r="H1792" s="16">
        <v>6.0</v>
      </c>
      <c r="I1792" s="15" t="str">
        <f>SUBSTITUTE(Sheet1!K1792, "Rp", "")</f>
        <v>830280</v>
      </c>
    </row>
    <row r="1793">
      <c r="A1793" s="8" t="s">
        <v>3184</v>
      </c>
      <c r="B1793" s="13" t="str">
        <f>HYPERLINK("https://shopee.co.id/Tuesbelle-SOMETHINC-Bakuchiol-Skinpair-Oil-Serum-20ml-i.36872574.9809740270", "https://shopee.co.id/Tuesbelle-SOMETHINC-Bakuchiol-Skinpair-Oil-Serum-20ml-i.36872574.9809740270")</f>
        <v>https://shopee.co.id/Tuesbelle-SOMETHINC-Bakuchiol-Skinpair-Oil-Serum-20ml-i.36872574.9809740270</v>
      </c>
      <c r="C1793" s="8" t="s">
        <v>45</v>
      </c>
      <c r="D1793" s="8" t="s">
        <v>969</v>
      </c>
      <c r="E1793" s="8" t="s">
        <v>12</v>
      </c>
      <c r="F1793" s="8" t="s">
        <v>13</v>
      </c>
      <c r="G1793" s="8" t="s">
        <v>115</v>
      </c>
      <c r="H1793" s="16">
        <v>6.0</v>
      </c>
      <c r="I1793" s="15" t="str">
        <f>SUBSTITUTE(Sheet1!K1793, "Rp", "")</f>
        <v>534000</v>
      </c>
    </row>
    <row r="1794">
      <c r="A1794" s="8" t="s">
        <v>3501</v>
      </c>
      <c r="B1794" s="13" t="str">
        <f>HYPERLINK("https://shopee.co.id/Wardah-Lightening-Facial-Serum-5x5-ml-i.24819895.6410556898", "https://shopee.co.id/Wardah-Lightening-Facial-Serum-5x5-ml-i.24819895.6410556898")</f>
        <v>https://shopee.co.id/Wardah-Lightening-Facial-Serum-5x5-ml-i.24819895.6410556898</v>
      </c>
      <c r="C1794" s="8" t="s">
        <v>169</v>
      </c>
      <c r="D1794" s="8" t="s">
        <v>2491</v>
      </c>
      <c r="E1794" s="8" t="s">
        <v>12</v>
      </c>
      <c r="F1794" s="8" t="s">
        <v>13</v>
      </c>
      <c r="G1794" s="8" t="s">
        <v>1085</v>
      </c>
      <c r="H1794" s="16">
        <v>6.0</v>
      </c>
      <c r="I1794" s="15" t="str">
        <f>SUBSTITUTE(Sheet1!K1794, "Rp", "")</f>
        <v>285000</v>
      </c>
    </row>
    <row r="1795">
      <c r="A1795" s="8" t="s">
        <v>2654</v>
      </c>
      <c r="B1795" s="13" t="str">
        <f>HYPERLINK("https://shopee.co.id/Westcare-Bounce-Glow-Serum-30ml-i.10689.5243227727", "https://shopee.co.id/Westcare-Bounce-Glow-Serum-30ml-i.10689.5243227727")</f>
        <v>https://shopee.co.id/Westcare-Bounce-Glow-Serum-30ml-i.10689.5243227727</v>
      </c>
      <c r="C1795" s="8" t="s">
        <v>1402</v>
      </c>
      <c r="D1795" s="8" t="s">
        <v>745</v>
      </c>
      <c r="E1795" s="8" t="s">
        <v>12</v>
      </c>
      <c r="F1795" s="8" t="s">
        <v>13</v>
      </c>
      <c r="G1795" s="8" t="s">
        <v>61</v>
      </c>
      <c r="H1795" s="16">
        <v>6.0</v>
      </c>
      <c r="I1795" s="15" t="str">
        <f>SUBSTITUTE(Sheet1!K1795, "Rp", "")</f>
        <v>1312500</v>
      </c>
    </row>
    <row r="1796">
      <c r="A1796" s="8" t="s">
        <v>3328</v>
      </c>
      <c r="B1796" s="13" t="str">
        <f>HYPERLINK("https://shopee.co.id/WHITELAB-Hydrating-Face-Essence-60ml-i.270965687.8225312606", "https://shopee.co.id/WHITELAB-Hydrating-Face-Essence-60ml-i.270965687.8225312606")</f>
        <v>https://shopee.co.id/WHITELAB-Hydrating-Face-Essence-60ml-i.270965687.8225312606</v>
      </c>
      <c r="C1796" s="8" t="s">
        <v>59</v>
      </c>
      <c r="D1796" s="8" t="s">
        <v>379</v>
      </c>
      <c r="E1796" s="8" t="s">
        <v>12</v>
      </c>
      <c r="F1796" s="8" t="s">
        <v>13</v>
      </c>
      <c r="G1796" s="8" t="s">
        <v>380</v>
      </c>
      <c r="H1796" s="16">
        <v>6.0</v>
      </c>
      <c r="I1796" s="15" t="str">
        <f>SUBSTITUTE(Sheet1!K1796, "Rp", "")</f>
        <v>402000</v>
      </c>
    </row>
    <row r="1797">
      <c r="A1797" s="8" t="s">
        <v>2909</v>
      </c>
      <c r="B1797" s="13" t="str">
        <f>HYPERLINK("https://shopee.co.id/WMU-Beauty-Radiant-Skin-Serum-Intensive-Brightening-and-Reduce-Spot-Moisturizing-i.85454316.4808922910", "https://shopee.co.id/WMU-Beauty-Radiant-Skin-Serum-Intensive-Brightening-and-Reduce-Spot-Moisturizing-i.85454316.4808922910")</f>
        <v>https://shopee.co.id/WMU-Beauty-Radiant-Skin-Serum-Intensive-Brightening-and-Reduce-Spot-Moisturizing-i.85454316.4808922910</v>
      </c>
      <c r="C1797" s="8" t="s">
        <v>2910</v>
      </c>
      <c r="D1797" s="8" t="s">
        <v>2911</v>
      </c>
      <c r="E1797" s="8" t="s">
        <v>12</v>
      </c>
      <c r="F1797" s="8" t="s">
        <v>13</v>
      </c>
      <c r="G1797" s="8" t="s">
        <v>532</v>
      </c>
      <c r="H1797" s="16">
        <v>6.0</v>
      </c>
      <c r="I1797" s="15" t="str">
        <f>SUBSTITUTE(Sheet1!K1797, "Rp", "")</f>
        <v>890000</v>
      </c>
    </row>
    <row r="1798">
      <c r="A1798" s="8" t="s">
        <v>3512</v>
      </c>
      <c r="B1798" s="13" t="str">
        <f>HYPERLINK("https://shopee.co.id/-Isi-3-Hanasui-Serum-Gold-Whitening-20ml-i.114789399.7616048254", "https://shopee.co.id/-Isi-3-Hanasui-Serum-Gold-Whitening-20ml-i.114789399.7616048254")</f>
        <v>https://shopee.co.id/-Isi-3-Hanasui-Serum-Gold-Whitening-20ml-i.114789399.7616048254</v>
      </c>
      <c r="C1798" s="8" t="s">
        <v>784</v>
      </c>
      <c r="D1798" s="8" t="s">
        <v>2531</v>
      </c>
      <c r="E1798" s="8" t="s">
        <v>12</v>
      </c>
      <c r="F1798" s="8" t="s">
        <v>13</v>
      </c>
      <c r="G1798" s="8" t="s">
        <v>36</v>
      </c>
      <c r="H1798" s="16">
        <v>5.0</v>
      </c>
      <c r="I1798" s="15" t="str">
        <f>SUBSTITUTE(Sheet1!K1798, "Rp", "")</f>
        <v>281595</v>
      </c>
    </row>
    <row r="1799">
      <c r="A1799" s="8" t="s">
        <v>2999</v>
      </c>
      <c r="B1799" s="13" t="str">
        <f>HYPERLINK("https://shopee.co.id/Avoskin-Your-Skin-Bae-Serum-Vitamin-C-3-Niacinamide-2-Mandarin-Orange-Fruit-Extract-30ml-i.50948181.8876567928", "https://shopee.co.id/Avoskin-Your-Skin-Bae-Serum-Vitamin-C-3-Niacinamide-2-Mandarin-Orange-Fruit-Extract-30ml-i.50948181.8876567928")</f>
        <v>https://shopee.co.id/Avoskin-Your-Skin-Bae-Serum-Vitamin-C-3-Niacinamide-2-Mandarin-Orange-Fruit-Extract-30ml-i.50948181.8876567928</v>
      </c>
      <c r="C1799" s="8" t="s">
        <v>83</v>
      </c>
      <c r="D1799" s="8" t="s">
        <v>1129</v>
      </c>
      <c r="E1799" s="8" t="s">
        <v>12</v>
      </c>
      <c r="F1799" s="8" t="s">
        <v>13</v>
      </c>
      <c r="G1799" s="8" t="s">
        <v>1130</v>
      </c>
      <c r="H1799" s="16">
        <v>5.0</v>
      </c>
      <c r="I1799" s="15" t="str">
        <f>SUBSTITUTE(Sheet1!K1799, "Rp", "")</f>
        <v>745000</v>
      </c>
    </row>
    <row r="1800">
      <c r="A1800" s="8" t="s">
        <v>3209</v>
      </c>
      <c r="B1800" s="13" t="str">
        <f>HYPERLINK("https://shopee.co.id/True-to-Skin-Bakuchiol-Anti-Aging-Serum-Natural-Retinol-Water-Based-Serum-20ml-i.50948181.8527562113", "https://shopee.co.id/True-to-Skin-Bakuchiol-Anti-Aging-Serum-Natural-Retinol-Water-Based-Serum-20ml-i.50948181.8527562113")</f>
        <v>https://shopee.co.id/True-to-Skin-Bakuchiol-Anti-Aging-Serum-Natural-Retinol-Water-Based-Serum-20ml-i.50948181.8527562113</v>
      </c>
      <c r="C1800" s="8" t="s">
        <v>666</v>
      </c>
      <c r="D1800" s="8" t="s">
        <v>1129</v>
      </c>
      <c r="E1800" s="8" t="s">
        <v>12</v>
      </c>
      <c r="F1800" s="8" t="s">
        <v>13</v>
      </c>
      <c r="G1800" s="8" t="s">
        <v>1130</v>
      </c>
      <c r="H1800" s="16">
        <v>5.0</v>
      </c>
      <c r="I1800" s="15" t="str">
        <f>SUBSTITUTE(Sheet1!K1800, "Rp", "")</f>
        <v>511700</v>
      </c>
    </row>
    <row r="1801">
      <c r="A1801" s="8" t="s">
        <v>2601</v>
      </c>
      <c r="B1801" s="13" t="str">
        <f>HYPERLINK("https://shopee.co.id/-innisfree-Olive-Real-Serum-50ML-Serum-Wajah-Perawatan-Wajah-i.61504589.5904074509", "https://shopee.co.id/-innisfree-Olive-Real-Serum-50ML-Serum-Wajah-Perawatan-Wajah-i.61504589.5904074509")</f>
        <v>https://shopee.co.id/-innisfree-Olive-Real-Serum-50ML-Serum-Wajah-Perawatan-Wajah-i.61504589.5904074509</v>
      </c>
      <c r="C1801" s="8" t="s">
        <v>294</v>
      </c>
      <c r="D1801" s="8" t="s">
        <v>295</v>
      </c>
      <c r="E1801" s="8" t="s">
        <v>12</v>
      </c>
      <c r="F1801" s="8" t="s">
        <v>13</v>
      </c>
      <c r="G1801" s="8" t="s">
        <v>296</v>
      </c>
      <c r="H1801" s="16">
        <v>5.0</v>
      </c>
      <c r="I1801" s="15" t="str">
        <f>SUBSTITUTE(Sheet1!K1801, "Rp", "")</f>
        <v>1452000</v>
      </c>
    </row>
    <row r="1802">
      <c r="A1802" s="8" t="s">
        <v>3314</v>
      </c>
      <c r="B1802" s="13" t="str">
        <f>HYPERLINK("https://shopee.co.id/Advanced-Serum-Marwah-Skin-Care-i.357101711.7469594301", "https://shopee.co.id/Advanced-Serum-Marwah-Skin-Care-i.357101711.7469594301")</f>
        <v>https://shopee.co.id/Advanced-Serum-Marwah-Skin-Care-i.357101711.7469594301</v>
      </c>
      <c r="C1802" s="8" t="s">
        <v>2249</v>
      </c>
      <c r="D1802" s="8" t="s">
        <v>2250</v>
      </c>
      <c r="E1802" s="8" t="s">
        <v>12</v>
      </c>
      <c r="F1802" s="8" t="s">
        <v>13</v>
      </c>
      <c r="G1802" s="8" t="s">
        <v>370</v>
      </c>
      <c r="H1802" s="16">
        <v>5.0</v>
      </c>
      <c r="I1802" s="15" t="str">
        <f>SUBSTITUTE(Sheet1!K1802, "Rp", "")</f>
        <v>425000</v>
      </c>
    </row>
    <row r="1803">
      <c r="A1803" s="8" t="s">
        <v>2316</v>
      </c>
      <c r="B1803" s="13" t="str">
        <f>HYPERLINK("https://shopee.co.id/Aish-Serum-Paket-5pcs-Bebas-Pilih-Varian-Sertakan-Varian-di-Catatan-i.406360531.2978902328", "https://shopee.co.id/Aish-Serum-Paket-5pcs-Bebas-Pilih-Varian-Sertakan-Varian-di-Catatan-i.406360531.2978902328")</f>
        <v>https://shopee.co.id/Aish-Serum-Paket-5pcs-Bebas-Pilih-Varian-Sertakan-Varian-di-Catatan-i.406360531.2978902328</v>
      </c>
      <c r="C1803" s="8" t="s">
        <v>1015</v>
      </c>
      <c r="D1803" s="8" t="s">
        <v>444</v>
      </c>
      <c r="E1803" s="8" t="s">
        <v>12</v>
      </c>
      <c r="F1803" s="8" t="s">
        <v>13</v>
      </c>
      <c r="G1803" s="8" t="s">
        <v>241</v>
      </c>
      <c r="H1803" s="16">
        <v>5.0</v>
      </c>
      <c r="I1803" s="15" t="str">
        <f>SUBSTITUTE(Sheet1!K1803, "Rp", "")</f>
        <v>2225000</v>
      </c>
    </row>
    <row r="1804">
      <c r="A1804" s="8" t="s">
        <v>3068</v>
      </c>
      <c r="B1804" s="13" t="str">
        <f>HYPERLINK("https://shopee.co.id/AIZEN-Carnosine-Astaxanthin-4-Ultra-Ampoule-i.68111.8237242213", "https://shopee.co.id/AIZEN-Carnosine-Astaxanthin-4-Ultra-Ampoule-i.68111.8237242213")</f>
        <v>https://shopee.co.id/AIZEN-Carnosine-Astaxanthin-4-Ultra-Ampoule-i.68111.8237242213</v>
      </c>
      <c r="C1804" s="8" t="s">
        <v>1325</v>
      </c>
      <c r="D1804" s="8" t="s">
        <v>441</v>
      </c>
      <c r="E1804" s="8" t="s">
        <v>12</v>
      </c>
      <c r="F1804" s="8" t="s">
        <v>13</v>
      </c>
      <c r="G1804" s="8" t="s">
        <v>130</v>
      </c>
      <c r="H1804" s="16">
        <v>5.0</v>
      </c>
      <c r="I1804" s="15" t="str">
        <f>SUBSTITUTE(Sheet1!K1804, "Rp", "")</f>
        <v>660250</v>
      </c>
    </row>
    <row r="1805">
      <c r="A1805" s="8" t="s">
        <v>3186</v>
      </c>
      <c r="B1805" s="13" t="str">
        <f>HYPERLINK("https://shopee.co.id/Aknema-BHA-HA-Serum-20ml--i.10689.3127178401", "https://shopee.co.id/Aknema-BHA-HA-Serum-20ml--i.10689.3127178401")</f>
        <v>https://shopee.co.id/Aknema-BHA-HA-Serum-20ml--i.10689.3127178401</v>
      </c>
      <c r="C1805" s="8" t="s">
        <v>1912</v>
      </c>
      <c r="D1805" s="8" t="s">
        <v>745</v>
      </c>
      <c r="E1805" s="8" t="s">
        <v>12</v>
      </c>
      <c r="F1805" s="8" t="s">
        <v>13</v>
      </c>
      <c r="G1805" s="8" t="s">
        <v>61</v>
      </c>
      <c r="H1805" s="16">
        <v>5.0</v>
      </c>
      <c r="I1805" s="15" t="str">
        <f>SUBSTITUTE(Sheet1!K1805, "Rp", "")</f>
        <v>533400</v>
      </c>
    </row>
    <row r="1806">
      <c r="A1806" s="8" t="s">
        <v>3271</v>
      </c>
      <c r="B1806" s="13" t="str">
        <f>HYPERLINK("https://shopee.co.id/Anzora-Skincare-Serum-Whitening-i.432926497.8782322994", "https://shopee.co.id/Anzora-Skincare-Serum-Whitening-i.432926497.8782322994")</f>
        <v>https://shopee.co.id/Anzora-Skincare-Serum-Whitening-i.432926497.8782322994</v>
      </c>
      <c r="C1806" s="8" t="s">
        <v>3272</v>
      </c>
      <c r="D1806" s="8" t="s">
        <v>3273</v>
      </c>
      <c r="E1806" s="8" t="s">
        <v>12</v>
      </c>
      <c r="F1806" s="8" t="s">
        <v>13</v>
      </c>
      <c r="G1806" s="8" t="s">
        <v>370</v>
      </c>
      <c r="H1806" s="16">
        <v>5.0</v>
      </c>
      <c r="I1806" s="15" t="str">
        <f>SUBSTITUTE(Sheet1!K1806, "Rp", "")</f>
        <v>455000</v>
      </c>
    </row>
    <row r="1807">
      <c r="A1807" s="8" t="s">
        <v>3253</v>
      </c>
      <c r="B1807" s="13" t="str">
        <f>HYPERLINK("https://shopee.co.id/Aquila-Hydra-Glow-Plumping-Supple-Essence-20ml-Hydrating-Kulit-Kering-i.268493582.10812890364", "https://shopee.co.id/Aquila-Hydra-Glow-Plumping-Supple-Essence-20ml-Hydrating-Kulit-Kering-i.268493582.10812890364")</f>
        <v>https://shopee.co.id/Aquila-Hydra-Glow-Plumping-Supple-Essence-20ml-Hydrating-Kulit-Kering-i.268493582.10812890364</v>
      </c>
      <c r="C1807" s="8" t="s">
        <v>1814</v>
      </c>
      <c r="D1807" s="8" t="s">
        <v>2203</v>
      </c>
      <c r="E1807" s="8" t="s">
        <v>12</v>
      </c>
      <c r="F1807" s="8" t="s">
        <v>13</v>
      </c>
      <c r="G1807" s="8" t="s">
        <v>2204</v>
      </c>
      <c r="H1807" s="16">
        <v>5.0</v>
      </c>
      <c r="I1807" s="15" t="str">
        <f>SUBSTITUTE(Sheet1!K1807, "Rp", "")</f>
        <v>475000</v>
      </c>
    </row>
    <row r="1808">
      <c r="A1808" s="8" t="s">
        <v>3629</v>
      </c>
      <c r="B1808" s="13" t="str">
        <f>HYPERLINK("https://shopee.co.id/Azarine-C-White-Refreshing-Essence-Mist-85ml-i.30736001.9152395512", "https://shopee.co.id/Azarine-C-White-Refreshing-Essence-Mist-85ml-i.30736001.9152395512")</f>
        <v>https://shopee.co.id/Azarine-C-White-Refreshing-Essence-Mist-85ml-i.30736001.9152395512</v>
      </c>
      <c r="C1808" s="8" t="s">
        <v>233</v>
      </c>
      <c r="D1808" s="8" t="s">
        <v>335</v>
      </c>
      <c r="E1808" s="8" t="s">
        <v>12</v>
      </c>
      <c r="F1808" s="8" t="s">
        <v>13</v>
      </c>
      <c r="G1808" s="8" t="s">
        <v>36</v>
      </c>
      <c r="H1808" s="16">
        <v>5.0</v>
      </c>
      <c r="I1808" s="15" t="str">
        <f>SUBSTITUTE(Sheet1!K1808, "Rp", "")</f>
        <v>213000</v>
      </c>
    </row>
    <row r="1809">
      <c r="A1809" s="8" t="s">
        <v>3544</v>
      </c>
      <c r="B1809" s="13" t="str">
        <f>HYPERLINK("https://shopee.co.id/Azarine-Lightening-Serum-20ml-C-White-i.136011044.8360134231", "https://shopee.co.id/Azarine-Lightening-Serum-20ml-C-White-i.136011044.8360134231")</f>
        <v>https://shopee.co.id/Azarine-Lightening-Serum-20ml-C-White-i.136011044.8360134231</v>
      </c>
      <c r="C1809" s="8" t="s">
        <v>233</v>
      </c>
      <c r="D1809" s="8" t="s">
        <v>632</v>
      </c>
      <c r="E1809" s="8" t="s">
        <v>12</v>
      </c>
      <c r="F1809" s="8" t="s">
        <v>13</v>
      </c>
      <c r="G1809" s="8" t="s">
        <v>21</v>
      </c>
      <c r="H1809" s="16">
        <v>5.0</v>
      </c>
      <c r="I1809" s="15" t="str">
        <f>SUBSTITUTE(Sheet1!K1809, "Rp", "")</f>
        <v>259500</v>
      </c>
    </row>
    <row r="1810">
      <c r="A1810" s="8" t="s">
        <v>3784</v>
      </c>
      <c r="B1810" s="13" t="str">
        <f>HYPERLINK("https://shopee.co.id/Azarine-Serum-Anti-Acne-Brightening-Serum-20-mL-i.65323877.9979230876", "https://shopee.co.id/Azarine-Serum-Anti-Acne-Brightening-Serum-20-mL-i.65323877.9979230876")</f>
        <v>https://shopee.co.id/Azarine-Serum-Anti-Acne-Brightening-Serum-20-mL-i.65323877.9979230876</v>
      </c>
      <c r="C1810" s="8" t="s">
        <v>233</v>
      </c>
      <c r="D1810" s="8" t="s">
        <v>1600</v>
      </c>
      <c r="E1810" s="8" t="s">
        <v>12</v>
      </c>
      <c r="F1810" s="8" t="s">
        <v>13</v>
      </c>
      <c r="G1810" s="8" t="s">
        <v>296</v>
      </c>
      <c r="H1810" s="16">
        <v>5.0</v>
      </c>
      <c r="I1810" s="15" t="str">
        <f>SUBSTITUTE(Sheet1!K1810, "Rp", "")</f>
        <v>133700</v>
      </c>
    </row>
    <row r="1811">
      <c r="A1811" s="8" t="s">
        <v>1432</v>
      </c>
      <c r="B1811" s="13" t="str">
        <f>HYPERLINK("https://shopee.co.id/Babor-Dr-Babor-Brightening-Skin-Corrector-Ampoule-Treatment-28x2-ML-i.131188140.7256711908", "https://shopee.co.id/Babor-Dr-Babor-Brightening-Skin-Corrector-Ampoule-Treatment-28x2-ML-i.131188140.7256711908")</f>
        <v>https://shopee.co.id/Babor-Dr-Babor-Brightening-Skin-Corrector-Ampoule-Treatment-28x2-ML-i.131188140.7256711908</v>
      </c>
      <c r="C1811" s="8" t="s">
        <v>1433</v>
      </c>
      <c r="D1811" s="8" t="s">
        <v>1434</v>
      </c>
      <c r="E1811" s="8" t="s">
        <v>12</v>
      </c>
      <c r="F1811" s="8" t="s">
        <v>13</v>
      </c>
      <c r="G1811" s="8" t="s">
        <v>61</v>
      </c>
      <c r="H1811" s="16">
        <v>5.0</v>
      </c>
      <c r="I1811" s="15" t="str">
        <f>SUBSTITUTE(Sheet1!K1811, "Rp", "")</f>
        <v>8500000</v>
      </c>
    </row>
    <row r="1812">
      <c r="A1812" s="8" t="s">
        <v>3601</v>
      </c>
      <c r="B1812" s="13" t="str">
        <f>HYPERLINK("https://shopee.co.id/Beautybarme-Emina-Bright-Stuff-Face-Serum-30-Ml-Bpom-i.28781862.8731556252", "https://shopee.co.id/Beautybarme-Emina-Bright-Stuff-Face-Serum-30-Ml-Bpom-i.28781862.8731556252")</f>
        <v>https://shopee.co.id/Beautybarme-Emina-Bright-Stuff-Face-Serum-30-Ml-Bpom-i.28781862.8731556252</v>
      </c>
      <c r="C1812" s="8" t="s">
        <v>209</v>
      </c>
      <c r="D1812" s="8" t="s">
        <v>1189</v>
      </c>
      <c r="E1812" s="8" t="s">
        <v>12</v>
      </c>
      <c r="F1812" s="8" t="s">
        <v>13</v>
      </c>
      <c r="G1812" s="8" t="s">
        <v>1190</v>
      </c>
      <c r="H1812" s="16">
        <v>5.0</v>
      </c>
      <c r="I1812" s="15" t="str">
        <f>SUBSTITUTE(Sheet1!K1812, "Rp", "")</f>
        <v>225000</v>
      </c>
    </row>
    <row r="1813">
      <c r="A1813" s="8" t="s">
        <v>3000</v>
      </c>
      <c r="B1813" s="13" t="str">
        <f>HYPERLINK("https://shopee.co.id/Benton-Snail-Bee-High-Content-Essence-Lotion-Toner-i.136011044.5659266380", "https://shopee.co.id/Benton-Snail-Bee-High-Content-Essence-Lotion-Toner-i.136011044.5659266380")</f>
        <v>https://shopee.co.id/Benton-Snail-Bee-High-Content-Essence-Lotion-Toner-i.136011044.5659266380</v>
      </c>
      <c r="C1813" s="8" t="s">
        <v>456</v>
      </c>
      <c r="D1813" s="8" t="s">
        <v>632</v>
      </c>
      <c r="E1813" s="8" t="s">
        <v>12</v>
      </c>
      <c r="F1813" s="8" t="s">
        <v>13</v>
      </c>
      <c r="G1813" s="8" t="s">
        <v>21</v>
      </c>
      <c r="H1813" s="16">
        <v>5.0</v>
      </c>
      <c r="I1813" s="15" t="str">
        <f>SUBSTITUTE(Sheet1!K1813, "Rp", "")</f>
        <v>745000</v>
      </c>
    </row>
    <row r="1814">
      <c r="A1814" s="8" t="s">
        <v>2851</v>
      </c>
      <c r="B1814" s="13" t="str">
        <f>HYPERLINK("https://shopee.co.id/Bio-Renew-Deep-Cleanser-100-ml-Bio-Renew-Exfoliating-Gel-60-gr-Deep-Clean-Skin-Bundle-i.63822287.5032951608", "https://shopee.co.id/Bio-Renew-Deep-Cleanser-100-ml-Bio-Renew-Exfoliating-Gel-60-gr-Deep-Clean-Skin-Bundle-i.63822287.5032951608")</f>
        <v>https://shopee.co.id/Bio-Renew-Deep-Cleanser-100-ml-Bio-Renew-Exfoliating-Gel-60-gr-Deep-Clean-Skin-Bundle-i.63822287.5032951608</v>
      </c>
      <c r="C1814" s="8" t="s">
        <v>1254</v>
      </c>
      <c r="D1814" s="8" t="s">
        <v>835</v>
      </c>
      <c r="E1814" s="8" t="s">
        <v>12</v>
      </c>
      <c r="F1814" s="8" t="s">
        <v>13</v>
      </c>
      <c r="G1814" s="8" t="s">
        <v>61</v>
      </c>
      <c r="H1814" s="16">
        <v>5.0</v>
      </c>
      <c r="I1814" s="15" t="str">
        <f>SUBSTITUTE(Sheet1!K1814, "Rp", "")</f>
        <v>961400</v>
      </c>
    </row>
    <row r="1815">
      <c r="A1815" s="8" t="s">
        <v>3466</v>
      </c>
      <c r="B1815" s="13" t="str">
        <f>HYPERLINK("https://shopee.co.id/BRASOV-Serum-Wajah-Anti-Penuaan-30ML-Le-Docteur-Anti-Aging-Dengan-Vitamin-C-Face-Serum-BPOM-Halal-XX-i.168925122.5982276733", "https://shopee.co.id/BRASOV-Serum-Wajah-Anti-Penuaan-30ML-Le-Docteur-Anti-Aging-Dengan-Vitamin-C-Face-Serum-BPOM-Halal-XX-i.168925122.5982276733")</f>
        <v>https://shopee.co.id/BRASOV-Serum-Wajah-Anti-Penuaan-30ML-Le-Docteur-Anti-Aging-Dengan-Vitamin-C-Face-Serum-BPOM-Halal-XX-i.168925122.5982276733</v>
      </c>
      <c r="C1815" s="8" t="s">
        <v>3278</v>
      </c>
      <c r="D1815" s="8" t="s">
        <v>3279</v>
      </c>
      <c r="E1815" s="8" t="s">
        <v>12</v>
      </c>
      <c r="F1815" s="8" t="s">
        <v>13</v>
      </c>
      <c r="G1815" s="8" t="s">
        <v>21</v>
      </c>
      <c r="H1815" s="16">
        <v>5.0</v>
      </c>
      <c r="I1815" s="15" t="str">
        <f>SUBSTITUTE(Sheet1!K1815, "Rp", "")</f>
        <v>304000</v>
      </c>
    </row>
    <row r="1816">
      <c r="A1816" s="8" t="s">
        <v>3595</v>
      </c>
      <c r="B1816" s="13" t="str">
        <f>HYPERLINK("https://shopee.co.id/BREYLEE-Serum-Mata-Roll-On-Vitamin-C-Mencerahkan-15ml-i.68111.11902982440", "https://shopee.co.id/BREYLEE-Serum-Mata-Roll-On-Vitamin-C-Mencerahkan-15ml-i.68111.11902982440")</f>
        <v>https://shopee.co.id/BREYLEE-Serum-Mata-Roll-On-Vitamin-C-Mencerahkan-15ml-i.68111.11902982440</v>
      </c>
      <c r="C1816" s="8" t="s">
        <v>852</v>
      </c>
      <c r="D1816" s="8" t="s">
        <v>441</v>
      </c>
      <c r="E1816" s="8" t="s">
        <v>12</v>
      </c>
      <c r="F1816" s="8" t="s">
        <v>13</v>
      </c>
      <c r="G1816" s="8" t="s">
        <v>130</v>
      </c>
      <c r="H1816" s="16">
        <v>5.0</v>
      </c>
      <c r="I1816" s="15" t="str">
        <f>SUBSTITUTE(Sheet1!K1816, "Rp", "")</f>
        <v>228000</v>
      </c>
    </row>
    <row r="1817">
      <c r="A1817" s="8" t="s">
        <v>3599</v>
      </c>
      <c r="B1817" s="13" t="str">
        <f>HYPERLINK("https://shopee.co.id/BREYLEE-Serum-Vitamin-C-Mencerahkan-Wajah-17ml-i.68111.10802966794", "https://shopee.co.id/BREYLEE-Serum-Vitamin-C-Mencerahkan-Wajah-17ml-i.68111.10802966794")</f>
        <v>https://shopee.co.id/BREYLEE-Serum-Vitamin-C-Mencerahkan-Wajah-17ml-i.68111.10802966794</v>
      </c>
      <c r="C1817" s="8" t="s">
        <v>852</v>
      </c>
      <c r="D1817" s="8" t="s">
        <v>441</v>
      </c>
      <c r="E1817" s="8" t="s">
        <v>12</v>
      </c>
      <c r="F1817" s="8" t="s">
        <v>13</v>
      </c>
      <c r="G1817" s="8" t="s">
        <v>130</v>
      </c>
      <c r="H1817" s="16">
        <v>5.0</v>
      </c>
      <c r="I1817" s="15" t="str">
        <f>SUBSTITUTE(Sheet1!K1817, "Rp", "")</f>
        <v>227150</v>
      </c>
    </row>
    <row r="1818">
      <c r="A1818" s="8" t="s">
        <v>3008</v>
      </c>
      <c r="B1818" s="13" t="str">
        <f>HYPERLINK("https://shopee.co.id/Calysta-Serum-Pearl-Luminous-i.3188555.1878241619", "https://shopee.co.id/Calysta-Serum-Pearl-Luminous-i.3188555.1878241619")</f>
        <v>https://shopee.co.id/Calysta-Serum-Pearl-Luminous-i.3188555.1878241619</v>
      </c>
      <c r="C1818" s="8" t="s">
        <v>1691</v>
      </c>
      <c r="D1818" s="8" t="s">
        <v>1692</v>
      </c>
      <c r="E1818" s="8" t="s">
        <v>12</v>
      </c>
      <c r="F1818" s="8" t="s">
        <v>13</v>
      </c>
      <c r="G1818" s="8" t="s">
        <v>241</v>
      </c>
      <c r="H1818" s="16">
        <v>5.0</v>
      </c>
      <c r="I1818" s="15" t="str">
        <f>SUBSTITUTE(Sheet1!K1818, "Rp", "")</f>
        <v>735000</v>
      </c>
    </row>
    <row r="1819">
      <c r="A1819" s="8" t="s">
        <v>2866</v>
      </c>
      <c r="B1819" s="13" t="str">
        <f>HYPERLINK("https://shopee.co.id/COSRX-Hyaluronic-Acid-Hydra-Power-Essence-100ml-i.270965687.5836898146", "https://shopee.co.id/COSRX-Hyaluronic-Acid-Hydra-Power-Essence-100ml-i.270965687.5836898146")</f>
        <v>https://shopee.co.id/COSRX-Hyaluronic-Acid-Hydra-Power-Essence-100ml-i.270965687.5836898146</v>
      </c>
      <c r="C1819" s="8" t="s">
        <v>305</v>
      </c>
      <c r="D1819" s="8" t="s">
        <v>379</v>
      </c>
      <c r="E1819" s="8" t="s">
        <v>12</v>
      </c>
      <c r="F1819" s="8" t="s">
        <v>13</v>
      </c>
      <c r="G1819" s="8" t="s">
        <v>380</v>
      </c>
      <c r="H1819" s="16">
        <v>5.0</v>
      </c>
      <c r="I1819" s="15" t="str">
        <f>SUBSTITUTE(Sheet1!K1819, "Rp", "")</f>
        <v>945000</v>
      </c>
    </row>
    <row r="1820">
      <c r="A1820" s="8" t="s">
        <v>3059</v>
      </c>
      <c r="B1820" s="13" t="str">
        <f>HYPERLINK("https://shopee.co.id/Dear-Me-Beauty-5-Inoceramide-Ceramide-Pomegranate-Extract-Face-Serum-32ml-i.270965687.11707221937", "https://shopee.co.id/Dear-Me-Beauty-5-Inoceramide-Ceramide-Pomegranate-Extract-Face-Serum-32ml-i.270965687.11707221937")</f>
        <v>https://shopee.co.id/Dear-Me-Beauty-5-Inoceramide-Ceramide-Pomegranate-Extract-Face-Serum-32ml-i.270965687.11707221937</v>
      </c>
      <c r="C1820" s="8" t="s">
        <v>70</v>
      </c>
      <c r="D1820" s="8" t="s">
        <v>379</v>
      </c>
      <c r="E1820" s="8" t="s">
        <v>12</v>
      </c>
      <c r="F1820" s="8" t="s">
        <v>13</v>
      </c>
      <c r="G1820" s="8" t="s">
        <v>380</v>
      </c>
      <c r="H1820" s="16">
        <v>5.0</v>
      </c>
      <c r="I1820" s="15" t="str">
        <f>SUBSTITUTE(Sheet1!K1820, "Rp", "")</f>
        <v>670500</v>
      </c>
    </row>
    <row r="1821">
      <c r="A1821" s="8" t="s">
        <v>2661</v>
      </c>
      <c r="B1821" s="13" t="str">
        <f>HYPERLINK("https://shopee.co.id/Dear-Me-Beauty-Paket-Serum-Anti-Komedo-Anti-Beruntusan-32ml-BHA-12-ml-Retinol-i.45495764.13511653788", "https://shopee.co.id/Dear-Me-Beauty-Paket-Serum-Anti-Komedo-Anti-Beruntusan-32ml-BHA-12-ml-Retinol-i.45495764.13511653788")</f>
        <v>https://shopee.co.id/Dear-Me-Beauty-Paket-Serum-Anti-Komedo-Anti-Beruntusan-32ml-BHA-12-ml-Retinol-i.45495764.13511653788</v>
      </c>
      <c r="C1821" s="8" t="s">
        <v>70</v>
      </c>
      <c r="D1821" s="8" t="s">
        <v>71</v>
      </c>
      <c r="E1821" s="8" t="s">
        <v>12</v>
      </c>
      <c r="F1821" s="8" t="s">
        <v>13</v>
      </c>
      <c r="G1821" s="8" t="s">
        <v>61</v>
      </c>
      <c r="H1821" s="16">
        <v>5.0</v>
      </c>
      <c r="I1821" s="15" t="str">
        <f>SUBSTITUTE(Sheet1!K1821, "Rp", "")</f>
        <v>1299800</v>
      </c>
    </row>
    <row r="1822">
      <c r="A1822" s="8" t="s">
        <v>2712</v>
      </c>
      <c r="B1822" s="13" t="str">
        <f>HYPERLINK("https://shopee.co.id/Dnars-Flawless-Serum-With-Vitamin-C-Official-Shop--i.93727097.2310398852", "https://shopee.co.id/Dnars-Flawless-Serum-With-Vitamin-C-Official-Shop--i.93727097.2310398852")</f>
        <v>https://shopee.co.id/Dnars-Flawless-Serum-With-Vitamin-C-Official-Shop--i.93727097.2310398852</v>
      </c>
      <c r="C1822" s="8" t="s">
        <v>2713</v>
      </c>
      <c r="D1822" s="8" t="s">
        <v>2714</v>
      </c>
      <c r="E1822" s="8" t="s">
        <v>12</v>
      </c>
      <c r="F1822" s="8" t="s">
        <v>13</v>
      </c>
      <c r="G1822" s="8" t="s">
        <v>1048</v>
      </c>
      <c r="H1822" s="16">
        <v>5.0</v>
      </c>
      <c r="I1822" s="15" t="str">
        <f>SUBSTITUTE(Sheet1!K1822, "Rp", "")</f>
        <v>1199500</v>
      </c>
    </row>
    <row r="1823">
      <c r="A1823" s="8" t="s">
        <v>3010</v>
      </c>
      <c r="B1823" s="13" t="str">
        <f>HYPERLINK("https://shopee.co.id/Dr-Ceuracle-Ac-Care-Solution-Blue-One-Size-50-ml-Edit-by-Sociolla-i.224957239.4533280631", "https://shopee.co.id/Dr-Ceuracle-Ac-Care-Solution-Blue-One-Size-50-ml-Edit-by-Sociolla-i.224957239.4533280631")</f>
        <v>https://shopee.co.id/Dr-Ceuracle-Ac-Care-Solution-Blue-One-Size-50-ml-Edit-by-Sociolla-i.224957239.4533280631</v>
      </c>
      <c r="C1823" s="8" t="s">
        <v>3011</v>
      </c>
      <c r="D1823" s="8" t="s">
        <v>492</v>
      </c>
      <c r="E1823" s="8" t="s">
        <v>12</v>
      </c>
      <c r="F1823" s="8" t="s">
        <v>13</v>
      </c>
      <c r="G1823" s="8" t="s">
        <v>21</v>
      </c>
      <c r="H1823" s="16">
        <v>5.0</v>
      </c>
      <c r="I1823" s="15" t="str">
        <f>SUBSTITUTE(Sheet1!K1823, "Rp", "")</f>
        <v>731250</v>
      </c>
    </row>
    <row r="1824">
      <c r="A1824" s="8" t="s">
        <v>2801</v>
      </c>
      <c r="B1824" s="13" t="str">
        <f>HYPERLINK("https://shopee.co.id/Essenherb-Tea-Tree-Ampoule-50-ml-Ampul-Wajah-untuk-kulit-berminyak-dan-Jerawat-Skincare-i.224957239.3431791088", "https://shopee.co.id/Essenherb-Tea-Tree-Ampoule-50-ml-Ampul-Wajah-untuk-kulit-berminyak-dan-Jerawat-Skincare-i.224957239.3431791088")</f>
        <v>https://shopee.co.id/Essenherb-Tea-Tree-Ampoule-50-ml-Ampul-Wajah-untuk-kulit-berminyak-dan-Jerawat-Skincare-i.224957239.3431791088</v>
      </c>
      <c r="C1824" s="8" t="s">
        <v>2802</v>
      </c>
      <c r="D1824" s="8" t="s">
        <v>492</v>
      </c>
      <c r="E1824" s="8" t="s">
        <v>12</v>
      </c>
      <c r="F1824" s="8" t="s">
        <v>13</v>
      </c>
      <c r="G1824" s="8" t="s">
        <v>21</v>
      </c>
      <c r="H1824" s="16">
        <v>5.0</v>
      </c>
      <c r="I1824" s="15" t="str">
        <f>SUBSTITUTE(Sheet1!K1824, "Rp", "")</f>
        <v>1061900</v>
      </c>
    </row>
    <row r="1825">
      <c r="A1825" s="8" t="s">
        <v>3138</v>
      </c>
      <c r="B1825" s="13" t="str">
        <f>HYPERLINK("https://shopee.co.id/Everwhite-Cica-Soothing-Serum-30ml-Centella-Asiatica-Acne-Care-Acne-Series-i.136011044.8242155076", "https://shopee.co.id/Everwhite-Cica-Soothing-Serum-30ml-Centella-Asiatica-Acne-Care-Acne-Series-i.136011044.8242155076")</f>
        <v>https://shopee.co.id/Everwhite-Cica-Soothing-Serum-30ml-Centella-Asiatica-Acne-Care-Acne-Series-i.136011044.8242155076</v>
      </c>
      <c r="C1825" s="8" t="s">
        <v>157</v>
      </c>
      <c r="D1825" s="8" t="s">
        <v>632</v>
      </c>
      <c r="E1825" s="8" t="s">
        <v>12</v>
      </c>
      <c r="F1825" s="8" t="s">
        <v>13</v>
      </c>
      <c r="G1825" s="8" t="s">
        <v>21</v>
      </c>
      <c r="H1825" s="16">
        <v>5.0</v>
      </c>
      <c r="I1825" s="15" t="str">
        <f>SUBSTITUTE(Sheet1!K1825, "Rp", "")</f>
        <v>585000</v>
      </c>
    </row>
    <row r="1826">
      <c r="A1826" s="8" t="s">
        <v>3149</v>
      </c>
      <c r="B1826" s="13" t="str">
        <f>HYPERLINK("https://shopee.co.id/EVERWHITE-NIACINAMIDE-BRIGHTENING-SERUM-20-ML-i.50972887.13201219335", "https://shopee.co.id/EVERWHITE-NIACINAMIDE-BRIGHTENING-SERUM-20-ML-i.50972887.13201219335")</f>
        <v>https://shopee.co.id/EVERWHITE-NIACINAMIDE-BRIGHTENING-SERUM-20-ML-i.50972887.13201219335</v>
      </c>
      <c r="C1826" s="8" t="s">
        <v>157</v>
      </c>
      <c r="D1826" s="8" t="s">
        <v>552</v>
      </c>
      <c r="E1826" s="8" t="s">
        <v>12</v>
      </c>
      <c r="F1826" s="8" t="s">
        <v>13</v>
      </c>
      <c r="G1826" s="8" t="s">
        <v>61</v>
      </c>
      <c r="H1826" s="16">
        <v>5.0</v>
      </c>
      <c r="I1826" s="15" t="str">
        <f>SUBSTITUTE(Sheet1!K1826, "Rp", "")</f>
        <v>566280</v>
      </c>
    </row>
    <row r="1827">
      <c r="A1827" s="8" t="s">
        <v>3128</v>
      </c>
      <c r="B1827" s="13" t="str">
        <f>HYPERLINK("https://shopee.co.id/FABIL-Intensive-Acne-Care-Serum-with-Bidara-12-5ml-EXP-11-21--i.3990192.2666082518", "https://shopee.co.id/FABIL-Intensive-Acne-Care-Serum-with-Bidara-12-5ml-EXP-11-21--i.3990192.2666082518")</f>
        <v>https://shopee.co.id/FABIL-Intensive-Acne-Care-Serum-with-Bidara-12-5ml-EXP-11-21--i.3990192.2666082518</v>
      </c>
      <c r="C1827" s="8" t="s">
        <v>2579</v>
      </c>
      <c r="D1827" s="8" t="s">
        <v>2580</v>
      </c>
      <c r="E1827" s="8" t="s">
        <v>12</v>
      </c>
      <c r="F1827" s="8" t="s">
        <v>13</v>
      </c>
      <c r="G1827" s="8" t="s">
        <v>1085</v>
      </c>
      <c r="H1827" s="16">
        <v>5.0</v>
      </c>
      <c r="I1827" s="15" t="str">
        <f>SUBSTITUTE(Sheet1!K1827, "Rp", "")</f>
        <v>595000</v>
      </c>
    </row>
    <row r="1828">
      <c r="A1828" s="8" t="s">
        <v>2310</v>
      </c>
      <c r="B1828" s="13" t="str">
        <f>HYPERLINK("https://shopee.co.id/Femmue-Ideal-Intense-i.293180359.7773318262", "https://shopee.co.id/Femmue-Ideal-Intense-i.293180359.7773318262")</f>
        <v>https://shopee.co.id/Femmue-Ideal-Intense-i.293180359.7773318262</v>
      </c>
      <c r="C1828" s="8" t="s">
        <v>2286</v>
      </c>
      <c r="D1828" s="8" t="s">
        <v>2287</v>
      </c>
      <c r="E1828" s="8" t="s">
        <v>12</v>
      </c>
      <c r="F1828" s="8" t="s">
        <v>13</v>
      </c>
      <c r="G1828" s="8" t="s">
        <v>61</v>
      </c>
      <c r="H1828" s="16">
        <v>5.0</v>
      </c>
      <c r="I1828" s="15" t="str">
        <f>SUBSTITUTE(Sheet1!K1828, "Rp", "")</f>
        <v>2234400</v>
      </c>
    </row>
    <row r="1829">
      <c r="A1829" s="8" t="s">
        <v>3012</v>
      </c>
      <c r="B1829" s="13" t="str">
        <f>HYPERLINK("https://shopee.co.id/FIRST-LAB-Probiotic-REVERSE-Skin-Emulsion-100ml-i.109981258.5351939603", "https://shopee.co.id/FIRST-LAB-Probiotic-REVERSE-Skin-Emulsion-100ml-i.109981258.5351939603")</f>
        <v>https://shopee.co.id/FIRST-LAB-Probiotic-REVERSE-Skin-Emulsion-100ml-i.109981258.5351939603</v>
      </c>
      <c r="C1829" s="8" t="s">
        <v>1617</v>
      </c>
      <c r="D1829" s="8" t="s">
        <v>2576</v>
      </c>
      <c r="E1829" s="8" t="s">
        <v>12</v>
      </c>
      <c r="F1829" s="8" t="s">
        <v>13</v>
      </c>
      <c r="G1829" s="8" t="s">
        <v>21</v>
      </c>
      <c r="H1829" s="16">
        <v>5.0</v>
      </c>
      <c r="I1829" s="15" t="str">
        <f>SUBSTITUTE(Sheet1!K1829, "Rp", "")</f>
        <v>729630</v>
      </c>
    </row>
    <row r="1830">
      <c r="A1830" s="8" t="s">
        <v>2699</v>
      </c>
      <c r="B1830" s="13" t="str">
        <f>HYPERLINK("https://shopee.co.id/FSS-Renew-Retinol-2-5-Serum-Concentrate-30ml-i.825870.1702518389", "https://shopee.co.id/FSS-Renew-Retinol-2-5-Serum-Concentrate-30ml-i.825870.1702518389")</f>
        <v>https://shopee.co.id/FSS-Renew-Retinol-2-5-Serum-Concentrate-30ml-i.825870.1702518389</v>
      </c>
      <c r="C1830" s="8" t="s">
        <v>2700</v>
      </c>
      <c r="D1830" s="8" t="s">
        <v>1184</v>
      </c>
      <c r="E1830" s="8" t="s">
        <v>12</v>
      </c>
      <c r="F1830" s="8" t="s">
        <v>13</v>
      </c>
      <c r="G1830" s="8" t="s">
        <v>21</v>
      </c>
      <c r="H1830" s="16">
        <v>5.0</v>
      </c>
      <c r="I1830" s="15" t="str">
        <f>SUBSTITUTE(Sheet1!K1830, "Rp", "")</f>
        <v>1228500</v>
      </c>
    </row>
    <row r="1831">
      <c r="A1831" s="8" t="s">
        <v>3538</v>
      </c>
      <c r="B1831" s="13" t="str">
        <f>HYPERLINK("https://shopee.co.id/Garnier-Krim-Siang-Light-Complete-White-Speed-Serum-Day-Cream-Extra-SPF-36-PA-50-mL-i.65323877.8479913873", "https://shopee.co.id/Garnier-Krim-Siang-Light-Complete-White-Speed-Serum-Day-Cream-Extra-SPF-36-PA-50-mL-i.65323877.8479913873")</f>
        <v>https://shopee.co.id/Garnier-Krim-Siang-Light-Complete-White-Speed-Serum-Day-Cream-Extra-SPF-36-PA-50-mL-i.65323877.8479913873</v>
      </c>
      <c r="C1831" s="8" t="s">
        <v>74</v>
      </c>
      <c r="D1831" s="8" t="s">
        <v>1600</v>
      </c>
      <c r="E1831" s="8" t="s">
        <v>12</v>
      </c>
      <c r="F1831" s="8" t="s">
        <v>13</v>
      </c>
      <c r="G1831" s="8" t="s">
        <v>296</v>
      </c>
      <c r="H1831" s="16">
        <v>5.0</v>
      </c>
      <c r="I1831" s="15" t="str">
        <f>SUBSTITUTE(Sheet1!K1831, "Rp", "")</f>
        <v>266300</v>
      </c>
    </row>
    <row r="1832">
      <c r="A1832" s="8" t="s">
        <v>3245</v>
      </c>
      <c r="B1832" s="13" t="str">
        <f>HYPERLINK("https://shopee.co.id/Garnier-Sakura-White-Essence-120ml-i.30736001.1969394551", "https://shopee.co.id/Garnier-Sakura-White-Essence-120ml-i.30736001.1969394551")</f>
        <v>https://shopee.co.id/Garnier-Sakura-White-Essence-120ml-i.30736001.1969394551</v>
      </c>
      <c r="C1832" s="8" t="s">
        <v>74</v>
      </c>
      <c r="D1832" s="8" t="s">
        <v>335</v>
      </c>
      <c r="E1832" s="8" t="s">
        <v>12</v>
      </c>
      <c r="F1832" s="8" t="s">
        <v>13</v>
      </c>
      <c r="G1832" s="8" t="s">
        <v>36</v>
      </c>
      <c r="H1832" s="16">
        <v>5.0</v>
      </c>
      <c r="I1832" s="15" t="str">
        <f>SUBSTITUTE(Sheet1!K1832, "Rp", "")</f>
        <v>487300</v>
      </c>
    </row>
    <row r="1833">
      <c r="A1833" s="8" t="s">
        <v>3753</v>
      </c>
      <c r="B1833" s="13" t="str">
        <f>HYPERLINK("https://shopee.co.id/GARNIER-Skin-Naturals-Light-Comp-Bright-up-15ml-i.30736001.1043871979", "https://shopee.co.id/GARNIER-Skin-Naturals-Light-Comp-Bright-up-15ml-i.30736001.1043871979")</f>
        <v>https://shopee.co.id/GARNIER-Skin-Naturals-Light-Comp-Bright-up-15ml-i.30736001.1043871979</v>
      </c>
      <c r="C1833" s="8" t="s">
        <v>74</v>
      </c>
      <c r="D1833" s="8" t="s">
        <v>335</v>
      </c>
      <c r="E1833" s="8" t="s">
        <v>12</v>
      </c>
      <c r="F1833" s="8" t="s">
        <v>13</v>
      </c>
      <c r="G1833" s="8" t="s">
        <v>36</v>
      </c>
      <c r="H1833" s="16">
        <v>5.0</v>
      </c>
      <c r="I1833" s="15" t="str">
        <f>SUBSTITUTE(Sheet1!K1833, "Rp", "")</f>
        <v>149300</v>
      </c>
    </row>
    <row r="1834">
      <c r="A1834" s="8" t="s">
        <v>2950</v>
      </c>
      <c r="B1834" s="13" t="str">
        <f>HYPERLINK("https://shopee.co.id/GLOSKIN-Clear-Xpert-Serum-i.206769167.8039735489", "https://shopee.co.id/GLOSKIN-Clear-Xpert-Serum-i.206769167.8039735489")</f>
        <v>https://shopee.co.id/GLOSKIN-Clear-Xpert-Serum-i.206769167.8039735489</v>
      </c>
      <c r="C1834" s="8" t="s">
        <v>2256</v>
      </c>
      <c r="D1834" s="8" t="s">
        <v>2257</v>
      </c>
      <c r="E1834" s="8" t="s">
        <v>12</v>
      </c>
      <c r="F1834" s="8" t="s">
        <v>13</v>
      </c>
      <c r="G1834" s="8" t="s">
        <v>98</v>
      </c>
      <c r="H1834" s="16">
        <v>5.0</v>
      </c>
      <c r="I1834" s="15" t="str">
        <f>SUBSTITUTE(Sheet1!K1834, "Rp", "")</f>
        <v>825000</v>
      </c>
    </row>
    <row r="1835">
      <c r="A1835" s="8" t="s">
        <v>2951</v>
      </c>
      <c r="B1835" s="13" t="str">
        <f>HYPERLINK("https://shopee.co.id/GLOSKIN-Hydra-Xpert-Serum-i.206769167.8039740027", "https://shopee.co.id/GLOSKIN-Hydra-Xpert-Serum-i.206769167.8039740027")</f>
        <v>https://shopee.co.id/GLOSKIN-Hydra-Xpert-Serum-i.206769167.8039740027</v>
      </c>
      <c r="C1835" s="8" t="s">
        <v>2256</v>
      </c>
      <c r="D1835" s="8" t="s">
        <v>2257</v>
      </c>
      <c r="E1835" s="8" t="s">
        <v>12</v>
      </c>
      <c r="F1835" s="8" t="s">
        <v>13</v>
      </c>
      <c r="G1835" s="8" t="s">
        <v>98</v>
      </c>
      <c r="H1835" s="16">
        <v>5.0</v>
      </c>
      <c r="I1835" s="15" t="str">
        <f>SUBSTITUTE(Sheet1!K1835, "Rp", "")</f>
        <v>825000</v>
      </c>
    </row>
    <row r="1836">
      <c r="A1836" s="8" t="s">
        <v>3341</v>
      </c>
      <c r="B1836" s="13" t="str">
        <f>HYPERLINK("https://shopee.co.id/GLOWINC-POTION-HYDRALIVE-Moisture-Lock-Serum-i.487788169.11332262515", "https://shopee.co.id/GLOWINC-POTION-HYDRALIVE-Moisture-Lock-Serum-i.487788169.11332262515")</f>
        <v>https://shopee.co.id/GLOWINC-POTION-HYDRALIVE-Moisture-Lock-Serum-i.487788169.11332262515</v>
      </c>
      <c r="C1836" s="8" t="s">
        <v>1898</v>
      </c>
      <c r="D1836" s="8" t="s">
        <v>1899</v>
      </c>
      <c r="E1836" s="8" t="s">
        <v>12</v>
      </c>
      <c r="F1836" s="8" t="s">
        <v>13</v>
      </c>
      <c r="G1836" s="8" t="s">
        <v>21</v>
      </c>
      <c r="H1836" s="16">
        <v>5.0</v>
      </c>
      <c r="I1836" s="15" t="str">
        <f>SUBSTITUTE(Sheet1!K1836, "Rp", "")</f>
        <v>395000</v>
      </c>
    </row>
    <row r="1837">
      <c r="A1837" s="8" t="s">
        <v>2512</v>
      </c>
      <c r="B1837" s="13" t="str">
        <f>HYPERLINK("https://shopee.co.id/Glowlabs-Glo-C-Gang-Gentle-Exfoliator-Essence-Vit-C-Serum-Acne-Prone-Moisturizer--i.336869851.9409196074", "https://shopee.co.id/Glowlabs-Glo-C-Gang-Gentle-Exfoliator-Essence-Vit-C-Serum-Acne-Prone-Moisturizer--i.336869851.9409196074")</f>
        <v>https://shopee.co.id/Glowlabs-Glo-C-Gang-Gentle-Exfoliator-Essence-Vit-C-Serum-Acne-Prone-Moisturizer--i.336869851.9409196074</v>
      </c>
      <c r="C1837" s="8" t="s">
        <v>407</v>
      </c>
      <c r="D1837" s="8" t="s">
        <v>408</v>
      </c>
      <c r="E1837" s="8" t="s">
        <v>12</v>
      </c>
      <c r="F1837" s="8" t="s">
        <v>13</v>
      </c>
      <c r="G1837" s="8" t="s">
        <v>409</v>
      </c>
      <c r="H1837" s="16">
        <v>5.0</v>
      </c>
      <c r="I1837" s="15" t="str">
        <f>SUBSTITUTE(Sheet1!K1837, "Rp", "")</f>
        <v>1678325</v>
      </c>
    </row>
    <row r="1838">
      <c r="A1838" s="8" t="s">
        <v>2973</v>
      </c>
      <c r="B1838" s="13" t="str">
        <f>HYPERLINK("https://shopee.co.id/Hado-Labo-Ultimate-Anti-Aging-Essence-30-Gr-i.30736001.7837708436", "https://shopee.co.id/Hado-Labo-Ultimate-Anti-Aging-Essence-30-Gr-i.30736001.7837708436")</f>
        <v>https://shopee.co.id/Hado-Labo-Ultimate-Anti-Aging-Essence-30-Gr-i.30736001.7837708436</v>
      </c>
      <c r="C1838" s="8" t="s">
        <v>2090</v>
      </c>
      <c r="D1838" s="8" t="s">
        <v>335</v>
      </c>
      <c r="E1838" s="8" t="s">
        <v>12</v>
      </c>
      <c r="F1838" s="8" t="s">
        <v>13</v>
      </c>
      <c r="G1838" s="8" t="s">
        <v>36</v>
      </c>
      <c r="H1838" s="16">
        <v>5.0</v>
      </c>
      <c r="I1838" s="15" t="str">
        <f>SUBSTITUTE(Sheet1!K1838, "Rp", "")</f>
        <v>800000</v>
      </c>
    </row>
    <row r="1839">
      <c r="A1839" s="8" t="s">
        <v>3580</v>
      </c>
      <c r="B1839" s="13" t="str">
        <f>HYPERLINK("https://shopee.co.id/Hanasui-Vitamin-C-Serum-20Ml-Serum-Wajah-Pelembab-Wajah-Vitamin-Wajah-Isi-3--i.175375997.5000249126", "https://shopee.co.id/Hanasui-Vitamin-C-Serum-20Ml-Serum-Wajah-Pelembab-Wajah-Vitamin-Wajah-Isi-3--i.175375997.5000249126")</f>
        <v>https://shopee.co.id/Hanasui-Vitamin-C-Serum-20Ml-Serum-Wajah-Pelembab-Wajah-Vitamin-Wajah-Isi-3--i.175375997.5000249126</v>
      </c>
      <c r="C1839" s="8" t="s">
        <v>784</v>
      </c>
      <c r="D1839" s="8" t="s">
        <v>2123</v>
      </c>
      <c r="E1839" s="8" t="s">
        <v>12</v>
      </c>
      <c r="F1839" s="8" t="s">
        <v>13</v>
      </c>
      <c r="G1839" s="8" t="s">
        <v>36</v>
      </c>
      <c r="H1839" s="16">
        <v>5.0</v>
      </c>
      <c r="I1839" s="15" t="str">
        <f>SUBSTITUTE(Sheet1!K1839, "Rp", "")</f>
        <v>237500</v>
      </c>
    </row>
    <row r="1840">
      <c r="A1840" s="8" t="s">
        <v>2677</v>
      </c>
      <c r="B1840" s="13" t="str">
        <f>HYPERLINK("https://shopee.co.id/Huxley-Essence-Grab-Water-i.125116082.2753084376", "https://shopee.co.id/Huxley-Essence-Grab-Water-i.125116082.2753084376")</f>
        <v>https://shopee.co.id/Huxley-Essence-Grab-Water-i.125116082.2753084376</v>
      </c>
      <c r="C1840" s="8" t="s">
        <v>1635</v>
      </c>
      <c r="D1840" s="8" t="s">
        <v>713</v>
      </c>
      <c r="E1840" s="8" t="s">
        <v>12</v>
      </c>
      <c r="F1840" s="8" t="s">
        <v>13</v>
      </c>
      <c r="G1840" s="8" t="s">
        <v>61</v>
      </c>
      <c r="H1840" s="16">
        <v>5.0</v>
      </c>
      <c r="I1840" s="15" t="str">
        <f>SUBSTITUTE(Sheet1!K1840, "Rp", "")</f>
        <v>1274000</v>
      </c>
    </row>
    <row r="1841">
      <c r="A1841" s="8" t="s">
        <v>2591</v>
      </c>
      <c r="B1841" s="13" t="str">
        <f>HYPERLINK("https://shopee.co.id/Hya-Intensive-Whitening-Pre-serum-i.118878742.3165856176", "https://shopee.co.id/Hya-Intensive-Whitening-Pre-serum-i.118878742.3165856176")</f>
        <v>https://shopee.co.id/Hya-Intensive-Whitening-Pre-serum-i.118878742.3165856176</v>
      </c>
      <c r="C1841" s="8" t="s">
        <v>2592</v>
      </c>
      <c r="D1841" s="8" t="s">
        <v>2593</v>
      </c>
      <c r="E1841" s="8" t="s">
        <v>12</v>
      </c>
      <c r="F1841" s="8" t="s">
        <v>13</v>
      </c>
      <c r="G1841" s="8" t="s">
        <v>61</v>
      </c>
      <c r="H1841" s="16">
        <v>5.0</v>
      </c>
      <c r="I1841" s="15" t="str">
        <f>SUBSTITUTE(Sheet1!K1841, "Rp", "")</f>
        <v>1490000</v>
      </c>
    </row>
    <row r="1842">
      <c r="A1842" s="8" t="s">
        <v>3291</v>
      </c>
      <c r="B1842" s="13" t="str">
        <f>HYPERLINK("https://shopee.co.id/HYDRA-BRIGHT-ADVANCED-TREATMENT-SERUM-i.231467354.8858859842", "https://shopee.co.id/HYDRA-BRIGHT-ADVANCED-TREATMENT-SERUM-i.231467354.8858859842")</f>
        <v>https://shopee.co.id/HYDRA-BRIGHT-ADVANCED-TREATMENT-SERUM-i.231467354.8858859842</v>
      </c>
      <c r="C1842" s="8" t="s">
        <v>1814</v>
      </c>
      <c r="D1842" s="8" t="s">
        <v>2879</v>
      </c>
      <c r="E1842" s="8" t="s">
        <v>12</v>
      </c>
      <c r="F1842" s="8" t="s">
        <v>13</v>
      </c>
      <c r="G1842" s="8" t="s">
        <v>532</v>
      </c>
      <c r="H1842" s="16">
        <v>5.0</v>
      </c>
      <c r="I1842" s="15" t="str">
        <f>SUBSTITUTE(Sheet1!K1842, "Rp", "")</f>
        <v>437500</v>
      </c>
    </row>
    <row r="1843">
      <c r="A1843" s="8" t="s">
        <v>3260</v>
      </c>
      <c r="B1843" s="13" t="str">
        <f>HYPERLINK("https://shopee.co.id/Iunik-Black-Snail-Restore-Serum-15ml-i.270765534.9136912526", "https://shopee.co.id/Iunik-Black-Snail-Restore-Serum-15ml-i.270765534.9136912526")</f>
        <v>https://shopee.co.id/Iunik-Black-Snail-Restore-Serum-15ml-i.270765534.9136912526</v>
      </c>
      <c r="C1843" s="8" t="s">
        <v>1658</v>
      </c>
      <c r="D1843" s="8" t="s">
        <v>1659</v>
      </c>
      <c r="E1843" s="8" t="s">
        <v>12</v>
      </c>
      <c r="F1843" s="8" t="s">
        <v>13</v>
      </c>
      <c r="G1843" s="8" t="s">
        <v>21</v>
      </c>
      <c r="H1843" s="16">
        <v>5.0</v>
      </c>
      <c r="I1843" s="15" t="str">
        <f>SUBSTITUTE(Sheet1!K1843, "Rp", "")</f>
        <v>469000</v>
      </c>
    </row>
    <row r="1844">
      <c r="A1844" s="8" t="s">
        <v>2860</v>
      </c>
      <c r="B1844" s="13" t="str">
        <f>HYPERLINK("https://shopee.co.id/Iunik-Noni-Light-oil-Serum-50ml-NEW-i.825870.7615325901", "https://shopee.co.id/Iunik-Noni-Light-oil-Serum-50ml-NEW-i.825870.7615325901")</f>
        <v>https://shopee.co.id/Iunik-Noni-Light-oil-Serum-50ml-NEW-i.825870.7615325901</v>
      </c>
      <c r="C1844" s="8" t="s">
        <v>1658</v>
      </c>
      <c r="D1844" s="8" t="s">
        <v>1184</v>
      </c>
      <c r="E1844" s="8" t="s">
        <v>12</v>
      </c>
      <c r="F1844" s="8" t="s">
        <v>13</v>
      </c>
      <c r="G1844" s="8" t="s">
        <v>21</v>
      </c>
      <c r="H1844" s="16">
        <v>5.0</v>
      </c>
      <c r="I1844" s="15" t="str">
        <f>SUBSTITUTE(Sheet1!K1844, "Rp", "")</f>
        <v>952000</v>
      </c>
    </row>
    <row r="1845">
      <c r="A1845" s="8" t="s">
        <v>3242</v>
      </c>
      <c r="B1845" s="13" t="str">
        <f>HYPERLINK("https://shopee.co.id/IUNIK-Propolis-Vitamin-Synergy-Serum-i.270965687.8015062016", "https://shopee.co.id/IUNIK-Propolis-Vitamin-Synergy-Serum-i.270965687.8015062016")</f>
        <v>https://shopee.co.id/IUNIK-Propolis-Vitamin-Synergy-Serum-i.270965687.8015062016</v>
      </c>
      <c r="C1845" s="8" t="s">
        <v>1658</v>
      </c>
      <c r="D1845" s="8" t="s">
        <v>379</v>
      </c>
      <c r="E1845" s="8" t="s">
        <v>12</v>
      </c>
      <c r="F1845" s="8" t="s">
        <v>13</v>
      </c>
      <c r="G1845" s="8" t="s">
        <v>380</v>
      </c>
      <c r="H1845" s="16">
        <v>5.0</v>
      </c>
      <c r="I1845" s="15" t="str">
        <f>SUBSTITUTE(Sheet1!K1845, "Rp", "")</f>
        <v>490000</v>
      </c>
    </row>
    <row r="1846">
      <c r="A1846" s="8" t="s">
        <v>3218</v>
      </c>
      <c r="B1846" s="13" t="str">
        <f>HYPERLINK("https://shopee.co.id/Jarte-Beauty-Cica-Care-Ampoule-20ml-i.10689.8333016350", "https://shopee.co.id/Jarte-Beauty-Cica-Care-Ampoule-20ml-i.10689.8333016350")</f>
        <v>https://shopee.co.id/Jarte-Beauty-Cica-Care-Ampoule-20ml-i.10689.8333016350</v>
      </c>
      <c r="C1846" s="8" t="s">
        <v>3219</v>
      </c>
      <c r="D1846" s="8" t="s">
        <v>745</v>
      </c>
      <c r="E1846" s="8" t="s">
        <v>12</v>
      </c>
      <c r="F1846" s="8" t="s">
        <v>13</v>
      </c>
      <c r="G1846" s="8" t="s">
        <v>61</v>
      </c>
      <c r="H1846" s="16">
        <v>5.0</v>
      </c>
      <c r="I1846" s="15" t="str">
        <f>SUBSTITUTE(Sheet1!K1846, "Rp", "")</f>
        <v>505750</v>
      </c>
    </row>
    <row r="1847">
      <c r="A1847" s="8" t="s">
        <v>2615</v>
      </c>
      <c r="B1847" s="13" t="str">
        <f>HYPERLINK("https://shopee.co.id/KLEVERU-Sea-Buckthorn-Essence-Toner-and-Vitamin-C-10-Ferulic-Serum-i.59078646.8414127802", "https://shopee.co.id/KLEVERU-Sea-Buckthorn-Essence-Toner-and-Vitamin-C-10-Ferulic-Serum-i.59078646.8414127802")</f>
        <v>https://shopee.co.id/KLEVERU-Sea-Buckthorn-Essence-Toner-and-Vitamin-C-10-Ferulic-Serum-i.59078646.8414127802</v>
      </c>
      <c r="C1847" s="8" t="s">
        <v>2408</v>
      </c>
      <c r="D1847" s="8" t="s">
        <v>2616</v>
      </c>
      <c r="E1847" s="8" t="s">
        <v>12</v>
      </c>
      <c r="F1847" s="8" t="s">
        <v>13</v>
      </c>
      <c r="G1847" s="8" t="s">
        <v>21</v>
      </c>
      <c r="H1847" s="16">
        <v>5.0</v>
      </c>
      <c r="I1847" s="15" t="str">
        <f>SUBSTITUTE(Sheet1!K1847, "Rp", "")</f>
        <v>1410750</v>
      </c>
    </row>
    <row r="1848">
      <c r="A1848" s="8" t="s">
        <v>3047</v>
      </c>
      <c r="B1848" s="13" t="str">
        <f>HYPERLINK("https://shopee.co.id/KLEVERU-Vitamin-C-10-Ferulic-15ml-i.68111.2953584718", "https://shopee.co.id/KLEVERU-Vitamin-C-10-Ferulic-15ml-i.68111.2953584718")</f>
        <v>https://shopee.co.id/KLEVERU-Vitamin-C-10-Ferulic-15ml-i.68111.2953584718</v>
      </c>
      <c r="C1848" s="8" t="s">
        <v>2408</v>
      </c>
      <c r="D1848" s="8" t="s">
        <v>441</v>
      </c>
      <c r="E1848" s="8" t="s">
        <v>12</v>
      </c>
      <c r="F1848" s="8" t="s">
        <v>13</v>
      </c>
      <c r="G1848" s="8" t="s">
        <v>130</v>
      </c>
      <c r="H1848" s="16">
        <v>5.0</v>
      </c>
      <c r="I1848" s="15" t="str">
        <f>SUBSTITUTE(Sheet1!K1848, "Rp", "")</f>
        <v>679250</v>
      </c>
    </row>
    <row r="1849">
      <c r="A1849" s="8" t="s">
        <v>2562</v>
      </c>
      <c r="B1849" s="13" t="str">
        <f>HYPERLINK("https://shopee.co.id/L-Oreal-Paris-Package-Exclusive-KOL-Anti-Kulit-Kering-i.62579622.5132082461", "https://shopee.co.id/L-Oreal-Paris-Package-Exclusive-KOL-Anti-Kulit-Kering-i.62579622.5132082461")</f>
        <v>https://shopee.co.id/L-Oreal-Paris-Package-Exclusive-KOL-Anti-Kulit-Kering-i.62579622.5132082461</v>
      </c>
      <c r="C1849" s="8" t="s">
        <v>105</v>
      </c>
      <c r="D1849" s="8" t="s">
        <v>106</v>
      </c>
      <c r="E1849" s="8" t="s">
        <v>12</v>
      </c>
      <c r="F1849" s="8" t="s">
        <v>13</v>
      </c>
      <c r="G1849" s="8" t="s">
        <v>61</v>
      </c>
      <c r="H1849" s="16">
        <v>5.0</v>
      </c>
      <c r="I1849" s="15" t="str">
        <f>SUBSTITUTE(Sheet1!K1849, "Rp", "")</f>
        <v>1559700</v>
      </c>
    </row>
    <row r="1850">
      <c r="A1850" s="8" t="s">
        <v>3502</v>
      </c>
      <c r="B1850" s="13" t="str">
        <f>HYPERLINK("https://shopee.co.id/LA-TULIPE-Acne-Care-Serum-i.187117294.4042225132", "https://shopee.co.id/LA-TULIPE-Acne-Care-Serum-i.187117294.4042225132")</f>
        <v>https://shopee.co.id/LA-TULIPE-Acne-Care-Serum-i.187117294.4042225132</v>
      </c>
      <c r="C1850" s="8" t="s">
        <v>1761</v>
      </c>
      <c r="D1850" s="8" t="s">
        <v>2366</v>
      </c>
      <c r="E1850" s="8" t="s">
        <v>12</v>
      </c>
      <c r="F1850" s="8" t="s">
        <v>13</v>
      </c>
      <c r="G1850" s="8" t="s">
        <v>469</v>
      </c>
      <c r="H1850" s="16">
        <v>5.0</v>
      </c>
      <c r="I1850" s="15" t="str">
        <f>SUBSTITUTE(Sheet1!K1850, "Rp", "")</f>
        <v>285000</v>
      </c>
    </row>
    <row r="1851">
      <c r="A1851" s="8" t="s">
        <v>2704</v>
      </c>
      <c r="B1851" s="13" t="str">
        <f>HYPERLINK("https://shopee.co.id/Lacoco-Hydrating-Divine-Essence-50ml-i.68111.7342114056", "https://shopee.co.id/Lacoco-Hydrating-Divine-Essence-50ml-i.68111.7342114056")</f>
        <v>https://shopee.co.id/Lacoco-Hydrating-Divine-Essence-50ml-i.68111.7342114056</v>
      </c>
      <c r="C1851" s="8" t="s">
        <v>501</v>
      </c>
      <c r="D1851" s="8" t="s">
        <v>441</v>
      </c>
      <c r="E1851" s="8" t="s">
        <v>12</v>
      </c>
      <c r="F1851" s="8" t="s">
        <v>13</v>
      </c>
      <c r="G1851" s="8" t="s">
        <v>130</v>
      </c>
      <c r="H1851" s="16">
        <v>5.0</v>
      </c>
      <c r="I1851" s="15" t="str">
        <f>SUBSTITUTE(Sheet1!K1851, "Rp", "")</f>
        <v>1225000</v>
      </c>
    </row>
    <row r="1852">
      <c r="A1852" s="8" t="s">
        <v>3188</v>
      </c>
      <c r="B1852" s="13" t="str">
        <f>HYPERLINK("https://shopee.co.id/Lolane-Intense-Care-Leave-in-Hyaluronic-Serum-i.80747886.1477184923", "https://shopee.co.id/Lolane-Intense-Care-Leave-in-Hyaluronic-Serum-i.80747886.1477184923")</f>
        <v>https://shopee.co.id/Lolane-Intense-Care-Leave-in-Hyaluronic-Serum-i.80747886.1477184923</v>
      </c>
      <c r="C1852" s="8" t="s">
        <v>3189</v>
      </c>
      <c r="D1852" s="8" t="s">
        <v>3190</v>
      </c>
      <c r="E1852" s="8" t="s">
        <v>12</v>
      </c>
      <c r="F1852" s="8" t="s">
        <v>13</v>
      </c>
      <c r="G1852" s="8" t="s">
        <v>296</v>
      </c>
      <c r="H1852" s="16">
        <v>5.0</v>
      </c>
      <c r="I1852" s="15" t="str">
        <f>SUBSTITUTE(Sheet1!K1852, "Rp", "")</f>
        <v>531000</v>
      </c>
    </row>
    <row r="1853">
      <c r="A1853" s="8" t="s">
        <v>3434</v>
      </c>
      <c r="B1853" s="13" t="str">
        <f>HYPERLINK("https://shopee.co.id/LUMIER-100-NIACINAMIDE-i.231467354.7681337406", "https://shopee.co.id/LUMIER-100-NIACINAMIDE-i.231467354.7681337406")</f>
        <v>https://shopee.co.id/LUMIER-100-NIACINAMIDE-i.231467354.7681337406</v>
      </c>
      <c r="C1853" s="8" t="s">
        <v>2878</v>
      </c>
      <c r="D1853" s="8" t="s">
        <v>2879</v>
      </c>
      <c r="E1853" s="8" t="s">
        <v>12</v>
      </c>
      <c r="F1853" s="8" t="s">
        <v>13</v>
      </c>
      <c r="G1853" s="8" t="s">
        <v>532</v>
      </c>
      <c r="H1853" s="16">
        <v>5.0</v>
      </c>
      <c r="I1853" s="15" t="str">
        <f>SUBSTITUTE(Sheet1!K1853, "Rp", "")</f>
        <v>332500</v>
      </c>
    </row>
    <row r="1854">
      <c r="A1854" s="8" t="s">
        <v>3520</v>
      </c>
      <c r="B1854" s="13" t="str">
        <f>HYPERLINK("https://shopee.co.id/LUMIER-100-VITAMIN-E-ADVANCED-SKIN-BOOSTER-i.231467354.9723578786", "https://shopee.co.id/LUMIER-100-VITAMIN-E-ADVANCED-SKIN-BOOSTER-i.231467354.9723578786")</f>
        <v>https://shopee.co.id/LUMIER-100-VITAMIN-E-ADVANCED-SKIN-BOOSTER-i.231467354.9723578786</v>
      </c>
      <c r="C1854" s="8" t="s">
        <v>2878</v>
      </c>
      <c r="D1854" s="8" t="s">
        <v>2879</v>
      </c>
      <c r="E1854" s="8" t="s">
        <v>12</v>
      </c>
      <c r="F1854" s="8" t="s">
        <v>13</v>
      </c>
      <c r="G1854" s="8" t="s">
        <v>532</v>
      </c>
      <c r="H1854" s="16">
        <v>5.0</v>
      </c>
      <c r="I1854" s="15" t="str">
        <f>SUBSTITUTE(Sheet1!K1854, "Rp", "")</f>
        <v>272000</v>
      </c>
    </row>
    <row r="1855">
      <c r="A1855" s="8" t="s">
        <v>3365</v>
      </c>
      <c r="B1855" s="13" t="str">
        <f>HYPERLINK("https://shopee.co.id/maggie-glow-acne-serum-serum-pengilang-jerawat-pemutih-wajah-flek-i.23831802.702045635", "https://shopee.co.id/maggie-glow-acne-serum-serum-pengilang-jerawat-pemutih-wajah-flek-i.23831802.702045635")</f>
        <v>https://shopee.co.id/maggie-glow-acne-serum-serum-pengilang-jerawat-pemutih-wajah-flek-i.23831802.702045635</v>
      </c>
      <c r="C1855" s="8" t="s">
        <v>1083</v>
      </c>
      <c r="D1855" s="8" t="s">
        <v>1084</v>
      </c>
      <c r="E1855" s="8" t="s">
        <v>12</v>
      </c>
      <c r="F1855" s="8" t="s">
        <v>13</v>
      </c>
      <c r="G1855" s="8" t="s">
        <v>1085</v>
      </c>
      <c r="H1855" s="16">
        <v>5.0</v>
      </c>
      <c r="I1855" s="15" t="str">
        <f>SUBSTITUTE(Sheet1!K1855, "Rp", "")</f>
        <v>385000</v>
      </c>
    </row>
    <row r="1856">
      <c r="A1856" s="8" t="s">
        <v>3168</v>
      </c>
      <c r="B1856" s="13" t="str">
        <f>HYPERLINK("https://shopee.co.id/MEDGLOW-CLINIC-AHA-BHA-PHA-Peeling-Serum-Aesthetic-Skincare-Serum-Regenerasi-Eksfoliasi-Peeling-BPOM-i.285885972.7147587415", "https://shopee.co.id/MEDGLOW-CLINIC-AHA-BHA-PHA-Peeling-Serum-Aesthetic-Skincare-Serum-Regenerasi-Eksfoliasi-Peeling-BPOM-i.285885972.7147587415")</f>
        <v>https://shopee.co.id/MEDGLOW-CLINIC-AHA-BHA-PHA-Peeling-Serum-Aesthetic-Skincare-Serum-Regenerasi-Eksfoliasi-Peeling-BPOM-i.285885972.7147587415</v>
      </c>
      <c r="C1856" s="8" t="s">
        <v>949</v>
      </c>
      <c r="D1856" s="8" t="s">
        <v>950</v>
      </c>
      <c r="E1856" s="8" t="s">
        <v>12</v>
      </c>
      <c r="F1856" s="8" t="s">
        <v>13</v>
      </c>
      <c r="G1856" s="8" t="s">
        <v>380</v>
      </c>
      <c r="H1856" s="16">
        <v>5.0</v>
      </c>
      <c r="I1856" s="15" t="str">
        <f>SUBSTITUTE(Sheet1!K1856, "Rp", "")</f>
        <v>552000</v>
      </c>
    </row>
    <row r="1857">
      <c r="A1857" s="8" t="s">
        <v>3130</v>
      </c>
      <c r="B1857" s="13" t="str">
        <f>HYPERLINK("https://shopee.co.id/MEDGLOW-CLINIC-Collagen-Serum-Aesthetic-Skincare-Anti-Aging-Firming-Lifting-Pengencangan-BPOM-i.285885972.3349982842", "https://shopee.co.id/MEDGLOW-CLINIC-Collagen-Serum-Aesthetic-Skincare-Anti-Aging-Firming-Lifting-Pengencangan-BPOM-i.285885972.3349982842")</f>
        <v>https://shopee.co.id/MEDGLOW-CLINIC-Collagen-Serum-Aesthetic-Skincare-Anti-Aging-Firming-Lifting-Pengencangan-BPOM-i.285885972.3349982842</v>
      </c>
      <c r="C1857" s="8" t="s">
        <v>949</v>
      </c>
      <c r="D1857" s="8" t="s">
        <v>950</v>
      </c>
      <c r="E1857" s="8" t="s">
        <v>12</v>
      </c>
      <c r="F1857" s="8" t="s">
        <v>13</v>
      </c>
      <c r="G1857" s="8" t="s">
        <v>380</v>
      </c>
      <c r="H1857" s="16">
        <v>5.0</v>
      </c>
      <c r="I1857" s="15" t="str">
        <f>SUBSTITUTE(Sheet1!K1857, "Rp", "")</f>
        <v>593750</v>
      </c>
    </row>
    <row r="1858">
      <c r="A1858" s="8" t="s">
        <v>3137</v>
      </c>
      <c r="B1858" s="13" t="str">
        <f>HYPERLINK("https://shopee.co.id/MEDGLOW-CLINIC-Gold-Gamat-Serum-Aesthetic-Skincare-Serum-Anti-Aging-Penuaan-Kerutan-Wrinkle-BPOM-i.285885972.5549884913", "https://shopee.co.id/MEDGLOW-CLINIC-Gold-Gamat-Serum-Aesthetic-Skincare-Serum-Anti-Aging-Penuaan-Kerutan-Wrinkle-BPOM-i.285885972.5549884913")</f>
        <v>https://shopee.co.id/MEDGLOW-CLINIC-Gold-Gamat-Serum-Aesthetic-Skincare-Serum-Anti-Aging-Penuaan-Kerutan-Wrinkle-BPOM-i.285885972.5549884913</v>
      </c>
      <c r="C1858" s="8" t="s">
        <v>949</v>
      </c>
      <c r="D1858" s="8" t="s">
        <v>950</v>
      </c>
      <c r="E1858" s="8" t="s">
        <v>12</v>
      </c>
      <c r="F1858" s="8" t="s">
        <v>13</v>
      </c>
      <c r="G1858" s="8" t="s">
        <v>380</v>
      </c>
      <c r="H1858" s="16">
        <v>5.0</v>
      </c>
      <c r="I1858" s="15" t="str">
        <f>SUBSTITUTE(Sheet1!K1858, "Rp", "")</f>
        <v>587500</v>
      </c>
    </row>
    <row r="1859">
      <c r="A1859" s="8" t="s">
        <v>2971</v>
      </c>
      <c r="B1859" s="13" t="str">
        <f>HYPERLINK("https://shopee.co.id/Mediheal-Masking-Layering-Ampoule-Poreminor-Shot-size-4-ml-3-Edit-by-Sociolla-i.224957239.7430893443", "https://shopee.co.id/Mediheal-Masking-Layering-Ampoule-Poreminor-Shot-size-4-ml-3-Edit-by-Sociolla-i.224957239.7430893443")</f>
        <v>https://shopee.co.id/Mediheal-Masking-Layering-Ampoule-Poreminor-Shot-size-4-ml-3-Edit-by-Sociolla-i.224957239.7430893443</v>
      </c>
      <c r="C1859" s="8" t="s">
        <v>2972</v>
      </c>
      <c r="D1859" s="8" t="s">
        <v>492</v>
      </c>
      <c r="E1859" s="8" t="s">
        <v>12</v>
      </c>
      <c r="F1859" s="8" t="s">
        <v>13</v>
      </c>
      <c r="G1859" s="8" t="s">
        <v>21</v>
      </c>
      <c r="H1859" s="16">
        <v>5.0</v>
      </c>
      <c r="I1859" s="15" t="str">
        <f>SUBSTITUTE(Sheet1!K1859, "Rp", "")</f>
        <v>805950</v>
      </c>
    </row>
    <row r="1860">
      <c r="A1860" s="8" t="s">
        <v>2181</v>
      </c>
      <c r="B1860" s="13" t="str">
        <f>HYPERLINK("https://shopee.co.id/Mila-D-opiz-Cavia-Ampoule-5ml-Miladopiz-i.322619273.7958139352", "https://shopee.co.id/Mila-D-opiz-Cavia-Ampoule-5ml-Miladopiz-i.322619273.7958139352")</f>
        <v>https://shopee.co.id/Mila-D-opiz-Cavia-Ampoule-5ml-Miladopiz-i.322619273.7958139352</v>
      </c>
      <c r="C1860" s="8" t="s">
        <v>2182</v>
      </c>
      <c r="D1860" s="8" t="s">
        <v>2183</v>
      </c>
      <c r="E1860" s="8" t="s">
        <v>12</v>
      </c>
      <c r="F1860" s="8" t="s">
        <v>13</v>
      </c>
      <c r="G1860" s="8" t="s">
        <v>469</v>
      </c>
      <c r="H1860" s="16">
        <v>5.0</v>
      </c>
      <c r="I1860" s="15" t="str">
        <f>SUBSTITUTE(Sheet1!K1860, "Rp", "")</f>
        <v>2600000</v>
      </c>
    </row>
    <row r="1861">
      <c r="A1861" s="8" t="s">
        <v>2953</v>
      </c>
      <c r="B1861" s="13" t="str">
        <f>HYPERLINK("https://shopee.co.id/MS-GLOW-Deep-Treatment-Essence-Meredakan-Iritasi-Mengatasi-Masalah-Jerawat-Menjaga-Kelembapan-Kulit-i.301699781.2952961773", "https://shopee.co.id/MS-GLOW-Deep-Treatment-Essence-Meredakan-Iritasi-Mengatasi-Masalah-Jerawat-Menjaga-Kelembapan-Kulit-i.301699781.2952961773")</f>
        <v>https://shopee.co.id/MS-GLOW-Deep-Treatment-Essence-Meredakan-Iritasi-Mengatasi-Masalah-Jerawat-Menjaga-Kelembapan-Kulit-i.301699781.2952961773</v>
      </c>
      <c r="C1861" s="8" t="s">
        <v>96</v>
      </c>
      <c r="D1861" s="8" t="s">
        <v>2954</v>
      </c>
      <c r="E1861" s="8" t="s">
        <v>12</v>
      </c>
      <c r="F1861" s="8" t="s">
        <v>13</v>
      </c>
      <c r="G1861" s="8" t="s">
        <v>115</v>
      </c>
      <c r="H1861" s="16">
        <v>5.0</v>
      </c>
      <c r="I1861" s="15" t="str">
        <f>SUBSTITUTE(Sheet1!K1861, "Rp", "")</f>
        <v>825000</v>
      </c>
    </row>
    <row r="1862">
      <c r="A1862" s="8" t="s">
        <v>2899</v>
      </c>
      <c r="B1862" s="13" t="str">
        <f>HYPERLINK("https://shopee.co.id/MS-GLow-Luminous-Glowing-Serum-Original-BPOM-Serum-Wajah-Untuk-Bekas-Jerawat-Dan-Noda-Pada-Wajah-i.287975332.8389805710", "https://shopee.co.id/MS-GLow-Luminous-Glowing-Serum-Original-BPOM-Serum-Wajah-Untuk-Bekas-Jerawat-Dan-Noda-Pada-Wajah-i.287975332.8389805710")</f>
        <v>https://shopee.co.id/MS-GLow-Luminous-Glowing-Serum-Original-BPOM-Serum-Wajah-Untuk-Bekas-Jerawat-Dan-Noda-Pada-Wajah-i.287975332.8389805710</v>
      </c>
      <c r="C1862" s="8" t="s">
        <v>96</v>
      </c>
      <c r="D1862" s="8" t="s">
        <v>349</v>
      </c>
      <c r="E1862" s="8" t="s">
        <v>12</v>
      </c>
      <c r="F1862" s="8" t="s">
        <v>13</v>
      </c>
      <c r="G1862" s="8" t="s">
        <v>350</v>
      </c>
      <c r="H1862" s="16">
        <v>5.0</v>
      </c>
      <c r="I1862" s="15" t="str">
        <f>SUBSTITUTE(Sheet1!K1862, "Rp", "")</f>
        <v>900000</v>
      </c>
    </row>
    <row r="1863">
      <c r="A1863" s="8" t="s">
        <v>3009</v>
      </c>
      <c r="B1863" s="13" t="str">
        <f>HYPERLINK("https://shopee.co.id/MSBB-Skin-Game-Spot-Guard-Serum-30-gr-i.288588702.6185989497", "https://shopee.co.id/MSBB-Skin-Game-Spot-Guard-Serum-30-gr-i.288588702.6185989497")</f>
        <v>https://shopee.co.id/MSBB-Skin-Game-Spot-Guard-Serum-30-gr-i.288588702.6185989497</v>
      </c>
      <c r="C1863" s="8" t="s">
        <v>523</v>
      </c>
      <c r="D1863" s="8" t="s">
        <v>79</v>
      </c>
      <c r="E1863" s="8" t="s">
        <v>12</v>
      </c>
      <c r="F1863" s="8" t="s">
        <v>13</v>
      </c>
      <c r="G1863" s="8" t="s">
        <v>80</v>
      </c>
      <c r="H1863" s="16">
        <v>5.0</v>
      </c>
      <c r="I1863" s="15" t="str">
        <f>SUBSTITUTE(Sheet1!K1863, "Rp", "")</f>
        <v>731590</v>
      </c>
    </row>
    <row r="1864">
      <c r="A1864" s="8" t="s">
        <v>3122</v>
      </c>
      <c r="B1864" s="13" t="str">
        <f>HYPERLINK("https://shopee.co.id/MSBB-Somethinc-Criously-24K-Gold-Essence-20-Ml-i.288588702.8577335079", "https://shopee.co.id/MSBB-Somethinc-Criously-24K-Gold-Essence-20-Ml-i.288588702.8577335079")</f>
        <v>https://shopee.co.id/MSBB-Somethinc-Criously-24K-Gold-Essence-20-Ml-i.288588702.8577335079</v>
      </c>
      <c r="C1864" s="8" t="s">
        <v>45</v>
      </c>
      <c r="D1864" s="8" t="s">
        <v>79</v>
      </c>
      <c r="E1864" s="8" t="s">
        <v>12</v>
      </c>
      <c r="F1864" s="8" t="s">
        <v>13</v>
      </c>
      <c r="G1864" s="8" t="s">
        <v>80</v>
      </c>
      <c r="H1864" s="16">
        <v>5.0</v>
      </c>
      <c r="I1864" s="15" t="str">
        <f>SUBSTITUTE(Sheet1!K1864, "Rp", "")</f>
        <v>597500</v>
      </c>
    </row>
    <row r="1865">
      <c r="A1865" s="8" t="s">
        <v>2809</v>
      </c>
      <c r="B1865" s="13" t="str">
        <f>HYPERLINK("https://shopee.co.id/NACIFIC-Fresh-Cica-Plus-Clear-Serum-50ml-i.238604292.6021803972", "https://shopee.co.id/NACIFIC-Fresh-Cica-Plus-Clear-Serum-50ml-i.238604292.6021803972")</f>
        <v>https://shopee.co.id/NACIFIC-Fresh-Cica-Plus-Clear-Serum-50ml-i.238604292.6021803972</v>
      </c>
      <c r="C1865" s="8" t="s">
        <v>344</v>
      </c>
      <c r="D1865" s="8" t="s">
        <v>918</v>
      </c>
      <c r="E1865" s="8" t="s">
        <v>12</v>
      </c>
      <c r="F1865" s="8" t="s">
        <v>13</v>
      </c>
      <c r="G1865" s="8" t="s">
        <v>80</v>
      </c>
      <c r="H1865" s="16">
        <v>5.0</v>
      </c>
      <c r="I1865" s="15" t="str">
        <f>SUBSTITUTE(Sheet1!K1865, "Rp", "")</f>
        <v>1045000</v>
      </c>
    </row>
    <row r="1866">
      <c r="A1866" s="8" t="s">
        <v>2814</v>
      </c>
      <c r="B1866" s="13" t="str">
        <f>HYPERLINK("https://shopee.co.id/Nacific-Glow-Intensive-Essence-i.125116082.4319170545", "https://shopee.co.id/Nacific-Glow-Intensive-Essence-i.125116082.4319170545")</f>
        <v>https://shopee.co.id/Nacific-Glow-Intensive-Essence-i.125116082.4319170545</v>
      </c>
      <c r="C1866" s="8" t="s">
        <v>344</v>
      </c>
      <c r="D1866" s="8" t="s">
        <v>713</v>
      </c>
      <c r="E1866" s="8" t="s">
        <v>12</v>
      </c>
      <c r="F1866" s="8" t="s">
        <v>13</v>
      </c>
      <c r="G1866" s="8" t="s">
        <v>61</v>
      </c>
      <c r="H1866" s="16">
        <v>5.0</v>
      </c>
      <c r="I1866" s="15" t="str">
        <f>SUBSTITUTE(Sheet1!K1866, "Rp", "")</f>
        <v>1037400</v>
      </c>
    </row>
    <row r="1867">
      <c r="A1867" s="8" t="s">
        <v>2797</v>
      </c>
      <c r="B1867" s="13" t="str">
        <f>HYPERLINK("https://shopee.co.id/NACIFIC-Pink-AHABHA-Serum-50ml-i.238604292.4351319515", "https://shopee.co.id/NACIFIC-Pink-AHABHA-Serum-50ml-i.238604292.4351319515")</f>
        <v>https://shopee.co.id/NACIFIC-Pink-AHABHA-Serum-50ml-i.238604292.4351319515</v>
      </c>
      <c r="C1867" s="8" t="s">
        <v>344</v>
      </c>
      <c r="D1867" s="8" t="s">
        <v>918</v>
      </c>
      <c r="E1867" s="8" t="s">
        <v>12</v>
      </c>
      <c r="F1867" s="8" t="s">
        <v>13</v>
      </c>
      <c r="G1867" s="8" t="s">
        <v>80</v>
      </c>
      <c r="H1867" s="16">
        <v>5.0</v>
      </c>
      <c r="I1867" s="15" t="str">
        <f>SUBSTITUTE(Sheet1!K1867, "Rp", "")</f>
        <v>1072500</v>
      </c>
    </row>
    <row r="1868">
      <c r="A1868" s="8" t="s">
        <v>2845</v>
      </c>
      <c r="B1868" s="13" t="str">
        <f>HYPERLINK("https://shopee.co.id/Natasha-by-dr-Fredi-Setyawan-Brightening-Antioxidant-Serum-i.40121814.2752518050", "https://shopee.co.id/Natasha-by-dr-Fredi-Setyawan-Brightening-Antioxidant-Serum-i.40121814.2752518050")</f>
        <v>https://shopee.co.id/Natasha-by-dr-Fredi-Setyawan-Brightening-Antioxidant-Serum-i.40121814.2752518050</v>
      </c>
      <c r="C1868" s="8" t="s">
        <v>1752</v>
      </c>
      <c r="D1868" s="8" t="s">
        <v>794</v>
      </c>
      <c r="E1868" s="8" t="s">
        <v>12</v>
      </c>
      <c r="F1868" s="8" t="s">
        <v>13</v>
      </c>
      <c r="G1868" s="8" t="s">
        <v>380</v>
      </c>
      <c r="H1868" s="16">
        <v>5.0</v>
      </c>
      <c r="I1868" s="15" t="str">
        <f>SUBSTITUTE(Sheet1!K1868, "Rp", "")</f>
        <v>977015</v>
      </c>
    </row>
    <row r="1869">
      <c r="A1869" s="8" t="s">
        <v>2798</v>
      </c>
      <c r="B1869" s="13" t="str">
        <f>HYPERLINK("https://shopee.co.id/Natasha-by-dr-Fredi-Setyawan-L22-Lifting-Oil-Serum-i.40121814.2684072560", "https://shopee.co.id/Natasha-by-dr-Fredi-Setyawan-L22-Lifting-Oil-Serum-i.40121814.2684072560")</f>
        <v>https://shopee.co.id/Natasha-by-dr-Fredi-Setyawan-L22-Lifting-Oil-Serum-i.40121814.2684072560</v>
      </c>
      <c r="C1869" s="8" t="s">
        <v>1752</v>
      </c>
      <c r="D1869" s="8" t="s">
        <v>794</v>
      </c>
      <c r="E1869" s="8" t="s">
        <v>12</v>
      </c>
      <c r="F1869" s="8" t="s">
        <v>13</v>
      </c>
      <c r="G1869" s="8" t="s">
        <v>380</v>
      </c>
      <c r="H1869" s="16">
        <v>5.0</v>
      </c>
      <c r="I1869" s="15" t="str">
        <f>SUBSTITUTE(Sheet1!K1869, "Rp", "")</f>
        <v>1068240</v>
      </c>
    </row>
    <row r="1870">
      <c r="A1870" s="8" t="s">
        <v>2991</v>
      </c>
      <c r="B1870" s="13" t="str">
        <f>HYPERLINK("https://shopee.co.id/NATURE-REPUBLIC-Argan-Essential-Curling-Essence-i.78838801.1590657459", "https://shopee.co.id/NATURE-REPUBLIC-Argan-Essential-Curling-Essence-i.78838801.1590657459")</f>
        <v>https://shopee.co.id/NATURE-REPUBLIC-Argan-Essential-Curling-Essence-i.78838801.1590657459</v>
      </c>
      <c r="C1870" s="8" t="s">
        <v>1079</v>
      </c>
      <c r="D1870" s="8" t="s">
        <v>1080</v>
      </c>
      <c r="E1870" s="8" t="s">
        <v>12</v>
      </c>
      <c r="F1870" s="8" t="s">
        <v>13</v>
      </c>
      <c r="G1870" s="8" t="s">
        <v>532</v>
      </c>
      <c r="H1870" s="16">
        <v>5.0</v>
      </c>
      <c r="I1870" s="15" t="str">
        <f>SUBSTITUTE(Sheet1!K1870, "Rp", "")</f>
        <v>760000</v>
      </c>
    </row>
    <row r="1871">
      <c r="A1871" s="8" t="s">
        <v>3044</v>
      </c>
      <c r="B1871" s="13" t="str">
        <f>HYPERLINK("https://shopee.co.id/Nusantics-Chamomile-Biome-Spray-Essence-i.156645962.2333076386", "https://shopee.co.id/Nusantics-Chamomile-Biome-Spray-Essence-i.156645962.2333076386")</f>
        <v>https://shopee.co.id/Nusantics-Chamomile-Biome-Spray-Essence-i.156645962.2333076386</v>
      </c>
      <c r="C1871" s="8" t="s">
        <v>2427</v>
      </c>
      <c r="D1871" s="8" t="s">
        <v>2428</v>
      </c>
      <c r="E1871" s="8" t="s">
        <v>12</v>
      </c>
      <c r="F1871" s="8" t="s">
        <v>13</v>
      </c>
      <c r="G1871" s="8" t="s">
        <v>98</v>
      </c>
      <c r="H1871" s="16">
        <v>5.0</v>
      </c>
      <c r="I1871" s="15" t="str">
        <f>SUBSTITUTE(Sheet1!K1871, "Rp", "")</f>
        <v>683185</v>
      </c>
    </row>
    <row r="1872">
      <c r="A1872" s="8" t="s">
        <v>2872</v>
      </c>
      <c r="B1872" s="13" t="str">
        <f>HYPERLINK("https://shopee.co.id/Nusantics-Galactomyces-Treatment-Essence-i.156645962.2334107293", "https://shopee.co.id/Nusantics-Galactomyces-Treatment-Essence-i.156645962.2334107293")</f>
        <v>https://shopee.co.id/Nusantics-Galactomyces-Treatment-Essence-i.156645962.2334107293</v>
      </c>
      <c r="C1872" s="8" t="s">
        <v>2427</v>
      </c>
      <c r="D1872" s="8" t="s">
        <v>2428</v>
      </c>
      <c r="E1872" s="8" t="s">
        <v>12</v>
      </c>
      <c r="F1872" s="8" t="s">
        <v>13</v>
      </c>
      <c r="G1872" s="8" t="s">
        <v>98</v>
      </c>
      <c r="H1872" s="16">
        <v>5.0</v>
      </c>
      <c r="I1872" s="15" t="str">
        <f>SUBSTITUTE(Sheet1!K1872, "Rp", "")</f>
        <v>938350</v>
      </c>
    </row>
    <row r="1873">
      <c r="A1873" s="8" t="s">
        <v>2955</v>
      </c>
      <c r="B1873" s="13" t="str">
        <f>HYPERLINK("https://shopee.co.id/Nusantics-Lavender-Biome-Spray-Essence-i.156645962.2333931733", "https://shopee.co.id/Nusantics-Lavender-Biome-Spray-Essence-i.156645962.2333931733")</f>
        <v>https://shopee.co.id/Nusantics-Lavender-Biome-Spray-Essence-i.156645962.2333931733</v>
      </c>
      <c r="C1873" s="8" t="s">
        <v>2427</v>
      </c>
      <c r="D1873" s="8" t="s">
        <v>2428</v>
      </c>
      <c r="E1873" s="8" t="s">
        <v>12</v>
      </c>
      <c r="F1873" s="8" t="s">
        <v>13</v>
      </c>
      <c r="G1873" s="8" t="s">
        <v>98</v>
      </c>
      <c r="H1873" s="16">
        <v>5.0</v>
      </c>
      <c r="I1873" s="15" t="str">
        <f>SUBSTITUTE(Sheet1!K1873, "Rp", "")</f>
        <v>825000</v>
      </c>
    </row>
    <row r="1874">
      <c r="A1874" s="8" t="s">
        <v>3139</v>
      </c>
      <c r="B1874" s="13" t="str">
        <f>HYPERLINK("https://shopee.co.id/Raiku-Bright-Radiance-Serum-30ml-i.82041605.6183121640", "https://shopee.co.id/Raiku-Bright-Radiance-Serum-30ml-i.82041605.6183121640")</f>
        <v>https://shopee.co.id/Raiku-Bright-Radiance-Serum-30ml-i.82041605.6183121640</v>
      </c>
      <c r="C1874" s="8" t="s">
        <v>2281</v>
      </c>
      <c r="D1874" s="8" t="s">
        <v>2282</v>
      </c>
      <c r="E1874" s="8" t="s">
        <v>12</v>
      </c>
      <c r="F1874" s="8" t="s">
        <v>13</v>
      </c>
      <c r="G1874" s="8" t="s">
        <v>21</v>
      </c>
      <c r="H1874" s="16">
        <v>5.0</v>
      </c>
      <c r="I1874" s="15" t="str">
        <f>SUBSTITUTE(Sheet1!K1874, "Rp", "")</f>
        <v>579600</v>
      </c>
    </row>
    <row r="1875">
      <c r="A1875" s="8" t="s">
        <v>2726</v>
      </c>
      <c r="B1875" s="13" t="str">
        <f>HYPERLINK("https://shopee.co.id/Renard-Blanc-Multilayer-Essence-i.40121814.9011673663", "https://shopee.co.id/Renard-Blanc-Multilayer-Essence-i.40121814.9011673663")</f>
        <v>https://shopee.co.id/Renard-Blanc-Multilayer-Essence-i.40121814.9011673663</v>
      </c>
      <c r="C1875" s="8" t="s">
        <v>2727</v>
      </c>
      <c r="D1875" s="8" t="s">
        <v>794</v>
      </c>
      <c r="E1875" s="8" t="s">
        <v>12</v>
      </c>
      <c r="F1875" s="8" t="s">
        <v>13</v>
      </c>
      <c r="G1875" s="8" t="s">
        <v>380</v>
      </c>
      <c r="H1875" s="16">
        <v>5.0</v>
      </c>
      <c r="I1875" s="15" t="str">
        <f>SUBSTITUTE(Sheet1!K1875, "Rp", "")</f>
        <v>1191132</v>
      </c>
    </row>
    <row r="1876">
      <c r="A1876" s="8" t="s">
        <v>2300</v>
      </c>
      <c r="B1876" s="13" t="str">
        <f>HYPERLINK("https://shopee.co.id/Scarlett-Whitening-Brightly-Ever-After-Serum-15ml-i.10689.9490630849", "https://shopee.co.id/Scarlett-Whitening-Brightly-Ever-After-Serum-15ml-i.10689.9490630849")</f>
        <v>https://shopee.co.id/Scarlett-Whitening-Brightly-Ever-After-Serum-15ml-i.10689.9490630849</v>
      </c>
      <c r="C1876" s="8" t="s">
        <v>19</v>
      </c>
      <c r="D1876" s="8" t="s">
        <v>745</v>
      </c>
      <c r="E1876" s="8" t="s">
        <v>12</v>
      </c>
      <c r="F1876" s="8" t="s">
        <v>13</v>
      </c>
      <c r="G1876" s="8" t="s">
        <v>61</v>
      </c>
      <c r="H1876" s="16">
        <v>5.0</v>
      </c>
      <c r="I1876" s="15" t="str">
        <f>SUBSTITUTE(Sheet1!K1876, "Rp", "")</f>
        <v>337500</v>
      </c>
    </row>
    <row r="1877">
      <c r="A1877" s="8" t="s">
        <v>2765</v>
      </c>
      <c r="B1877" s="13" t="str">
        <f>HYPERLINK("https://shopee.co.id/SECA-Bye-Oil-and-Sebum-Bundle-BHA-Niacinamide--i.373749700.10424050478", "https://shopee.co.id/SECA-Bye-Oil-and-Sebum-Bundle-BHA-Niacinamide--i.373749700.10424050478")</f>
        <v>https://shopee.co.id/SECA-Bye-Oil-and-Sebum-Bundle-BHA-Niacinamide--i.373749700.10424050478</v>
      </c>
      <c r="C1877" s="8" t="s">
        <v>985</v>
      </c>
      <c r="D1877" s="8" t="s">
        <v>986</v>
      </c>
      <c r="E1877" s="8" t="s">
        <v>12</v>
      </c>
      <c r="F1877" s="8" t="s">
        <v>13</v>
      </c>
      <c r="G1877" s="8" t="s">
        <v>36</v>
      </c>
      <c r="H1877" s="16">
        <v>5.0</v>
      </c>
      <c r="I1877" s="15" t="str">
        <f>SUBSTITUTE(Sheet1!K1877, "Rp", "")</f>
        <v>1118600</v>
      </c>
    </row>
    <row r="1878">
      <c r="A1878" s="8" t="s">
        <v>2277</v>
      </c>
      <c r="B1878" s="13" t="str">
        <f>HYPERLINK("https://shopee.co.id/Sekkisei-Clear-Treatment-Essence-i.105297385.1714581946", "https://shopee.co.id/Sekkisei-Clear-Treatment-Essence-i.105297385.1714581946")</f>
        <v>https://shopee.co.id/Sekkisei-Clear-Treatment-Essence-i.105297385.1714581946</v>
      </c>
      <c r="C1878" s="8" t="s">
        <v>1997</v>
      </c>
      <c r="D1878" s="8" t="s">
        <v>1998</v>
      </c>
      <c r="E1878" s="8" t="s">
        <v>12</v>
      </c>
      <c r="F1878" s="8" t="s">
        <v>13</v>
      </c>
      <c r="G1878" s="8" t="s">
        <v>532</v>
      </c>
      <c r="H1878" s="16">
        <v>5.0</v>
      </c>
      <c r="I1878" s="15" t="str">
        <f>SUBSTITUTE(Sheet1!K1878, "Rp", "")</f>
        <v>2345300</v>
      </c>
    </row>
    <row r="1879">
      <c r="A1879" s="8" t="s">
        <v>3123</v>
      </c>
      <c r="B1879" s="13" t="str">
        <f>HYPERLINK("https://shopee.co.id/Somethinc-Criously-24K-Gold-Essence-20ml-40ml-i.136011044.5948994229", "https://shopee.co.id/Somethinc-Criously-24K-Gold-Essence-20ml-40ml-i.136011044.5948994229")</f>
        <v>https://shopee.co.id/Somethinc-Criously-24K-Gold-Essence-20ml-40ml-i.136011044.5948994229</v>
      </c>
      <c r="C1879" s="8" t="s">
        <v>45</v>
      </c>
      <c r="D1879" s="8" t="s">
        <v>632</v>
      </c>
      <c r="E1879" s="8" t="s">
        <v>12</v>
      </c>
      <c r="F1879" s="8" t="s">
        <v>13</v>
      </c>
      <c r="G1879" s="8" t="s">
        <v>21</v>
      </c>
      <c r="H1879" s="16">
        <v>5.0</v>
      </c>
      <c r="I1879" s="15" t="str">
        <f>SUBSTITUTE(Sheet1!K1879, "Rp", "")</f>
        <v>597500</v>
      </c>
    </row>
    <row r="1880">
      <c r="A1880" s="8" t="s">
        <v>1943</v>
      </c>
      <c r="B1880" s="13" t="str">
        <f>HYPERLINK("https://shopee.co.id/SOMETHINC-Level-1-Retinol-20ml-i.270965687.3638570610", "https://shopee.co.id/SOMETHINC-Level-1-Retinol-20ml-i.270965687.3638570610")</f>
        <v>https://shopee.co.id/SOMETHINC-Level-1-Retinol-20ml-i.270965687.3638570610</v>
      </c>
      <c r="C1880" s="8" t="s">
        <v>45</v>
      </c>
      <c r="D1880" s="8" t="s">
        <v>379</v>
      </c>
      <c r="E1880" s="8" t="s">
        <v>12</v>
      </c>
      <c r="F1880" s="8" t="s">
        <v>13</v>
      </c>
      <c r="G1880" s="8" t="s">
        <v>380</v>
      </c>
      <c r="H1880" s="16">
        <v>5.0</v>
      </c>
      <c r="I1880" s="15" t="str">
        <f>SUBSTITUTE(Sheet1!K1880, "Rp", "")</f>
        <v>775000</v>
      </c>
    </row>
    <row r="1881">
      <c r="A1881" s="8" t="s">
        <v>2984</v>
      </c>
      <c r="B1881" s="13" t="str">
        <f>HYPERLINK("https://shopee.co.id/Somethinc-Salmon-DNA-Marine-Collagen-Elixir-20ml-i.825870.8055782629", "https://shopee.co.id/Somethinc-Salmon-DNA-Marine-Collagen-Elixir-20ml-i.825870.8055782629")</f>
        <v>https://shopee.co.id/Somethinc-Salmon-DNA-Marine-Collagen-Elixir-20ml-i.825870.8055782629</v>
      </c>
      <c r="C1881" s="8" t="s">
        <v>45</v>
      </c>
      <c r="D1881" s="8" t="s">
        <v>1184</v>
      </c>
      <c r="E1881" s="8" t="s">
        <v>12</v>
      </c>
      <c r="F1881" s="8" t="s">
        <v>13</v>
      </c>
      <c r="G1881" s="8" t="s">
        <v>21</v>
      </c>
      <c r="H1881" s="16">
        <v>5.0</v>
      </c>
      <c r="I1881" s="15" t="str">
        <f>SUBSTITUTE(Sheet1!K1881, "Rp", "")</f>
        <v>775000</v>
      </c>
    </row>
    <row r="1882">
      <c r="A1882" s="8" t="s">
        <v>2880</v>
      </c>
      <c r="B1882" s="13" t="str">
        <f>HYPERLINK("https://shopee.co.id/Somethinc-Salmon-DNA-Marine-Collagen-Elixir-20ml-i.10689.9757731844", "https://shopee.co.id/Somethinc-Salmon-DNA-Marine-Collagen-Elixir-20ml-i.10689.9757731844")</f>
        <v>https://shopee.co.id/Somethinc-Salmon-DNA-Marine-Collagen-Elixir-20ml-i.10689.9757731844</v>
      </c>
      <c r="C1882" s="8" t="s">
        <v>45</v>
      </c>
      <c r="D1882" s="8" t="s">
        <v>745</v>
      </c>
      <c r="E1882" s="8" t="s">
        <v>12</v>
      </c>
      <c r="F1882" s="8" t="s">
        <v>13</v>
      </c>
      <c r="G1882" s="8" t="s">
        <v>61</v>
      </c>
      <c r="H1882" s="16">
        <v>5.0</v>
      </c>
      <c r="I1882" s="15" t="str">
        <f>SUBSTITUTE(Sheet1!K1882, "Rp", "")</f>
        <v>775000</v>
      </c>
    </row>
    <row r="1883">
      <c r="A1883" s="8" t="s">
        <v>1070</v>
      </c>
      <c r="B1883" s="13" t="str">
        <f>HYPERLINK("https://shopee.co.id/Sulwhasoo-Concentrated-Ginseng-Renewing-Serum-30ml-i.274949344.5539210389", "https://shopee.co.id/Sulwhasoo-Concentrated-Ginseng-Renewing-Serum-30ml-i.274949344.5539210389")</f>
        <v>https://shopee.co.id/Sulwhasoo-Concentrated-Ginseng-Renewing-Serum-30ml-i.274949344.5539210389</v>
      </c>
      <c r="C1883" s="8" t="s">
        <v>282</v>
      </c>
      <c r="D1883" s="8" t="s">
        <v>283</v>
      </c>
      <c r="E1883" s="8" t="s">
        <v>12</v>
      </c>
      <c r="F1883" s="8" t="s">
        <v>13</v>
      </c>
      <c r="G1883" s="8" t="s">
        <v>61</v>
      </c>
      <c r="H1883" s="16">
        <v>5.0</v>
      </c>
      <c r="I1883" s="15" t="str">
        <f>SUBSTITUTE(Sheet1!K1883, "Rp", "")</f>
        <v>7610800</v>
      </c>
    </row>
    <row r="1884">
      <c r="A1884" s="8" t="s">
        <v>1177</v>
      </c>
      <c r="B1884" s="13" t="str">
        <f>HYPERLINK("https://shopee.co.id/Sulwhasoo-First-Care-Activating-Serum-60ml-i.274949344.8607362601", "https://shopee.co.id/Sulwhasoo-First-Care-Activating-Serum-60ml-i.274949344.8607362601")</f>
        <v>https://shopee.co.id/Sulwhasoo-First-Care-Activating-Serum-60ml-i.274949344.8607362601</v>
      </c>
      <c r="C1884" s="8" t="s">
        <v>282</v>
      </c>
      <c r="D1884" s="8" t="s">
        <v>283</v>
      </c>
      <c r="E1884" s="8" t="s">
        <v>12</v>
      </c>
      <c r="F1884" s="8" t="s">
        <v>13</v>
      </c>
      <c r="G1884" s="8" t="s">
        <v>61</v>
      </c>
      <c r="H1884" s="16">
        <v>5.0</v>
      </c>
      <c r="I1884" s="15" t="str">
        <f>SUBSTITUTE(Sheet1!K1884, "Rp", "")</f>
        <v>5715900</v>
      </c>
    </row>
    <row r="1885">
      <c r="A1885" s="8" t="s">
        <v>1738</v>
      </c>
      <c r="B1885" s="13" t="str">
        <f>HYPERLINK("https://shopee.co.id/Sulwhasoo-First-Care-Activating-Serum-Trial-Kit-i.274949344.5852728762", "https://shopee.co.id/Sulwhasoo-First-Care-Activating-Serum-Trial-Kit-i.274949344.5852728762")</f>
        <v>https://shopee.co.id/Sulwhasoo-First-Care-Activating-Serum-Trial-Kit-i.274949344.5852728762</v>
      </c>
      <c r="C1885" s="8" t="s">
        <v>282</v>
      </c>
      <c r="D1885" s="8" t="s">
        <v>283</v>
      </c>
      <c r="E1885" s="8" t="s">
        <v>12</v>
      </c>
      <c r="F1885" s="8" t="s">
        <v>13</v>
      </c>
      <c r="G1885" s="8" t="s">
        <v>61</v>
      </c>
      <c r="H1885" s="16">
        <v>5.0</v>
      </c>
      <c r="I1885" s="15" t="str">
        <f>SUBSTITUTE(Sheet1!K1885, "Rp", "")</f>
        <v>5072500</v>
      </c>
    </row>
    <row r="1886">
      <c r="A1886" s="8" t="s">
        <v>3316</v>
      </c>
      <c r="B1886" s="13" t="str">
        <f>HYPERLINK("https://shopee.co.id/the-Aubree-Centella-Herb-Serum-Unscented-30ml-i.50948181.4672816765", "https://shopee.co.id/the-Aubree-Centella-Herb-Serum-Unscented-30ml-i.50948181.4672816765")</f>
        <v>https://shopee.co.id/the-Aubree-Centella-Herb-Serum-Unscented-30ml-i.50948181.4672816765</v>
      </c>
      <c r="C1886" s="8" t="s">
        <v>772</v>
      </c>
      <c r="D1886" s="8" t="s">
        <v>1129</v>
      </c>
      <c r="E1886" s="8" t="s">
        <v>12</v>
      </c>
      <c r="F1886" s="8" t="s">
        <v>13</v>
      </c>
      <c r="G1886" s="8" t="s">
        <v>1130</v>
      </c>
      <c r="H1886" s="16">
        <v>5.0</v>
      </c>
      <c r="I1886" s="15" t="str">
        <f>SUBSTITUTE(Sheet1!K1886, "Rp", "")</f>
        <v>420750</v>
      </c>
    </row>
    <row r="1887">
      <c r="A1887" s="8" t="s">
        <v>3208</v>
      </c>
      <c r="B1887" s="13" t="str">
        <f>HYPERLINK("https://shopee.co.id/True-to-Skin-Serum-Bakuchiol-Niacinamide-Hyaluronic-Antioxidant-Facial-Oil-20ml-i.136011044.3691409006", "https://shopee.co.id/True-to-Skin-Serum-Bakuchiol-Niacinamide-Hyaluronic-Antioxidant-Facial-Oil-20ml-i.136011044.3691409006")</f>
        <v>https://shopee.co.id/True-to-Skin-Serum-Bakuchiol-Niacinamide-Hyaluronic-Antioxidant-Facial-Oil-20ml-i.136011044.3691409006</v>
      </c>
      <c r="C1887" s="8" t="s">
        <v>666</v>
      </c>
      <c r="D1887" s="8" t="s">
        <v>632</v>
      </c>
      <c r="E1887" s="8" t="s">
        <v>12</v>
      </c>
      <c r="F1887" s="8" t="s">
        <v>13</v>
      </c>
      <c r="G1887" s="8" t="s">
        <v>21</v>
      </c>
      <c r="H1887" s="16">
        <v>5.0</v>
      </c>
      <c r="I1887" s="15" t="str">
        <f>SUBSTITUTE(Sheet1!K1887, "Rp", "")</f>
        <v>512300</v>
      </c>
    </row>
    <row r="1888">
      <c r="A1888" s="8" t="s">
        <v>2694</v>
      </c>
      <c r="B1888" s="13" t="str">
        <f>HYPERLINK("https://shopee.co.id/Tuesbelle-BIO-BEAUTY-LAB-Phyto-Power-Essence-50ml-i.36872574.10327965919", "https://shopee.co.id/Tuesbelle-BIO-BEAUTY-LAB-Phyto-Power-Essence-50ml-i.36872574.10327965919")</f>
        <v>https://shopee.co.id/Tuesbelle-BIO-BEAUTY-LAB-Phyto-Power-Essence-50ml-i.36872574.10327965919</v>
      </c>
      <c r="C1888" s="8" t="s">
        <v>120</v>
      </c>
      <c r="D1888" s="8" t="s">
        <v>969</v>
      </c>
      <c r="E1888" s="8" t="s">
        <v>12</v>
      </c>
      <c r="F1888" s="8" t="s">
        <v>13</v>
      </c>
      <c r="G1888" s="8" t="s">
        <v>115</v>
      </c>
      <c r="H1888" s="16">
        <v>5.0</v>
      </c>
      <c r="I1888" s="15" t="str">
        <f>SUBSTITUTE(Sheet1!K1888, "Rp", "")</f>
        <v>1246000</v>
      </c>
    </row>
    <row r="1889">
      <c r="A1889" s="8" t="s">
        <v>3285</v>
      </c>
      <c r="B1889" s="13" t="str">
        <f>HYPERLINK("https://shopee.co.id/Tuesbelle-NOOLA-Breezy-Willow-Moist-Serum-30ml-i.36872574.11623922149", "https://shopee.co.id/Tuesbelle-NOOLA-Breezy-Willow-Moist-Serum-30ml-i.36872574.11623922149")</f>
        <v>https://shopee.co.id/Tuesbelle-NOOLA-Breezy-Willow-Moist-Serum-30ml-i.36872574.11623922149</v>
      </c>
      <c r="C1889" s="8" t="s">
        <v>2794</v>
      </c>
      <c r="D1889" s="8" t="s">
        <v>969</v>
      </c>
      <c r="E1889" s="8" t="s">
        <v>12</v>
      </c>
      <c r="F1889" s="8" t="s">
        <v>13</v>
      </c>
      <c r="G1889" s="8" t="s">
        <v>115</v>
      </c>
      <c r="H1889" s="16">
        <v>5.0</v>
      </c>
      <c r="I1889" s="15" t="str">
        <f>SUBSTITUTE(Sheet1!K1889, "Rp", "")</f>
        <v>445500</v>
      </c>
    </row>
    <row r="1890">
      <c r="A1890" s="8" t="s">
        <v>3032</v>
      </c>
      <c r="B1890" s="13" t="str">
        <f>HYPERLINK("https://shopee.co.id/Tuesbelle-SKIN-GAME-Focus-Acne-Combat-i.36872574.9185477277", "https://shopee.co.id/Tuesbelle-SKIN-GAME-Focus-Acne-Combat-i.36872574.9185477277")</f>
        <v>https://shopee.co.id/Tuesbelle-SKIN-GAME-Focus-Acne-Combat-i.36872574.9185477277</v>
      </c>
      <c r="C1890" s="8" t="s">
        <v>523</v>
      </c>
      <c r="D1890" s="8" t="s">
        <v>969</v>
      </c>
      <c r="E1890" s="8" t="s">
        <v>12</v>
      </c>
      <c r="F1890" s="8" t="s">
        <v>13</v>
      </c>
      <c r="G1890" s="8" t="s">
        <v>115</v>
      </c>
      <c r="H1890" s="16">
        <v>5.0</v>
      </c>
      <c r="I1890" s="15" t="str">
        <f>SUBSTITUTE(Sheet1!K1890, "Rp", "")</f>
        <v>695830</v>
      </c>
    </row>
    <row r="1891">
      <c r="A1891" s="8" t="s">
        <v>1869</v>
      </c>
      <c r="B1891" s="13" t="str">
        <f>HYPERLINK("https://shopee.co.id/Ultima-II-Clear-White-Supreme-Face-Essence-30-ml-i.152254718.2676650302", "https://shopee.co.id/Ultima-II-Clear-White-Supreme-Face-Essence-30-ml-i.152254718.2676650302")</f>
        <v>https://shopee.co.id/Ultima-II-Clear-White-Supreme-Face-Essence-30-ml-i.152254718.2676650302</v>
      </c>
      <c r="C1891" s="8" t="s">
        <v>1210</v>
      </c>
      <c r="D1891" s="8" t="s">
        <v>1211</v>
      </c>
      <c r="E1891" s="8" t="s">
        <v>12</v>
      </c>
      <c r="F1891" s="8" t="s">
        <v>13</v>
      </c>
      <c r="G1891" s="8" t="s">
        <v>469</v>
      </c>
      <c r="H1891" s="16">
        <v>5.0</v>
      </c>
      <c r="I1891" s="15" t="str">
        <f>SUBSTITUTE(Sheet1!K1891, "Rp", "")</f>
        <v>4224500</v>
      </c>
    </row>
    <row r="1892">
      <c r="A1892" s="8" t="s">
        <v>2992</v>
      </c>
      <c r="B1892" s="13" t="str">
        <f>HYPERLINK("https://shopee.co.id/Utama-Spice-Face-Serum-30-ml-i.53018304.1236963617", "https://shopee.co.id/Utama-Spice-Face-Serum-30-ml-i.53018304.1236963617")</f>
        <v>https://shopee.co.id/Utama-Spice-Face-Serum-30-ml-i.53018304.1236963617</v>
      </c>
      <c r="C1892" s="8" t="s">
        <v>2926</v>
      </c>
      <c r="D1892" s="8" t="s">
        <v>2927</v>
      </c>
      <c r="E1892" s="8" t="s">
        <v>12</v>
      </c>
      <c r="F1892" s="8" t="s">
        <v>13</v>
      </c>
      <c r="G1892" s="8" t="s">
        <v>2928</v>
      </c>
      <c r="H1892" s="16">
        <v>5.0</v>
      </c>
      <c r="I1892" s="15" t="str">
        <f>SUBSTITUTE(Sheet1!K1892, "Rp", "")</f>
        <v>760000</v>
      </c>
    </row>
    <row r="1893">
      <c r="A1893" s="8" t="s">
        <v>2795</v>
      </c>
      <c r="B1893" s="13" t="str">
        <f>HYPERLINK("https://shopee.co.id/Votre-Peau-Brightening-Essence-50ml-i.825870.4945264099", "https://shopee.co.id/Votre-Peau-Brightening-Essence-50ml-i.825870.4945264099")</f>
        <v>https://shopee.co.id/Votre-Peau-Brightening-Essence-50ml-i.825870.4945264099</v>
      </c>
      <c r="C1893" s="8" t="s">
        <v>471</v>
      </c>
      <c r="D1893" s="8" t="s">
        <v>1184</v>
      </c>
      <c r="E1893" s="8" t="s">
        <v>12</v>
      </c>
      <c r="F1893" s="8" t="s">
        <v>13</v>
      </c>
      <c r="G1893" s="8" t="s">
        <v>21</v>
      </c>
      <c r="H1893" s="16">
        <v>5.0</v>
      </c>
      <c r="I1893" s="15" t="str">
        <f>SUBSTITUTE(Sheet1!K1893, "Rp", "")</f>
        <v>1073190</v>
      </c>
    </row>
    <row r="1894">
      <c r="A1894" s="8" t="s">
        <v>2691</v>
      </c>
      <c r="B1894" s="13" t="str">
        <f>HYPERLINK("https://shopee.co.id/Votre-Peau-Vitamin-C-Serum-30ml-i.825870.1738550196", "https://shopee.co.id/Votre-Peau-Vitamin-C-Serum-30ml-i.825870.1738550196")</f>
        <v>https://shopee.co.id/Votre-Peau-Vitamin-C-Serum-30ml-i.825870.1738550196</v>
      </c>
      <c r="C1894" s="8" t="s">
        <v>471</v>
      </c>
      <c r="D1894" s="8" t="s">
        <v>1184</v>
      </c>
      <c r="E1894" s="8" t="s">
        <v>12</v>
      </c>
      <c r="F1894" s="8" t="s">
        <v>13</v>
      </c>
      <c r="G1894" s="8" t="s">
        <v>21</v>
      </c>
      <c r="H1894" s="16">
        <v>5.0</v>
      </c>
      <c r="I1894" s="15" t="str">
        <f>SUBSTITUTE(Sheet1!K1894, "Rp", "")</f>
        <v>1256100</v>
      </c>
    </row>
    <row r="1895">
      <c r="A1895" s="8" t="s">
        <v>2708</v>
      </c>
      <c r="B1895" s="13" t="str">
        <f>HYPERLINK("https://shopee.co.id/VOTRE-PEAU-Vitamin-C-Serum-i.68111.825346327", "https://shopee.co.id/VOTRE-PEAU-Vitamin-C-Serum-i.68111.825346327")</f>
        <v>https://shopee.co.id/VOTRE-PEAU-Vitamin-C-Serum-i.68111.825346327</v>
      </c>
      <c r="C1895" s="8" t="s">
        <v>471</v>
      </c>
      <c r="D1895" s="8" t="s">
        <v>441</v>
      </c>
      <c r="E1895" s="8" t="s">
        <v>12</v>
      </c>
      <c r="F1895" s="8" t="s">
        <v>13</v>
      </c>
      <c r="G1895" s="8" t="s">
        <v>130</v>
      </c>
      <c r="H1895" s="16">
        <v>5.0</v>
      </c>
      <c r="I1895" s="15" t="str">
        <f>SUBSTITUTE(Sheet1!K1895, "Rp", "")</f>
        <v>1211050</v>
      </c>
    </row>
    <row r="1896">
      <c r="A1896" s="8" t="s">
        <v>2874</v>
      </c>
      <c r="B1896" s="13" t="str">
        <f>HYPERLINK("https://shopee.co.id/Wardah-Crystallure-Booster-Essence-30Ml-i.186214521.6025661312", "https://shopee.co.id/Wardah-Crystallure-Booster-Essence-30Ml-i.186214521.6025661312")</f>
        <v>https://shopee.co.id/Wardah-Crystallure-Booster-Essence-30Ml-i.186214521.6025661312</v>
      </c>
      <c r="C1896" s="8" t="s">
        <v>169</v>
      </c>
      <c r="D1896" s="8" t="s">
        <v>2293</v>
      </c>
      <c r="E1896" s="8" t="s">
        <v>12</v>
      </c>
      <c r="F1896" s="8" t="s">
        <v>13</v>
      </c>
      <c r="G1896" s="8" t="s">
        <v>61</v>
      </c>
      <c r="H1896" s="16">
        <v>5.0</v>
      </c>
      <c r="I1896" s="15" t="str">
        <f>SUBSTITUTE(Sheet1!K1896, "Rp", "")</f>
        <v>937500</v>
      </c>
    </row>
    <row r="1897">
      <c r="A1897" s="8" t="s">
        <v>3345</v>
      </c>
      <c r="B1897" s="13" t="str">
        <f>HYPERLINK("https://shopee.co.id/Whitelab-Acne-Calming-Serum-20ml-i.825870.5377315976", "https://shopee.co.id/Whitelab-Acne-Calming-Serum-20ml-i.825870.5377315976")</f>
        <v>https://shopee.co.id/Whitelab-Acne-Calming-Serum-20ml-i.825870.5377315976</v>
      </c>
      <c r="C1897" s="8" t="s">
        <v>59</v>
      </c>
      <c r="D1897" s="8" t="s">
        <v>1184</v>
      </c>
      <c r="E1897" s="8" t="s">
        <v>12</v>
      </c>
      <c r="F1897" s="8" t="s">
        <v>13</v>
      </c>
      <c r="G1897" s="8" t="s">
        <v>21</v>
      </c>
      <c r="H1897" s="16">
        <v>5.0</v>
      </c>
      <c r="I1897" s="15" t="str">
        <f>SUBSTITUTE(Sheet1!K1897, "Rp", "")</f>
        <v>393750</v>
      </c>
    </row>
    <row r="1898">
      <c r="A1898" s="8" t="s">
        <v>3553</v>
      </c>
      <c r="B1898" s="13" t="str">
        <f>HYPERLINK("https://shopee.co.id/-3-Pcs-Hanasui-Serum-Whitening-Gold-20ml-i.121791179.5652976487", "https://shopee.co.id/-3-Pcs-Hanasui-Serum-Whitening-Gold-20ml-i.121791179.5652976487")</f>
        <v>https://shopee.co.id/-3-Pcs-Hanasui-Serum-Whitening-Gold-20ml-i.121791179.5652976487</v>
      </c>
      <c r="C1898" s="8" t="s">
        <v>784</v>
      </c>
      <c r="D1898" s="8" t="s">
        <v>1733</v>
      </c>
      <c r="E1898" s="8" t="s">
        <v>12</v>
      </c>
      <c r="F1898" s="8" t="s">
        <v>13</v>
      </c>
      <c r="G1898" s="8" t="s">
        <v>36</v>
      </c>
      <c r="H1898" s="16">
        <v>4.0</v>
      </c>
      <c r="I1898" s="15" t="str">
        <f>SUBSTITUTE(Sheet1!K1898, "Rp", "")</f>
        <v>250400</v>
      </c>
    </row>
    <row r="1899">
      <c r="A1899" s="8" t="s">
        <v>3320</v>
      </c>
      <c r="B1899" s="13" t="str">
        <f>HYPERLINK("https://shopee.co.id/-Buy-1-Get-1-Lysca-White-Serum-20ml-Whitening-Booster-i.267190835.3791494361", "https://shopee.co.id/-Buy-1-Get-1-Lysca-White-Serum-20ml-Whitening-Booster-i.267190835.3791494361")</f>
        <v>https://shopee.co.id/-Buy-1-Get-1-Lysca-White-Serum-20ml-Whitening-Booster-i.267190835.3791494361</v>
      </c>
      <c r="C1899" s="8" t="s">
        <v>2097</v>
      </c>
      <c r="D1899" s="8" t="s">
        <v>2098</v>
      </c>
      <c r="E1899" s="8" t="s">
        <v>12</v>
      </c>
      <c r="F1899" s="8" t="s">
        <v>13</v>
      </c>
      <c r="G1899" s="8" t="s">
        <v>115</v>
      </c>
      <c r="H1899" s="16">
        <v>4.0</v>
      </c>
      <c r="I1899" s="15" t="str">
        <f>SUBSTITUTE(Sheet1!K1899, "Rp", "")</f>
        <v>417000</v>
      </c>
    </row>
    <row r="1900">
      <c r="A1900" s="8" t="s">
        <v>2920</v>
      </c>
      <c r="B1900" s="13" t="str">
        <f>HYPERLINK("https://shopee.co.id/-LIMITED-BUNDLE-Aesthetic-Bluepin-Excellen-C-Face-Serum-Skind-Rose-Drip-Crytal-Serum-i.54874680.11422987119", "https://shopee.co.id/-LIMITED-BUNDLE-Aesthetic-Bluepin-Excellen-C-Face-Serum-Skind-Rose-Drip-Crytal-Serum-i.54874680.11422987119")</f>
        <v>https://shopee.co.id/-LIMITED-BUNDLE-Aesthetic-Bluepin-Excellen-C-Face-Serum-Skind-Rose-Drip-Crytal-Serum-i.54874680.11422987119</v>
      </c>
      <c r="C1900" s="8" t="s">
        <v>2921</v>
      </c>
      <c r="D1900" s="8" t="s">
        <v>1425</v>
      </c>
      <c r="E1900" s="8" t="s">
        <v>12</v>
      </c>
      <c r="F1900" s="8" t="s">
        <v>13</v>
      </c>
      <c r="G1900" s="8" t="s">
        <v>80</v>
      </c>
      <c r="H1900" s="16">
        <v>4.0</v>
      </c>
      <c r="I1900" s="15" t="str">
        <f>SUBSTITUTE(Sheet1!K1900, "Rp", "")</f>
        <v>867600</v>
      </c>
    </row>
    <row r="1901">
      <c r="A1901" s="8" t="s">
        <v>3633</v>
      </c>
      <c r="B1901" s="13" t="str">
        <f>HYPERLINK("https://shopee.co.id/Acnes-Derma-Care-Anti-Blemish-Essence-20ml-Gentle-Cleanser-120gr-i.50948181.11913277180", "https://shopee.co.id/Acnes-Derma-Care-Anti-Blemish-Essence-20ml-Gentle-Cleanser-120gr-i.50948181.11913277180")</f>
        <v>https://shopee.co.id/Acnes-Derma-Care-Anti-Blemish-Essence-20ml-Gentle-Cleanser-120gr-i.50948181.11913277180</v>
      </c>
      <c r="C1901" s="8" t="s">
        <v>3634</v>
      </c>
      <c r="D1901" s="8" t="s">
        <v>1129</v>
      </c>
      <c r="E1901" s="8" t="s">
        <v>12</v>
      </c>
      <c r="F1901" s="8" t="s">
        <v>13</v>
      </c>
      <c r="G1901" s="8" t="s">
        <v>1130</v>
      </c>
      <c r="H1901" s="16">
        <v>4.0</v>
      </c>
      <c r="I1901" s="15" t="str">
        <f>SUBSTITUTE(Sheet1!K1901, "Rp", "")</f>
        <v>210400</v>
      </c>
    </row>
    <row r="1902">
      <c r="A1902" s="8" t="s">
        <v>3724</v>
      </c>
      <c r="B1902" s="13" t="str">
        <f>HYPERLINK("https://shopee.co.id/Breylee-Pore-Refining-Serum-Step-2-17ml-i.50948181.3039315404", "https://shopee.co.id/Breylee-Pore-Refining-Serum-Step-2-17ml-i.50948181.3039315404")</f>
        <v>https://shopee.co.id/Breylee-Pore-Refining-Serum-Step-2-17ml-i.50948181.3039315404</v>
      </c>
      <c r="C1902" s="8" t="s">
        <v>852</v>
      </c>
      <c r="D1902" s="8" t="s">
        <v>1129</v>
      </c>
      <c r="E1902" s="8" t="s">
        <v>12</v>
      </c>
      <c r="F1902" s="8" t="s">
        <v>13</v>
      </c>
      <c r="G1902" s="8" t="s">
        <v>1130</v>
      </c>
      <c r="H1902" s="16">
        <v>4.0</v>
      </c>
      <c r="I1902" s="15" t="str">
        <f>SUBSTITUTE(Sheet1!K1902, "Rp", "")</f>
        <v>164570</v>
      </c>
    </row>
    <row r="1903">
      <c r="A1903" s="8" t="s">
        <v>3556</v>
      </c>
      <c r="B1903" s="13" t="str">
        <f>HYPERLINK("https://shopee.co.id/-BPOM-LANBENA-Serum-Treatment-B-2pcs--i.397732085.11118832295", "https://shopee.co.id/-BPOM-LANBENA-Serum-Treatment-B-2pcs--i.397732085.11118832295")</f>
        <v>https://shopee.co.id/-BPOM-LANBENA-Serum-Treatment-B-2pcs--i.397732085.11118832295</v>
      </c>
      <c r="C1903" s="8" t="s">
        <v>1427</v>
      </c>
      <c r="D1903" s="8" t="s">
        <v>1428</v>
      </c>
      <c r="E1903" s="8" t="s">
        <v>12</v>
      </c>
      <c r="F1903" s="8" t="s">
        <v>13</v>
      </c>
      <c r="G1903" s="8" t="s">
        <v>532</v>
      </c>
      <c r="H1903" s="16">
        <v>4.0</v>
      </c>
      <c r="I1903" s="15" t="str">
        <f>SUBSTITUTE(Sheet1!K1903, "Rp", "")</f>
        <v>248000</v>
      </c>
    </row>
    <row r="1904">
      <c r="A1904" s="8" t="s">
        <v>3181</v>
      </c>
      <c r="B1904" s="13" t="str">
        <f>HYPERLINK("https://shopee.co.id/Skin-Game-Acne-Combat-Serum-30gr-i.50948181.9684991189", "https://shopee.co.id/Skin-Game-Acne-Combat-Serum-30gr-i.50948181.9684991189")</f>
        <v>https://shopee.co.id/Skin-Game-Acne-Combat-Serum-30gr-i.50948181.9684991189</v>
      </c>
      <c r="C1904" s="8" t="s">
        <v>523</v>
      </c>
      <c r="D1904" s="8" t="s">
        <v>1129</v>
      </c>
      <c r="E1904" s="8" t="s">
        <v>12</v>
      </c>
      <c r="F1904" s="8" t="s">
        <v>13</v>
      </c>
      <c r="G1904" s="8" t="s">
        <v>1130</v>
      </c>
      <c r="H1904" s="16">
        <v>4.0</v>
      </c>
      <c r="I1904" s="15" t="str">
        <f>SUBSTITUTE(Sheet1!K1904, "Rp", "")</f>
        <v>536400</v>
      </c>
    </row>
    <row r="1905">
      <c r="A1905" s="8" t="s">
        <v>1786</v>
      </c>
      <c r="B1905" s="13" t="str">
        <f>HYPERLINK("https://shopee.co.id/-ONLY-9-12-SEPT-Ultimune-Power-Infusing-Concentrate-Serum-3-0-30-ml-i.345419471.4595401664", "https://shopee.co.id/-ONLY-9-12-SEPT-Ultimune-Power-Infusing-Concentrate-Serum-3-0-30-ml-i.345419471.4595401664")</f>
        <v>https://shopee.co.id/-ONLY-9-12-SEPT-Ultimune-Power-Infusing-Concentrate-Serum-3-0-30-ml-i.345419471.4595401664</v>
      </c>
      <c r="C1905" s="8" t="s">
        <v>868</v>
      </c>
      <c r="D1905" s="8" t="s">
        <v>869</v>
      </c>
      <c r="E1905" s="8" t="s">
        <v>12</v>
      </c>
      <c r="F1905" s="8" t="s">
        <v>13</v>
      </c>
      <c r="G1905" s="8" t="s">
        <v>130</v>
      </c>
      <c r="H1905" s="16">
        <v>4.0</v>
      </c>
      <c r="I1905" s="15" t="str">
        <f>SUBSTITUTE(Sheet1!K1905, "Rp", "")</f>
        <v>4800000</v>
      </c>
    </row>
    <row r="1906">
      <c r="A1906" s="8" t="s">
        <v>2367</v>
      </c>
      <c r="B1906" s="13" t="str">
        <f>HYPERLINK("https://shopee.co.id/-The-Face-Shop-Yehwadam-First-Serum-140ml-Original-i.34671748.7375596940", "https://shopee.co.id/-The-Face-Shop-Yehwadam-First-Serum-140ml-Original-i.34671748.7375596940")</f>
        <v>https://shopee.co.id/-The-Face-Shop-Yehwadam-First-Serum-140ml-Original-i.34671748.7375596940</v>
      </c>
      <c r="C1906" s="8" t="s">
        <v>1217</v>
      </c>
      <c r="D1906" s="8" t="s">
        <v>1218</v>
      </c>
      <c r="E1906" s="8" t="s">
        <v>12</v>
      </c>
      <c r="F1906" s="8" t="s">
        <v>13</v>
      </c>
      <c r="G1906" s="8" t="s">
        <v>61</v>
      </c>
      <c r="H1906" s="16">
        <v>4.0</v>
      </c>
      <c r="I1906" s="15" t="str">
        <f>SUBSTITUTE(Sheet1!K1906, "Rp", "")</f>
        <v>2047500</v>
      </c>
    </row>
    <row r="1907">
      <c r="A1907" s="8" t="s">
        <v>3160</v>
      </c>
      <c r="B1907" s="13" t="str">
        <f>HYPERLINK("https://shopee.co.id/Aizen-Polyglutamic-Acid-5-Ultra-Ampoule-Serum-Pelembab-Hidrasi-Kulit-Wajah-i.89939211.7175357629", "https://shopee.co.id/Aizen-Polyglutamic-Acid-5-Ultra-Ampoule-Serum-Pelembab-Hidrasi-Kulit-Wajah-i.89939211.7175357629")</f>
        <v>https://shopee.co.id/Aizen-Polyglutamic-Acid-5-Ultra-Ampoule-Serum-Pelembab-Hidrasi-Kulit-Wajah-i.89939211.7175357629</v>
      </c>
      <c r="C1907" s="8" t="s">
        <v>1325</v>
      </c>
      <c r="D1907" s="8" t="s">
        <v>1326</v>
      </c>
      <c r="E1907" s="8" t="s">
        <v>12</v>
      </c>
      <c r="F1907" s="8" t="s">
        <v>13</v>
      </c>
      <c r="G1907" s="8" t="s">
        <v>14</v>
      </c>
      <c r="H1907" s="16">
        <v>4.0</v>
      </c>
      <c r="I1907" s="15" t="str">
        <f>SUBSTITUTE(Sheet1!K1907, "Rp", "")</f>
        <v>556000</v>
      </c>
    </row>
    <row r="1908">
      <c r="A1908" s="8" t="s">
        <v>1528</v>
      </c>
      <c r="B1908" s="13" t="str">
        <f>HYPERLINK("https://shopee.co.id/Astalift-Infocus-Cellative-Serum-30-ml-i.104888237.3735143833", "https://shopee.co.id/Astalift-Infocus-Cellative-Serum-30-ml-i.104888237.3735143833")</f>
        <v>https://shopee.co.id/Astalift-Infocus-Cellative-Serum-30-ml-i.104888237.3735143833</v>
      </c>
      <c r="C1908" s="8" t="s">
        <v>1529</v>
      </c>
      <c r="D1908" s="8" t="s">
        <v>1530</v>
      </c>
      <c r="E1908" s="8" t="s">
        <v>12</v>
      </c>
      <c r="F1908" s="8" t="s">
        <v>13</v>
      </c>
      <c r="G1908" s="8" t="s">
        <v>61</v>
      </c>
      <c r="H1908" s="16">
        <v>4.0</v>
      </c>
      <c r="I1908" s="15" t="str">
        <f>SUBSTITUTE(Sheet1!K1908, "Rp", "")</f>
        <v>7350000</v>
      </c>
    </row>
    <row r="1909">
      <c r="A1909" s="8" t="s">
        <v>3203</v>
      </c>
      <c r="B1909" s="13" t="str">
        <f>HYPERLINK("https://shopee.co.id/Aubree-Brightening-Serum-Concentrate-30ml-i.825870.3515002779", "https://shopee.co.id/Aubree-Brightening-Serum-Concentrate-30ml-i.825870.3515002779")</f>
        <v>https://shopee.co.id/Aubree-Brightening-Serum-Concentrate-30ml-i.825870.3515002779</v>
      </c>
      <c r="C1909" s="8" t="s">
        <v>2642</v>
      </c>
      <c r="D1909" s="8" t="s">
        <v>1184</v>
      </c>
      <c r="E1909" s="8" t="s">
        <v>12</v>
      </c>
      <c r="F1909" s="8" t="s">
        <v>13</v>
      </c>
      <c r="G1909" s="8" t="s">
        <v>21</v>
      </c>
      <c r="H1909" s="16">
        <v>4.0</v>
      </c>
      <c r="I1909" s="15" t="str">
        <f>SUBSTITUTE(Sheet1!K1909, "Rp", "")</f>
        <v>516000</v>
      </c>
    </row>
    <row r="1910">
      <c r="A1910" s="8" t="s">
        <v>3411</v>
      </c>
      <c r="B1910" s="13" t="str">
        <f>HYPERLINK("https://shopee.co.id/Aubree-Rose-Bloom-Petal-Essence-120ml-i.825870.4855178159", "https://shopee.co.id/Aubree-Rose-Bloom-Petal-Essence-120ml-i.825870.4855178159")</f>
        <v>https://shopee.co.id/Aubree-Rose-Bloom-Petal-Essence-120ml-i.825870.4855178159</v>
      </c>
      <c r="C1910" s="8" t="s">
        <v>2642</v>
      </c>
      <c r="D1910" s="8" t="s">
        <v>1184</v>
      </c>
      <c r="E1910" s="8" t="s">
        <v>12</v>
      </c>
      <c r="F1910" s="8" t="s">
        <v>13</v>
      </c>
      <c r="G1910" s="8" t="s">
        <v>21</v>
      </c>
      <c r="H1910" s="16">
        <v>4.0</v>
      </c>
      <c r="I1910" s="15" t="str">
        <f>SUBSTITUTE(Sheet1!K1910, "Rp", "")</f>
        <v>356400</v>
      </c>
    </row>
    <row r="1911">
      <c r="A1911" s="8" t="s">
        <v>3005</v>
      </c>
      <c r="B1911" s="13" t="str">
        <f>HYPERLINK("https://shopee.co.id/Aura-Dermatology-Serum-Vitamin-C-i.312636195.3754278718", "https://shopee.co.id/Aura-Dermatology-Serum-Vitamin-C-i.312636195.3754278718")</f>
        <v>https://shopee.co.id/Aura-Dermatology-Serum-Vitamin-C-i.312636195.3754278718</v>
      </c>
      <c r="C1911" s="8" t="s">
        <v>3006</v>
      </c>
      <c r="D1911" s="8" t="s">
        <v>3007</v>
      </c>
      <c r="E1911" s="8" t="s">
        <v>12</v>
      </c>
      <c r="F1911" s="8" t="s">
        <v>13</v>
      </c>
      <c r="G1911" s="8" t="s">
        <v>241</v>
      </c>
      <c r="H1911" s="16">
        <v>4.0</v>
      </c>
      <c r="I1911" s="15" t="str">
        <f>SUBSTITUTE(Sheet1!K1911, "Rp", "")</f>
        <v>740000</v>
      </c>
    </row>
    <row r="1912">
      <c r="A1912" s="8" t="s">
        <v>3126</v>
      </c>
      <c r="B1912" s="13" t="str">
        <f>HYPERLINK("https://shopee.co.id/Avoskin-Your-Skin-Bae-Azeclair-10-Kombucha-3-Nia-2-5-Serum-30ml-i.825870.9678276132", "https://shopee.co.id/Avoskin-Your-Skin-Bae-Azeclair-10-Kombucha-3-Nia-2-5-Serum-30ml-i.825870.9678276132")</f>
        <v>https://shopee.co.id/Avoskin-Your-Skin-Bae-Azeclair-10-Kombucha-3-Nia-2-5-Serum-30ml-i.825870.9678276132</v>
      </c>
      <c r="C1912" s="8" t="s">
        <v>83</v>
      </c>
      <c r="D1912" s="8" t="s">
        <v>1184</v>
      </c>
      <c r="E1912" s="8" t="s">
        <v>12</v>
      </c>
      <c r="F1912" s="8" t="s">
        <v>13</v>
      </c>
      <c r="G1912" s="8" t="s">
        <v>21</v>
      </c>
      <c r="H1912" s="16">
        <v>4.0</v>
      </c>
      <c r="I1912" s="15" t="str">
        <f>SUBSTITUTE(Sheet1!K1912, "Rp", "")</f>
        <v>596000</v>
      </c>
    </row>
    <row r="1913">
      <c r="A1913" s="8" t="s">
        <v>3161</v>
      </c>
      <c r="B1913" s="13" t="str">
        <f>HYPERLINK("https://shopee.co.id/Avoskin-Your-Skin-Bae-Hyacross-3-Green-Tea-30ml-i.825870.5083138210", "https://shopee.co.id/Avoskin-Your-Skin-Bae-Hyacross-3-Green-Tea-30ml-i.825870.5083138210")</f>
        <v>https://shopee.co.id/Avoskin-Your-Skin-Bae-Hyacross-3-Green-Tea-30ml-i.825870.5083138210</v>
      </c>
      <c r="C1913" s="8" t="s">
        <v>83</v>
      </c>
      <c r="D1913" s="8" t="s">
        <v>1184</v>
      </c>
      <c r="E1913" s="8" t="s">
        <v>12</v>
      </c>
      <c r="F1913" s="8" t="s">
        <v>13</v>
      </c>
      <c r="G1913" s="8" t="s">
        <v>21</v>
      </c>
      <c r="H1913" s="16">
        <v>4.0</v>
      </c>
      <c r="I1913" s="15" t="str">
        <f>SUBSTITUTE(Sheet1!K1913, "Rp", "")</f>
        <v>556000</v>
      </c>
    </row>
    <row r="1914">
      <c r="A1914" s="8" t="s">
        <v>3162</v>
      </c>
      <c r="B1914" s="13" t="str">
        <f>HYPERLINK("https://shopee.co.id/Avoskin-YOUR-SKIN-BAE-HYACROSS-3-Green-Tea-Blue-Sky-30ml-30ml-i.30736001.11349100579", "https://shopee.co.id/Avoskin-YOUR-SKIN-BAE-HYACROSS-3-Green-Tea-Blue-Sky-30ml-30ml-i.30736001.11349100579")</f>
        <v>https://shopee.co.id/Avoskin-YOUR-SKIN-BAE-HYACROSS-3-Green-Tea-Blue-Sky-30ml-30ml-i.30736001.11349100579</v>
      </c>
      <c r="C1914" s="8" t="s">
        <v>83</v>
      </c>
      <c r="D1914" s="8" t="s">
        <v>335</v>
      </c>
      <c r="E1914" s="8" t="s">
        <v>12</v>
      </c>
      <c r="F1914" s="8" t="s">
        <v>13</v>
      </c>
      <c r="G1914" s="8" t="s">
        <v>36</v>
      </c>
      <c r="H1914" s="16">
        <v>4.0</v>
      </c>
      <c r="I1914" s="15" t="str">
        <f>SUBSTITUTE(Sheet1!K1914, "Rp", "")</f>
        <v>556000</v>
      </c>
    </row>
    <row r="1915">
      <c r="A1915" s="8" t="s">
        <v>3408</v>
      </c>
      <c r="B1915" s="13" t="str">
        <f>HYPERLINK("https://shopee.co.id/AXIS-Y-TRIAL-SIZE-Dark-Spot-Correcting-Glow-Serum-5ml--i.47255270.8358331073", "https://shopee.co.id/AXIS-Y-TRIAL-SIZE-Dark-Spot-Correcting-Glow-Serum-5ml--i.47255270.8358331073")</f>
        <v>https://shopee.co.id/AXIS-Y-TRIAL-SIZE-Dark-Spot-Correcting-Glow-Serum-5ml--i.47255270.8358331073</v>
      </c>
      <c r="C1915" s="8" t="s">
        <v>710</v>
      </c>
      <c r="D1915" s="8" t="s">
        <v>1978</v>
      </c>
      <c r="E1915" s="8" t="s">
        <v>12</v>
      </c>
      <c r="F1915" s="8" t="s">
        <v>13</v>
      </c>
      <c r="G1915" s="8" t="s">
        <v>241</v>
      </c>
      <c r="H1915" s="16">
        <v>4.0</v>
      </c>
      <c r="I1915" s="15" t="str">
        <f>SUBSTITUTE(Sheet1!K1915, "Rp", "")</f>
        <v>358000</v>
      </c>
    </row>
    <row r="1916">
      <c r="A1916" s="8" t="s">
        <v>3635</v>
      </c>
      <c r="B1916" s="13" t="str">
        <f>HYPERLINK("https://shopee.co.id/Azarine-C-White-Lightening-Serum-20ml-i.825870.5910706375", "https://shopee.co.id/Azarine-C-White-Lightening-Serum-20ml-i.825870.5910706375")</f>
        <v>https://shopee.co.id/Azarine-C-White-Lightening-Serum-20ml-i.825870.5910706375</v>
      </c>
      <c r="C1916" s="8" t="s">
        <v>233</v>
      </c>
      <c r="D1916" s="8" t="s">
        <v>1184</v>
      </c>
      <c r="E1916" s="8" t="s">
        <v>12</v>
      </c>
      <c r="F1916" s="8" t="s">
        <v>13</v>
      </c>
      <c r="G1916" s="8" t="s">
        <v>21</v>
      </c>
      <c r="H1916" s="16">
        <v>4.0</v>
      </c>
      <c r="I1916" s="15" t="str">
        <f>SUBSTITUTE(Sheet1!K1916, "Rp", "")</f>
        <v>210000</v>
      </c>
    </row>
    <row r="1917">
      <c r="A1917" s="8" t="s">
        <v>3820</v>
      </c>
      <c r="B1917" s="13" t="str">
        <f>HYPERLINK("https://shopee.co.id/Azarine-Miraclear-Herbal-Peeling-Serum-20ml-i.825870.4547679609", "https://shopee.co.id/Azarine-Miraclear-Herbal-Peeling-Serum-20ml-i.825870.4547679609")</f>
        <v>https://shopee.co.id/Azarine-Miraclear-Herbal-Peeling-Serum-20ml-i.825870.4547679609</v>
      </c>
      <c r="C1917" s="8" t="s">
        <v>233</v>
      </c>
      <c r="D1917" s="8" t="s">
        <v>1184</v>
      </c>
      <c r="E1917" s="8" t="s">
        <v>12</v>
      </c>
      <c r="F1917" s="8" t="s">
        <v>13</v>
      </c>
      <c r="G1917" s="8" t="s">
        <v>21</v>
      </c>
      <c r="H1917" s="16">
        <v>4.0</v>
      </c>
      <c r="I1917" s="15" t="str">
        <f>SUBSTITUTE(Sheet1!K1917, "Rp", "")</f>
        <v>118000</v>
      </c>
    </row>
    <row r="1918">
      <c r="A1918" s="8" t="s">
        <v>3719</v>
      </c>
      <c r="B1918" s="13" t="str">
        <f>HYPERLINK("https://shopee.co.id/AZARINE-Refreshing-Essence-Mist-x-Rachel-Goddard-i.68111.4369899246", "https://shopee.co.id/AZARINE-Refreshing-Essence-Mist-x-Rachel-Goddard-i.68111.4369899246")</f>
        <v>https://shopee.co.id/AZARINE-Refreshing-Essence-Mist-x-Rachel-Goddard-i.68111.4369899246</v>
      </c>
      <c r="C1918" s="8" t="s">
        <v>233</v>
      </c>
      <c r="D1918" s="8" t="s">
        <v>441</v>
      </c>
      <c r="E1918" s="8" t="s">
        <v>12</v>
      </c>
      <c r="F1918" s="8" t="s">
        <v>13</v>
      </c>
      <c r="G1918" s="8" t="s">
        <v>130</v>
      </c>
      <c r="H1918" s="16">
        <v>4.0</v>
      </c>
      <c r="I1918" s="15" t="str">
        <f>SUBSTITUTE(Sheet1!K1918, "Rp", "")</f>
        <v>166500</v>
      </c>
    </row>
    <row r="1919">
      <c r="A1919" s="8" t="s">
        <v>3481</v>
      </c>
      <c r="B1919" s="13" t="str">
        <f>HYPERLINK("https://shopee.co.id/AZARINE-Revitalizing-Anti-Aging-Serum-20ml-i.68111.7696762997", "https://shopee.co.id/AZARINE-Revitalizing-Anti-Aging-Serum-20ml-i.68111.7696762997")</f>
        <v>https://shopee.co.id/AZARINE-Revitalizing-Anti-Aging-Serum-20ml-i.68111.7696762997</v>
      </c>
      <c r="C1919" s="8" t="s">
        <v>233</v>
      </c>
      <c r="D1919" s="8" t="s">
        <v>441</v>
      </c>
      <c r="E1919" s="8" t="s">
        <v>12</v>
      </c>
      <c r="F1919" s="8" t="s">
        <v>13</v>
      </c>
      <c r="G1919" s="8" t="s">
        <v>130</v>
      </c>
      <c r="H1919" s="16">
        <v>4.0</v>
      </c>
      <c r="I1919" s="15" t="str">
        <f>SUBSTITUTE(Sheet1!K1919, "Rp", "")</f>
        <v>296250</v>
      </c>
    </row>
    <row r="1920">
      <c r="A1920" s="8" t="s">
        <v>2354</v>
      </c>
      <c r="B1920" s="13" t="str">
        <f>HYPERLINK("https://shopee.co.id/Babor-Rose-Toning-Essence-200-ML-i.131188140.1971037892", "https://shopee.co.id/Babor-Rose-Toning-Essence-200-ML-i.131188140.1971037892")</f>
        <v>https://shopee.co.id/Babor-Rose-Toning-Essence-200-ML-i.131188140.1971037892</v>
      </c>
      <c r="C1920" s="8" t="s">
        <v>1433</v>
      </c>
      <c r="D1920" s="8" t="s">
        <v>1434</v>
      </c>
      <c r="E1920" s="8" t="s">
        <v>12</v>
      </c>
      <c r="F1920" s="8" t="s">
        <v>13</v>
      </c>
      <c r="G1920" s="8" t="s">
        <v>61</v>
      </c>
      <c r="H1920" s="16">
        <v>4.0</v>
      </c>
      <c r="I1920" s="15" t="str">
        <f>SUBSTITUTE(Sheet1!K1920, "Rp", "")</f>
        <v>2100000</v>
      </c>
    </row>
    <row r="1921">
      <c r="A1921" s="8" t="s">
        <v>2355</v>
      </c>
      <c r="B1921" s="13" t="str">
        <f>HYPERLINK("https://shopee.co.id/Babor-Thermal-Toning-Essence-200-ML-i.131188140.1971037863", "https://shopee.co.id/Babor-Thermal-Toning-Essence-200-ML-i.131188140.1971037863")</f>
        <v>https://shopee.co.id/Babor-Thermal-Toning-Essence-200-ML-i.131188140.1971037863</v>
      </c>
      <c r="C1921" s="8" t="s">
        <v>1433</v>
      </c>
      <c r="D1921" s="8" t="s">
        <v>1434</v>
      </c>
      <c r="E1921" s="8" t="s">
        <v>12</v>
      </c>
      <c r="F1921" s="8" t="s">
        <v>13</v>
      </c>
      <c r="G1921" s="8" t="s">
        <v>61</v>
      </c>
      <c r="H1921" s="16">
        <v>4.0</v>
      </c>
      <c r="I1921" s="15" t="str">
        <f>SUBSTITUTE(Sheet1!K1921, "Rp", "")</f>
        <v>2100000</v>
      </c>
    </row>
    <row r="1922">
      <c r="A1922" s="8" t="s">
        <v>3752</v>
      </c>
      <c r="B1922" s="13" t="str">
        <f>HYPERLINK("https://shopee.co.id/Beli-1-Dapat-2-Hanasui-Anti-Acne-Serum-20Ml-Serum-Wajah-Vitamin-Wajah-Obat-Jerawat-i.185943783.6714889372", "https://shopee.co.id/Beli-1-Dapat-2-Hanasui-Anti-Acne-Serum-20Ml-Serum-Wajah-Vitamin-Wajah-Obat-Jerawat-i.185943783.6714889372")</f>
        <v>https://shopee.co.id/Beli-1-Dapat-2-Hanasui-Anti-Acne-Serum-20Ml-Serum-Wajah-Vitamin-Wajah-Obat-Jerawat-i.185943783.6714889372</v>
      </c>
      <c r="C1922" s="8" t="s">
        <v>784</v>
      </c>
      <c r="D1922" s="8" t="s">
        <v>3429</v>
      </c>
      <c r="E1922" s="8" t="s">
        <v>12</v>
      </c>
      <c r="F1922" s="8" t="s">
        <v>13</v>
      </c>
      <c r="G1922" s="8" t="s">
        <v>36</v>
      </c>
      <c r="H1922" s="16">
        <v>4.0</v>
      </c>
      <c r="I1922" s="15" t="str">
        <f>SUBSTITUTE(Sheet1!K1922, "Rp", "")</f>
        <v>149387</v>
      </c>
    </row>
    <row r="1923">
      <c r="A1923" s="8" t="s">
        <v>2725</v>
      </c>
      <c r="B1923" s="13" t="str">
        <f>HYPERLINK("https://shopee.co.id/Bhumi-HPR-Retinol-Serum-30ml-i.68111.6567439893", "https://shopee.co.id/Bhumi-HPR-Retinol-Serum-30ml-i.68111.6567439893")</f>
        <v>https://shopee.co.id/Bhumi-HPR-Retinol-Serum-30ml-i.68111.6567439893</v>
      </c>
      <c r="C1923" s="8" t="s">
        <v>753</v>
      </c>
      <c r="D1923" s="8" t="s">
        <v>441</v>
      </c>
      <c r="E1923" s="8" t="s">
        <v>12</v>
      </c>
      <c r="F1923" s="8" t="s">
        <v>13</v>
      </c>
      <c r="G1923" s="8" t="s">
        <v>130</v>
      </c>
      <c r="H1923" s="16">
        <v>4.0</v>
      </c>
      <c r="I1923" s="15" t="str">
        <f>SUBSTITUTE(Sheet1!K1923, "Rp", "")</f>
        <v>1193550</v>
      </c>
    </row>
    <row r="1924">
      <c r="A1924" s="8" t="s">
        <v>2411</v>
      </c>
      <c r="B1924" s="13" t="str">
        <f>HYPERLINK("https://shopee.co.id/Bio-Essence-Bio-Gold-Night-Cream-40-gr-Twinpack-Special-i.63822287.9438818726", "https://shopee.co.id/Bio-Essence-Bio-Gold-Night-Cream-40-gr-Twinpack-Special-i.63822287.9438818726")</f>
        <v>https://shopee.co.id/Bio-Essence-Bio-Gold-Night-Cream-40-gr-Twinpack-Special-i.63822287.9438818726</v>
      </c>
      <c r="C1924" s="8" t="s">
        <v>834</v>
      </c>
      <c r="D1924" s="8" t="s">
        <v>835</v>
      </c>
      <c r="E1924" s="8" t="s">
        <v>12</v>
      </c>
      <c r="F1924" s="8" t="s">
        <v>13</v>
      </c>
      <c r="G1924" s="8" t="s">
        <v>61</v>
      </c>
      <c r="H1924" s="16">
        <v>4.0</v>
      </c>
      <c r="I1924" s="15" t="str">
        <f>SUBSTITUTE(Sheet1!K1924, "Rp", "")</f>
        <v>1915300</v>
      </c>
    </row>
    <row r="1925">
      <c r="A1925" s="8" t="s">
        <v>3543</v>
      </c>
      <c r="B1925" s="13" t="str">
        <f>HYPERLINK("https://shopee.co.id/Bio-Essence-Bio-Gold-Radiance-Cleanser-100g-i.30736001.4087529646", "https://shopee.co.id/Bio-Essence-Bio-Gold-Radiance-Cleanser-100g-i.30736001.4087529646")</f>
        <v>https://shopee.co.id/Bio-Essence-Bio-Gold-Radiance-Cleanser-100g-i.30736001.4087529646</v>
      </c>
      <c r="C1925" s="8" t="s">
        <v>834</v>
      </c>
      <c r="D1925" s="8" t="s">
        <v>335</v>
      </c>
      <c r="E1925" s="8" t="s">
        <v>12</v>
      </c>
      <c r="F1925" s="8" t="s">
        <v>13</v>
      </c>
      <c r="G1925" s="8" t="s">
        <v>36</v>
      </c>
      <c r="H1925" s="16">
        <v>4.0</v>
      </c>
      <c r="I1925" s="15" t="str">
        <f>SUBSTITUTE(Sheet1!K1925, "Rp", "")</f>
        <v>259600</v>
      </c>
    </row>
    <row r="1926">
      <c r="A1926" s="8" t="s">
        <v>3216</v>
      </c>
      <c r="B1926" s="13" t="str">
        <f>HYPERLINK("https://shopee.co.id/BLOOMKA-Edelweiss-Hyaluronate-Essence-100ml-i.68111.4579792648", "https://shopee.co.id/BLOOMKA-Edelweiss-Hyaluronate-Essence-100ml-i.68111.4579792648")</f>
        <v>https://shopee.co.id/BLOOMKA-Edelweiss-Hyaluronate-Essence-100ml-i.68111.4579792648</v>
      </c>
      <c r="C1926" s="8" t="s">
        <v>375</v>
      </c>
      <c r="D1926" s="8" t="s">
        <v>441</v>
      </c>
      <c r="E1926" s="8" t="s">
        <v>12</v>
      </c>
      <c r="F1926" s="8" t="s">
        <v>13</v>
      </c>
      <c r="G1926" s="8" t="s">
        <v>130</v>
      </c>
      <c r="H1926" s="16">
        <v>4.0</v>
      </c>
      <c r="I1926" s="15" t="str">
        <f>SUBSTITUTE(Sheet1!K1926, "Rp", "")</f>
        <v>508400</v>
      </c>
    </row>
    <row r="1927">
      <c r="A1927" s="8" t="s">
        <v>3414</v>
      </c>
      <c r="B1927" s="13" t="str">
        <f>HYPERLINK("https://shopee.co.id/BLOOMKA-Edelweiss-Hyaluronate-Facial-Hydrating-Serum-20ml-i.68111.9517831954", "https://shopee.co.id/BLOOMKA-Edelweiss-Hyaluronate-Facial-Hydrating-Serum-20ml-i.68111.9517831954")</f>
        <v>https://shopee.co.id/BLOOMKA-Edelweiss-Hyaluronate-Facial-Hydrating-Serum-20ml-i.68111.9517831954</v>
      </c>
      <c r="C1927" s="8" t="s">
        <v>375</v>
      </c>
      <c r="D1927" s="8" t="s">
        <v>441</v>
      </c>
      <c r="E1927" s="8" t="s">
        <v>12</v>
      </c>
      <c r="F1927" s="8" t="s">
        <v>13</v>
      </c>
      <c r="G1927" s="8" t="s">
        <v>130</v>
      </c>
      <c r="H1927" s="16">
        <v>4.0</v>
      </c>
      <c r="I1927" s="15" t="str">
        <f>SUBSTITUTE(Sheet1!K1927, "Rp", "")</f>
        <v>354200</v>
      </c>
    </row>
    <row r="1928">
      <c r="A1928" s="8" t="s">
        <v>3373</v>
      </c>
      <c r="B1928" s="13" t="str">
        <f>HYPERLINK("https://shopee.co.id/BRTC-The-First-Ampoule-Essence-150ml-i.24803305.7652511224", "https://shopee.co.id/BRTC-The-First-Ampoule-Essence-150ml-i.24803305.7652511224")</f>
        <v>https://shopee.co.id/BRTC-The-First-Ampoule-Essence-150ml-i.24803305.7652511224</v>
      </c>
      <c r="C1928" s="8" t="s">
        <v>3374</v>
      </c>
      <c r="D1928" s="8" t="s">
        <v>3375</v>
      </c>
      <c r="E1928" s="8" t="s">
        <v>12</v>
      </c>
      <c r="F1928" s="8" t="s">
        <v>13</v>
      </c>
      <c r="G1928" s="8" t="s">
        <v>130</v>
      </c>
      <c r="H1928" s="16">
        <v>4.0</v>
      </c>
      <c r="I1928" s="15" t="str">
        <f>SUBSTITUTE(Sheet1!K1928, "Rp", "")</f>
        <v>376680</v>
      </c>
    </row>
    <row r="1929">
      <c r="A1929" s="8" t="s">
        <v>2930</v>
      </c>
      <c r="B1929" s="13" t="str">
        <f>HYPERLINK("https://shopee.co.id/Calmedi-Serum-Luminous-3-in-1-20ml-Serum-Pencerah-Wajah-i.129229117.2096204386", "https://shopee.co.id/Calmedi-Serum-Luminous-3-in-1-20ml-Serum-Pencerah-Wajah-i.129229117.2096204386")</f>
        <v>https://shopee.co.id/Calmedi-Serum-Luminous-3-in-1-20ml-Serum-Pencerah-Wajah-i.129229117.2096204386</v>
      </c>
      <c r="C1929" s="8" t="s">
        <v>2931</v>
      </c>
      <c r="D1929" s="8" t="s">
        <v>2932</v>
      </c>
      <c r="E1929" s="8" t="s">
        <v>12</v>
      </c>
      <c r="F1929" s="8" t="s">
        <v>13</v>
      </c>
      <c r="G1929" s="8" t="s">
        <v>98</v>
      </c>
      <c r="H1929" s="16">
        <v>4.0</v>
      </c>
      <c r="I1929" s="15" t="str">
        <f>SUBSTITUTE(Sheet1!K1929, "Rp", "")</f>
        <v>855700</v>
      </c>
    </row>
    <row r="1930">
      <c r="A1930" s="8" t="s">
        <v>2829</v>
      </c>
      <c r="B1930" s="13" t="str">
        <f>HYPERLINK("https://shopee.co.id/COSRX-Advanced-Snail-96-Mucin-Power-Essence-100ml-i.825870.3653658559", "https://shopee.co.id/COSRX-Advanced-Snail-96-Mucin-Power-Essence-100ml-i.825870.3653658559")</f>
        <v>https://shopee.co.id/COSRX-Advanced-Snail-96-Mucin-Power-Essence-100ml-i.825870.3653658559</v>
      </c>
      <c r="C1930" s="8" t="s">
        <v>305</v>
      </c>
      <c r="D1930" s="8" t="s">
        <v>1184</v>
      </c>
      <c r="E1930" s="8" t="s">
        <v>12</v>
      </c>
      <c r="F1930" s="8" t="s">
        <v>13</v>
      </c>
      <c r="G1930" s="8" t="s">
        <v>21</v>
      </c>
      <c r="H1930" s="16">
        <v>4.0</v>
      </c>
      <c r="I1930" s="15" t="str">
        <f>SUBSTITUTE(Sheet1!K1930, "Rp", "")</f>
        <v>1009650</v>
      </c>
    </row>
    <row r="1931">
      <c r="A1931" s="8" t="s">
        <v>2817</v>
      </c>
      <c r="B1931" s="13" t="str">
        <f>HYPERLINK("https://shopee.co.id/COSRX-Pure-Fit-Cica-Serum-30ml-i.270965687.6980158076", "https://shopee.co.id/COSRX-Pure-Fit-Cica-Serum-30ml-i.270965687.6980158076")</f>
        <v>https://shopee.co.id/COSRX-Pure-Fit-Cica-Serum-30ml-i.270965687.6980158076</v>
      </c>
      <c r="C1931" s="8" t="s">
        <v>305</v>
      </c>
      <c r="D1931" s="8" t="s">
        <v>379</v>
      </c>
      <c r="E1931" s="8" t="s">
        <v>12</v>
      </c>
      <c r="F1931" s="8" t="s">
        <v>13</v>
      </c>
      <c r="G1931" s="8" t="s">
        <v>380</v>
      </c>
      <c r="H1931" s="16">
        <v>4.0</v>
      </c>
      <c r="I1931" s="15" t="str">
        <f>SUBSTITUTE(Sheet1!K1931, "Rp", "")</f>
        <v>1036000</v>
      </c>
    </row>
    <row r="1932">
      <c r="A1932" s="8" t="s">
        <v>3507</v>
      </c>
      <c r="B1932" s="13" t="str">
        <f>HYPERLINK("https://shopee.co.id/Dear-Me-Beauty-10-Cica-Watermelon-Extract-Face-Serum-i.270965687.11706240663", "https://shopee.co.id/Dear-Me-Beauty-10-Cica-Watermelon-Extract-Face-Serum-i.270965687.11706240663")</f>
        <v>https://shopee.co.id/Dear-Me-Beauty-10-Cica-Watermelon-Extract-Face-Serum-i.270965687.11706240663</v>
      </c>
      <c r="C1932" s="8" t="s">
        <v>70</v>
      </c>
      <c r="D1932" s="8" t="s">
        <v>379</v>
      </c>
      <c r="E1932" s="8" t="s">
        <v>12</v>
      </c>
      <c r="F1932" s="8" t="s">
        <v>13</v>
      </c>
      <c r="G1932" s="8" t="s">
        <v>380</v>
      </c>
      <c r="H1932" s="16">
        <v>4.0</v>
      </c>
      <c r="I1932" s="15" t="str">
        <f>SUBSTITUTE(Sheet1!K1932, "Rp", "")</f>
        <v>284400</v>
      </c>
    </row>
    <row r="1933">
      <c r="A1933" s="8" t="s">
        <v>3483</v>
      </c>
      <c r="B1933" s="13" t="str">
        <f>HYPERLINK("https://shopee.co.id/DeBiuryn-True-Vitamin-C-Serum-10ml-Serum-Wajah-Glowing-i.231437504.6732990797", "https://shopee.co.id/DeBiuryn-True-Vitamin-C-Serum-10ml-Serum-Wajah-Glowing-i.231437504.6732990797")</f>
        <v>https://shopee.co.id/DeBiuryn-True-Vitamin-C-Serum-10ml-Serum-Wajah-Glowing-i.231437504.6732990797</v>
      </c>
      <c r="C1933" s="8" t="s">
        <v>3484</v>
      </c>
      <c r="D1933" s="8" t="s">
        <v>3485</v>
      </c>
      <c r="E1933" s="8" t="s">
        <v>12</v>
      </c>
      <c r="F1933" s="8" t="s">
        <v>13</v>
      </c>
      <c r="G1933" s="8" t="s">
        <v>1480</v>
      </c>
      <c r="H1933" s="16">
        <v>4.0</v>
      </c>
      <c r="I1933" s="15" t="str">
        <f>SUBSTITUTE(Sheet1!K1933, "Rp", "")</f>
        <v>296000</v>
      </c>
    </row>
    <row r="1934">
      <c r="A1934" s="8" t="s">
        <v>3057</v>
      </c>
      <c r="B1934" s="13" t="str">
        <f>HYPERLINK("https://shopee.co.id/Duvaderm-Acne-Shot-5ml-i.825870.4683782423", "https://shopee.co.id/Duvaderm-Acne-Shot-5ml-i.825870.4683782423")</f>
        <v>https://shopee.co.id/Duvaderm-Acne-Shot-5ml-i.825870.4683782423</v>
      </c>
      <c r="C1934" s="8" t="s">
        <v>2752</v>
      </c>
      <c r="D1934" s="8" t="s">
        <v>1184</v>
      </c>
      <c r="E1934" s="8" t="s">
        <v>12</v>
      </c>
      <c r="F1934" s="8" t="s">
        <v>13</v>
      </c>
      <c r="G1934" s="8" t="s">
        <v>21</v>
      </c>
      <c r="H1934" s="16">
        <v>4.0</v>
      </c>
      <c r="I1934" s="15" t="str">
        <f>SUBSTITUTE(Sheet1!K1934, "Rp", "")</f>
        <v>672000</v>
      </c>
    </row>
    <row r="1935">
      <c r="A1935" s="8" t="s">
        <v>3240</v>
      </c>
      <c r="B1935" s="13" t="str">
        <f>HYPERLINK("https://shopee.co.id/Everwhite-Brightening-Essence-Serum-with-Chromabright-15ml-i.825870.7069510257", "https://shopee.co.id/Everwhite-Brightening-Essence-Serum-with-Chromabright-15ml-i.825870.7069510257")</f>
        <v>https://shopee.co.id/Everwhite-Brightening-Essence-Serum-with-Chromabright-15ml-i.825870.7069510257</v>
      </c>
      <c r="C1935" s="8" t="s">
        <v>157</v>
      </c>
      <c r="D1935" s="8" t="s">
        <v>1184</v>
      </c>
      <c r="E1935" s="8" t="s">
        <v>12</v>
      </c>
      <c r="F1935" s="8" t="s">
        <v>13</v>
      </c>
      <c r="G1935" s="8" t="s">
        <v>21</v>
      </c>
      <c r="H1935" s="16">
        <v>4.0</v>
      </c>
      <c r="I1935" s="15" t="str">
        <f>SUBSTITUTE(Sheet1!K1935, "Rp", "")</f>
        <v>493750</v>
      </c>
    </row>
    <row r="1936">
      <c r="A1936" s="8" t="s">
        <v>2815</v>
      </c>
      <c r="B1936" s="13" t="str">
        <f>HYPERLINK("https://shopee.co.id/FIRST-LAB-FIRST-LAB-Probiotic-Serum-30ml-i.109981258.6351922831", "https://shopee.co.id/FIRST-LAB-FIRST-LAB-Probiotic-Serum-30ml-i.109981258.6351922831")</f>
        <v>https://shopee.co.id/FIRST-LAB-FIRST-LAB-Probiotic-Serum-30ml-i.109981258.6351922831</v>
      </c>
      <c r="C1936" s="8" t="s">
        <v>1617</v>
      </c>
      <c r="D1936" s="8" t="s">
        <v>2576</v>
      </c>
      <c r="E1936" s="8" t="s">
        <v>12</v>
      </c>
      <c r="F1936" s="8" t="s">
        <v>13</v>
      </c>
      <c r="G1936" s="8" t="s">
        <v>21</v>
      </c>
      <c r="H1936" s="16">
        <v>4.0</v>
      </c>
      <c r="I1936" s="15" t="str">
        <f>SUBSTITUTE(Sheet1!K1936, "Rp", "")</f>
        <v>1036200</v>
      </c>
    </row>
    <row r="1937">
      <c r="A1937" s="8" t="s">
        <v>3583</v>
      </c>
      <c r="B1937" s="13" t="str">
        <f>HYPERLINK("https://shopee.co.id/G9Skin-Light-Serum-i.137563500.2075794520", "https://shopee.co.id/G9Skin-Light-Serum-i.137563500.2075794520")</f>
        <v>https://shopee.co.id/G9Skin-Light-Serum-i.137563500.2075794520</v>
      </c>
      <c r="C1937" s="8" t="s">
        <v>3584</v>
      </c>
      <c r="D1937" s="8" t="s">
        <v>3585</v>
      </c>
      <c r="E1937" s="8" t="s">
        <v>12</v>
      </c>
      <c r="F1937" s="8" t="s">
        <v>13</v>
      </c>
      <c r="G1937" s="8" t="s">
        <v>532</v>
      </c>
      <c r="H1937" s="16">
        <v>4.0</v>
      </c>
      <c r="I1937" s="15" t="str">
        <f>SUBSTITUTE(Sheet1!K1937, "Rp", "")</f>
        <v>236000</v>
      </c>
    </row>
    <row r="1938">
      <c r="A1938" s="8" t="s">
        <v>3158</v>
      </c>
      <c r="B1938" s="13" t="str">
        <f>HYPERLINK("https://shopee.co.id/Garnier-Light-Complete-Vitamin-C-Serum-30-ml-i.186214521.7323901834", "https://shopee.co.id/Garnier-Light-Complete-Vitamin-C-Serum-30-ml-i.186214521.7323901834")</f>
        <v>https://shopee.co.id/Garnier-Light-Complete-Vitamin-C-Serum-30-ml-i.186214521.7323901834</v>
      </c>
      <c r="C1938" s="8" t="s">
        <v>74</v>
      </c>
      <c r="D1938" s="8" t="s">
        <v>2293</v>
      </c>
      <c r="E1938" s="8" t="s">
        <v>12</v>
      </c>
      <c r="F1938" s="8" t="s">
        <v>13</v>
      </c>
      <c r="G1938" s="8" t="s">
        <v>61</v>
      </c>
      <c r="H1938" s="16">
        <v>4.0</v>
      </c>
      <c r="I1938" s="15" t="str">
        <f>SUBSTITUTE(Sheet1!K1938, "Rp", "")</f>
        <v>559600</v>
      </c>
    </row>
    <row r="1939">
      <c r="A1939" s="8" t="s">
        <v>202</v>
      </c>
      <c r="B1939" s="13" t="str">
        <f>HYPERLINK("https://shopee.co.id/Garnier-Sakura-White-Daily-Kit-Krim-Pagi-dan-Malam-Untuk-Kulit-Cerah-Merona--i.65323877.9279914546", "https://shopee.co.id/Garnier-Sakura-White-Daily-Kit-Krim-Pagi-dan-Malam-Untuk-Kulit-Cerah-Merona--i.65323877.9279914546")</f>
        <v>https://shopee.co.id/Garnier-Sakura-White-Daily-Kit-Krim-Pagi-dan-Malam-Untuk-Kulit-Cerah-Merona--i.65323877.9279914546</v>
      </c>
      <c r="C1939" s="8" t="s">
        <v>74</v>
      </c>
      <c r="D1939" s="8" t="s">
        <v>1600</v>
      </c>
      <c r="E1939" s="8" t="s">
        <v>12</v>
      </c>
      <c r="F1939" s="8" t="s">
        <v>13</v>
      </c>
      <c r="G1939" s="8" t="s">
        <v>296</v>
      </c>
      <c r="H1939" s="16">
        <v>4.0</v>
      </c>
      <c r="I1939" s="15" t="str">
        <f>SUBSTITUTE(Sheet1!K1939, "Rp", "")</f>
        <v>367400</v>
      </c>
    </row>
    <row r="1940">
      <c r="A1940" s="8" t="s">
        <v>3223</v>
      </c>
      <c r="B1940" s="13" t="str">
        <f>HYPERLINK("https://shopee.co.id/Gloskin-By-DNM-Brightening-Serum-i.206769167.4532064354", "https://shopee.co.id/Gloskin-By-DNM-Brightening-Serum-i.206769167.4532064354")</f>
        <v>https://shopee.co.id/Gloskin-By-DNM-Brightening-Serum-i.206769167.4532064354</v>
      </c>
      <c r="C1940" s="8" t="s">
        <v>3224</v>
      </c>
      <c r="D1940" s="8" t="s">
        <v>2257</v>
      </c>
      <c r="E1940" s="8" t="s">
        <v>12</v>
      </c>
      <c r="F1940" s="8" t="s">
        <v>13</v>
      </c>
      <c r="G1940" s="8" t="s">
        <v>98</v>
      </c>
      <c r="H1940" s="16">
        <v>4.0</v>
      </c>
      <c r="I1940" s="15" t="str">
        <f>SUBSTITUTE(Sheet1!K1940, "Rp", "")</f>
        <v>500000</v>
      </c>
    </row>
    <row r="1941">
      <c r="A1941" s="8" t="s">
        <v>3457</v>
      </c>
      <c r="B1941" s="13" t="str">
        <f>HYPERLINK("https://shopee.co.id/GLOWINC-POTION-HYDRALIVE-Moisture-Lock-Skin-Drink-Essence-i.68111.5797644495", "https://shopee.co.id/GLOWINC-POTION-HYDRALIVE-Moisture-Lock-Skin-Drink-Essence-i.68111.5797644495")</f>
        <v>https://shopee.co.id/GLOWINC-POTION-HYDRALIVE-Moisture-Lock-Skin-Drink-Essence-i.68111.5797644495</v>
      </c>
      <c r="C1941" s="8" t="s">
        <v>1898</v>
      </c>
      <c r="D1941" s="8" t="s">
        <v>441</v>
      </c>
      <c r="E1941" s="8" t="s">
        <v>12</v>
      </c>
      <c r="F1941" s="8" t="s">
        <v>13</v>
      </c>
      <c r="G1941" s="8" t="s">
        <v>130</v>
      </c>
      <c r="H1941" s="16">
        <v>4.0</v>
      </c>
      <c r="I1941" s="15" t="str">
        <f>SUBSTITUTE(Sheet1!K1941, "Rp", "")</f>
        <v>316000</v>
      </c>
    </row>
    <row r="1942">
      <c r="A1942" s="8" t="s">
        <v>2632</v>
      </c>
      <c r="B1942" s="13" t="str">
        <f>HYPERLINK("https://shopee.co.id/Glowlabs-The-Bright-mate-Gentle-Glow-Essence-Gentle-Bright-Serum-Peptide-Moist--i.336869851.11113689121", "https://shopee.co.id/Glowlabs-The-Bright-mate-Gentle-Glow-Essence-Gentle-Bright-Serum-Peptide-Moist--i.336869851.11113689121")</f>
        <v>https://shopee.co.id/Glowlabs-The-Bright-mate-Gentle-Glow-Essence-Gentle-Bright-Serum-Peptide-Moist--i.336869851.11113689121</v>
      </c>
      <c r="C1942" s="8" t="s">
        <v>407</v>
      </c>
      <c r="D1942" s="8" t="s">
        <v>408</v>
      </c>
      <c r="E1942" s="8" t="s">
        <v>12</v>
      </c>
      <c r="F1942" s="8" t="s">
        <v>13</v>
      </c>
      <c r="G1942" s="8" t="s">
        <v>409</v>
      </c>
      <c r="H1942" s="16">
        <v>4.0</v>
      </c>
      <c r="I1942" s="15" t="str">
        <f>SUBSTITUTE(Sheet1!K1942, "Rp", "")</f>
        <v>1363200</v>
      </c>
    </row>
    <row r="1943">
      <c r="A1943" s="8" t="s">
        <v>3258</v>
      </c>
      <c r="B1943" s="13" t="str">
        <f>HYPERLINK("https://shopee.co.id/Hada-Labo-Shirojyun-Essence-30g-i.10689.115634", "https://shopee.co.id/Hada-Labo-Shirojyun-Essence-30g-i.10689.115634")</f>
        <v>https://shopee.co.id/Hada-Labo-Shirojyun-Essence-30g-i.10689.115634</v>
      </c>
      <c r="C1943" s="8" t="s">
        <v>2090</v>
      </c>
      <c r="D1943" s="8" t="s">
        <v>745</v>
      </c>
      <c r="E1943" s="8" t="s">
        <v>12</v>
      </c>
      <c r="F1943" s="8" t="s">
        <v>13</v>
      </c>
      <c r="G1943" s="8" t="s">
        <v>61</v>
      </c>
      <c r="H1943" s="16">
        <v>4.0</v>
      </c>
      <c r="I1943" s="15" t="str">
        <f>SUBSTITUTE(Sheet1!K1943, "Rp", "")</f>
        <v>471250</v>
      </c>
    </row>
    <row r="1944">
      <c r="A1944" s="8" t="s">
        <v>3163</v>
      </c>
      <c r="B1944" s="13" t="str">
        <f>HYPERLINK("https://shopee.co.id/Hampers-Unik-Kado-Ulang-Tahun-Paket-Skincare-Segersnow-i.221165466.9712210748", "https://shopee.co.id/Hampers-Unik-Kado-Ulang-Tahun-Paket-Skincare-Segersnow-i.221165466.9712210748")</f>
        <v>https://shopee.co.id/Hampers-Unik-Kado-Ulang-Tahun-Paket-Skincare-Segersnow-i.221165466.9712210748</v>
      </c>
      <c r="C1944" s="8" t="s">
        <v>2005</v>
      </c>
      <c r="D1944" s="8" t="s">
        <v>2006</v>
      </c>
      <c r="E1944" s="8" t="s">
        <v>12</v>
      </c>
      <c r="F1944" s="8" t="s">
        <v>13</v>
      </c>
      <c r="G1944" s="8" t="s">
        <v>241</v>
      </c>
      <c r="H1944" s="16">
        <v>4.0</v>
      </c>
      <c r="I1944" s="15" t="str">
        <f>SUBSTITUTE(Sheet1!K1944, "Rp", "")</f>
        <v>556000</v>
      </c>
    </row>
    <row r="1945">
      <c r="A1945" s="8" t="s">
        <v>3840</v>
      </c>
      <c r="B1945" s="13" t="str">
        <f>HYPERLINK("https://shopee.co.id/HANASUI-Serum-Vit-C-Dan-Collagen-Biru-i.187117294.4743446687", "https://shopee.co.id/HANASUI-Serum-Vit-C-Dan-Collagen-Biru-i.187117294.4743446687")</f>
        <v>https://shopee.co.id/HANASUI-Serum-Vit-C-Dan-Collagen-Biru-i.187117294.4743446687</v>
      </c>
      <c r="C1945" s="8" t="s">
        <v>784</v>
      </c>
      <c r="D1945" s="8" t="s">
        <v>2366</v>
      </c>
      <c r="E1945" s="8" t="s">
        <v>12</v>
      </c>
      <c r="F1945" s="8" t="s">
        <v>13</v>
      </c>
      <c r="G1945" s="8" t="s">
        <v>469</v>
      </c>
      <c r="H1945" s="16">
        <v>4.0</v>
      </c>
      <c r="I1945" s="15" t="str">
        <f>SUBSTITUTE(Sheet1!K1945, "Rp", "")</f>
        <v>108000</v>
      </c>
    </row>
    <row r="1946">
      <c r="A1946" s="8" t="s">
        <v>3854</v>
      </c>
      <c r="B1946" s="13" t="str">
        <f>HYPERLINK("https://shopee.co.id/Hanasui-Serum-Vitamin-C-20ml-417914--i.16735262.11035680328", "https://shopee.co.id/Hanasui-Serum-Vitamin-C-20ml-417914--i.16735262.11035680328")</f>
        <v>https://shopee.co.id/Hanasui-Serum-Vitamin-C-20ml-417914--i.16735262.11035680328</v>
      </c>
      <c r="C1946" s="8" t="s">
        <v>784</v>
      </c>
      <c r="D1946" s="8" t="s">
        <v>3598</v>
      </c>
      <c r="E1946" s="8" t="s">
        <v>12</v>
      </c>
      <c r="F1946" s="8" t="s">
        <v>13</v>
      </c>
      <c r="G1946" s="8" t="s">
        <v>36</v>
      </c>
      <c r="H1946" s="16">
        <v>4.0</v>
      </c>
      <c r="I1946" s="15" t="str">
        <f>SUBSTITUTE(Sheet1!K1946, "Rp", "")</f>
        <v>100800</v>
      </c>
    </row>
    <row r="1947">
      <c r="A1947" s="8" t="s">
        <v>2799</v>
      </c>
      <c r="B1947" s="13" t="str">
        <f>HYPERLINK("https://shopee.co.id/HAUM-BUNDLING-ALPHA-MF-LCID-i.344731863.9541954629", "https://shopee.co.id/HAUM-BUNDLING-ALPHA-MF-LCID-i.344731863.9541954629")</f>
        <v>https://shopee.co.id/HAUM-BUNDLING-ALPHA-MF-LCID-i.344731863.9541954629</v>
      </c>
      <c r="C1947" s="8" t="s">
        <v>1144</v>
      </c>
      <c r="D1947" s="8" t="s">
        <v>1145</v>
      </c>
      <c r="E1947" s="8" t="s">
        <v>12</v>
      </c>
      <c r="F1947" s="8" t="s">
        <v>13</v>
      </c>
      <c r="G1947" s="8" t="s">
        <v>98</v>
      </c>
      <c r="H1947" s="16">
        <v>4.0</v>
      </c>
      <c r="I1947" s="15" t="str">
        <f>SUBSTITUTE(Sheet1!K1947, "Rp", "")</f>
        <v>1065600</v>
      </c>
    </row>
    <row r="1948">
      <c r="A1948" s="8" t="s">
        <v>3131</v>
      </c>
      <c r="B1948" s="13" t="str">
        <f>HYPERLINK("https://shopee.co.id/HAUM-LCID-Salicylic-Acid-2-Serum-wajah-sensitif--i.119338790.6744055444", "https://shopee.co.id/HAUM-LCID-Salicylic-Acid-2-Serum-wajah-sensitif--i.119338790.6744055444")</f>
        <v>https://shopee.co.id/HAUM-LCID-Salicylic-Acid-2-Serum-wajah-sensitif--i.119338790.6744055444</v>
      </c>
      <c r="C1948" s="8" t="s">
        <v>1144</v>
      </c>
      <c r="D1948" s="8" t="s">
        <v>2905</v>
      </c>
      <c r="E1948" s="8" t="s">
        <v>12</v>
      </c>
      <c r="F1948" s="8" t="s">
        <v>13</v>
      </c>
      <c r="G1948" s="8" t="s">
        <v>532</v>
      </c>
      <c r="H1948" s="16">
        <v>4.0</v>
      </c>
      <c r="I1948" s="15" t="str">
        <f>SUBSTITUTE(Sheet1!K1948, "Rp", "")</f>
        <v>592000</v>
      </c>
    </row>
    <row r="1949">
      <c r="A1949" s="8" t="s">
        <v>3400</v>
      </c>
      <c r="B1949" s="13" t="str">
        <f>HYPERLINK("https://shopee.co.id/HERSALL-Watermelon-Ice-Cream-Serum-AHA-BHA-Watermelon-Extract-i.329847628.8487975550", "https://shopee.co.id/HERSALL-Watermelon-Ice-Cream-Serum-AHA-BHA-Watermelon-Extract-i.329847628.8487975550")</f>
        <v>https://shopee.co.id/HERSALL-Watermelon-Ice-Cream-Serum-AHA-BHA-Watermelon-Extract-i.329847628.8487975550</v>
      </c>
      <c r="C1949" s="8" t="s">
        <v>2000</v>
      </c>
      <c r="D1949" s="8" t="s">
        <v>2001</v>
      </c>
      <c r="E1949" s="8" t="s">
        <v>12</v>
      </c>
      <c r="F1949" s="8" t="s">
        <v>13</v>
      </c>
      <c r="G1949" s="8" t="s">
        <v>61</v>
      </c>
      <c r="H1949" s="16">
        <v>4.0</v>
      </c>
      <c r="I1949" s="15" t="str">
        <f>SUBSTITUTE(Sheet1!K1949, "Rp", "")</f>
        <v>362600</v>
      </c>
    </row>
    <row r="1950">
      <c r="A1950" s="8" t="s">
        <v>2876</v>
      </c>
      <c r="B1950" s="13" t="str">
        <f>HYPERLINK("https://shopee.co.id/Hiqween-10-000pm-Advanced-Serum-dan-Hydraglow-Shimmering-Booster-i.481417149.9682537577", "https://shopee.co.id/Hiqween-10-000pm-Advanced-Serum-dan-Hydraglow-Shimmering-Booster-i.481417149.9682537577")</f>
        <v>https://shopee.co.id/Hiqween-10-000pm-Advanced-Serum-dan-Hydraglow-Shimmering-Booster-i.481417149.9682537577</v>
      </c>
      <c r="C1950" s="8" t="s">
        <v>2270</v>
      </c>
      <c r="D1950" s="8" t="s">
        <v>2271</v>
      </c>
      <c r="E1950" s="8" t="s">
        <v>12</v>
      </c>
      <c r="F1950" s="8" t="s">
        <v>13</v>
      </c>
      <c r="G1950" s="8" t="s">
        <v>350</v>
      </c>
      <c r="H1950" s="16">
        <v>4.0</v>
      </c>
      <c r="I1950" s="15" t="str">
        <f>SUBSTITUTE(Sheet1!K1950, "Rp", "")</f>
        <v>932950</v>
      </c>
    </row>
    <row r="1951">
      <c r="A1951" s="8" t="s">
        <v>2657</v>
      </c>
      <c r="B1951" s="13" t="str">
        <f>HYPERLINK("https://shopee.co.id/HISTOIRE-NATURELLE-Lactobacillus-Duo-Facial-Foam-and-Serum--i.315746431.8415086861", "https://shopee.co.id/HISTOIRE-NATURELLE-Lactobacillus-Duo-Facial-Foam-and-Serum--i.315746431.8415086861")</f>
        <v>https://shopee.co.id/HISTOIRE-NATURELLE-Lactobacillus-Duo-Facial-Foam-and-Serum--i.315746431.8415086861</v>
      </c>
      <c r="C1951" s="8" t="s">
        <v>1854</v>
      </c>
      <c r="D1951" s="8" t="s">
        <v>1855</v>
      </c>
      <c r="E1951" s="8" t="s">
        <v>12</v>
      </c>
      <c r="F1951" s="8" t="s">
        <v>13</v>
      </c>
      <c r="G1951" s="8" t="s">
        <v>130</v>
      </c>
      <c r="H1951" s="16">
        <v>4.0</v>
      </c>
      <c r="I1951" s="15" t="str">
        <f>SUBSTITUTE(Sheet1!K1951, "Rp", "")</f>
        <v>1310350</v>
      </c>
    </row>
    <row r="1952">
      <c r="A1952" s="8" t="s">
        <v>2949</v>
      </c>
      <c r="B1952" s="13" t="str">
        <f>HYPERLINK("https://shopee.co.id/INDOGANIC-Brightening-Vit-C-Serum-With-Glutathione-15ml-i.68111.9518194917", "https://shopee.co.id/INDOGANIC-Brightening-Vit-C-Serum-With-Glutathione-15ml-i.68111.9518194917")</f>
        <v>https://shopee.co.id/INDOGANIC-Brightening-Vit-C-Serum-With-Glutathione-15ml-i.68111.9518194917</v>
      </c>
      <c r="C1952" s="8" t="s">
        <v>995</v>
      </c>
      <c r="D1952" s="8" t="s">
        <v>441</v>
      </c>
      <c r="E1952" s="8" t="s">
        <v>12</v>
      </c>
      <c r="F1952" s="8" t="s">
        <v>13</v>
      </c>
      <c r="G1952" s="8" t="s">
        <v>130</v>
      </c>
      <c r="H1952" s="16">
        <v>4.0</v>
      </c>
      <c r="I1952" s="15" t="str">
        <f>SUBSTITUTE(Sheet1!K1952, "Rp", "")</f>
        <v>825550</v>
      </c>
    </row>
    <row r="1953">
      <c r="A1953" s="8" t="s">
        <v>2958</v>
      </c>
      <c r="B1953" s="13" t="str">
        <f>HYPERLINK("https://shopee.co.id/INNERTRUE-Essence-Of-Life-Serum-15ml-i.68111.5042119428", "https://shopee.co.id/INNERTRUE-Essence-Of-Life-Serum-15ml-i.68111.5042119428")</f>
        <v>https://shopee.co.id/INNERTRUE-Essence-Of-Life-Serum-15ml-i.68111.5042119428</v>
      </c>
      <c r="C1953" s="8" t="s">
        <v>1321</v>
      </c>
      <c r="D1953" s="8" t="s">
        <v>441</v>
      </c>
      <c r="E1953" s="8" t="s">
        <v>12</v>
      </c>
      <c r="F1953" s="8" t="s">
        <v>13</v>
      </c>
      <c r="G1953" s="8" t="s">
        <v>130</v>
      </c>
      <c r="H1953" s="16">
        <v>4.0</v>
      </c>
      <c r="I1953" s="15" t="str">
        <f>SUBSTITUTE(Sheet1!K1953, "Rp", "")</f>
        <v>814000</v>
      </c>
    </row>
    <row r="1954">
      <c r="A1954" s="8" t="s">
        <v>3066</v>
      </c>
      <c r="B1954" s="13" t="str">
        <f>HYPERLINK("https://shopee.co.id/Irine-Beauty-Care-PLATINUM-ACNE-SERUM-mengandung-aloe-vera-vit-B3-A-C--i.154545935.2318203827", "https://shopee.co.id/Irine-Beauty-Care-PLATINUM-ACNE-SERUM-mengandung-aloe-vera-vit-B3-A-C--i.154545935.2318203827")</f>
        <v>https://shopee.co.id/Irine-Beauty-Care-PLATINUM-ACNE-SERUM-mengandung-aloe-vera-vit-B3-A-C--i.154545935.2318203827</v>
      </c>
      <c r="C1954" s="8" t="s">
        <v>2649</v>
      </c>
      <c r="D1954" s="8" t="s">
        <v>2650</v>
      </c>
      <c r="E1954" s="8" t="s">
        <v>12</v>
      </c>
      <c r="F1954" s="8" t="s">
        <v>13</v>
      </c>
      <c r="G1954" s="8" t="s">
        <v>130</v>
      </c>
      <c r="H1954" s="16">
        <v>4.0</v>
      </c>
      <c r="I1954" s="15" t="str">
        <f>SUBSTITUTE(Sheet1!K1954, "Rp", "")</f>
        <v>665000</v>
      </c>
    </row>
    <row r="1955">
      <c r="A1955" s="8" t="s">
        <v>2828</v>
      </c>
      <c r="B1955" s="13" t="str">
        <f>HYPERLINK("https://shopee.co.id/It-s-Glow-Time-i.63822287.4287528297", "https://shopee.co.id/It-s-Glow-Time-i.63822287.4287528297")</f>
        <v>https://shopee.co.id/It-s-Glow-Time-i.63822287.4287528297</v>
      </c>
      <c r="C1955" s="8" t="s">
        <v>1254</v>
      </c>
      <c r="D1955" s="8" t="s">
        <v>835</v>
      </c>
      <c r="E1955" s="8" t="s">
        <v>12</v>
      </c>
      <c r="F1955" s="8" t="s">
        <v>13</v>
      </c>
      <c r="G1955" s="8" t="s">
        <v>61</v>
      </c>
      <c r="H1955" s="16">
        <v>4.0</v>
      </c>
      <c r="I1955" s="15" t="str">
        <f>SUBSTITUTE(Sheet1!K1955, "Rp", "")</f>
        <v>1011200</v>
      </c>
    </row>
    <row r="1956">
      <c r="A1956" s="8" t="s">
        <v>3344</v>
      </c>
      <c r="B1956" s="13" t="str">
        <f>HYPERLINK("https://shopee.co.id/iUNIK-Beta-Glucan-Power-Moisture-Serum-15ml-i.825870.4645321385", "https://shopee.co.id/iUNIK-Beta-Glucan-Power-Moisture-Serum-15ml-i.825870.4645321385")</f>
        <v>https://shopee.co.id/iUNIK-Beta-Glucan-Power-Moisture-Serum-15ml-i.825870.4645321385</v>
      </c>
      <c r="C1956" s="8" t="s">
        <v>1658</v>
      </c>
      <c r="D1956" s="8" t="s">
        <v>1184</v>
      </c>
      <c r="E1956" s="8" t="s">
        <v>12</v>
      </c>
      <c r="F1956" s="8" t="s">
        <v>13</v>
      </c>
      <c r="G1956" s="8" t="s">
        <v>21</v>
      </c>
      <c r="H1956" s="16">
        <v>4.0</v>
      </c>
      <c r="I1956" s="15" t="str">
        <f>SUBSTITUTE(Sheet1!K1956, "Rp", "")</f>
        <v>394800</v>
      </c>
    </row>
    <row r="1957">
      <c r="A1957" s="8" t="s">
        <v>3058</v>
      </c>
      <c r="B1957" s="13" t="str">
        <f>HYPERLINK("https://shopee.co.id/Iunik-Black-Snail-Restore-Serum-50ml-i.270765534.4348931035", "https://shopee.co.id/Iunik-Black-Snail-Restore-Serum-50ml-i.270765534.4348931035")</f>
        <v>https://shopee.co.id/Iunik-Black-Snail-Restore-Serum-50ml-i.270765534.4348931035</v>
      </c>
      <c r="C1957" s="8" t="s">
        <v>1658</v>
      </c>
      <c r="D1957" s="8" t="s">
        <v>1659</v>
      </c>
      <c r="E1957" s="8" t="s">
        <v>12</v>
      </c>
      <c r="F1957" s="8" t="s">
        <v>13</v>
      </c>
      <c r="G1957" s="8" t="s">
        <v>21</v>
      </c>
      <c r="H1957" s="16">
        <v>4.0</v>
      </c>
      <c r="I1957" s="15" t="str">
        <f>SUBSTITUTE(Sheet1!K1957, "Rp", "")</f>
        <v>672000</v>
      </c>
    </row>
    <row r="1958">
      <c r="A1958" s="8" t="s">
        <v>3349</v>
      </c>
      <c r="B1958" s="13" t="str">
        <f>HYPERLINK("https://shopee.co.id/IUNIK-Tea-Tree-Relief-Serum-i.270965687.3992049490", "https://shopee.co.id/IUNIK-Tea-Tree-Relief-Serum-i.270965687.3992049490")</f>
        <v>https://shopee.co.id/IUNIK-Tea-Tree-Relief-Serum-i.270965687.3992049490</v>
      </c>
      <c r="C1958" s="8" t="s">
        <v>1658</v>
      </c>
      <c r="D1958" s="8" t="s">
        <v>379</v>
      </c>
      <c r="E1958" s="8" t="s">
        <v>12</v>
      </c>
      <c r="F1958" s="8" t="s">
        <v>13</v>
      </c>
      <c r="G1958" s="8" t="s">
        <v>380</v>
      </c>
      <c r="H1958" s="16">
        <v>4.0</v>
      </c>
      <c r="I1958" s="15" t="str">
        <f>SUBSTITUTE(Sheet1!K1958, "Rp", "")</f>
        <v>392000</v>
      </c>
    </row>
    <row r="1959">
      <c r="A1959" s="8" t="s">
        <v>3426</v>
      </c>
      <c r="B1959" s="13" t="str">
        <f>HYPERLINK("https://shopee.co.id/J-GLOW-Peeling-Serum-20-ml-i.165212611.11139610551", "https://shopee.co.id/J-GLOW-Peeling-Serum-20-ml-i.165212611.11139610551")</f>
        <v>https://shopee.co.id/J-GLOW-Peeling-Serum-20-ml-i.165212611.11139610551</v>
      </c>
      <c r="C1959" s="8" t="s">
        <v>1553</v>
      </c>
      <c r="D1959" s="8" t="s">
        <v>1554</v>
      </c>
      <c r="E1959" s="8" t="s">
        <v>12</v>
      </c>
      <c r="F1959" s="8" t="s">
        <v>13</v>
      </c>
      <c r="G1959" s="8" t="s">
        <v>241</v>
      </c>
      <c r="H1959" s="16">
        <v>4.0</v>
      </c>
      <c r="I1959" s="15" t="str">
        <f>SUBSTITUTE(Sheet1!K1959, "Rp", "")</f>
        <v>340000</v>
      </c>
    </row>
    <row r="1960">
      <c r="A1960" s="8" t="s">
        <v>3069</v>
      </c>
      <c r="B1960" s="13" t="str">
        <f>HYPERLINK("https://shopee.co.id/Jarkeen-Glow-Serum-Peach-i.147936010.2235726498", "https://shopee.co.id/Jarkeen-Glow-Serum-Peach-i.147936010.2235726498")</f>
        <v>https://shopee.co.id/Jarkeen-Glow-Serum-Peach-i.147936010.2235726498</v>
      </c>
      <c r="C1960" s="8" t="s">
        <v>738</v>
      </c>
      <c r="D1960" s="8" t="s">
        <v>739</v>
      </c>
      <c r="E1960" s="8" t="s">
        <v>12</v>
      </c>
      <c r="F1960" s="8" t="s">
        <v>13</v>
      </c>
      <c r="G1960" s="8" t="s">
        <v>241</v>
      </c>
      <c r="H1960" s="16">
        <v>4.0</v>
      </c>
      <c r="I1960" s="15" t="str">
        <f>SUBSTITUTE(Sheet1!K1960, "Rp", "")</f>
        <v>660000</v>
      </c>
    </row>
    <row r="1961">
      <c r="A1961" s="8" t="s">
        <v>3244</v>
      </c>
      <c r="B1961" s="13" t="str">
        <f>HYPERLINK("https://shopee.co.id/KF-Skin-Serum-Anti-Aging-i.298365554.4158148963", "https://shopee.co.id/KF-Skin-Serum-Anti-Aging-i.298365554.4158148963")</f>
        <v>https://shopee.co.id/KF-Skin-Serum-Anti-Aging-i.298365554.4158148963</v>
      </c>
      <c r="C1961" s="8" t="s">
        <v>1290</v>
      </c>
      <c r="D1961" s="8" t="s">
        <v>1291</v>
      </c>
      <c r="E1961" s="8" t="s">
        <v>12</v>
      </c>
      <c r="F1961" s="8" t="s">
        <v>13</v>
      </c>
      <c r="G1961" s="8" t="s">
        <v>1292</v>
      </c>
      <c r="H1961" s="16">
        <v>4.0</v>
      </c>
      <c r="I1961" s="15" t="str">
        <f>SUBSTITUTE(Sheet1!K1961, "Rp", "")</f>
        <v>487500</v>
      </c>
    </row>
    <row r="1962">
      <c r="A1962" s="8" t="s">
        <v>2518</v>
      </c>
      <c r="B1962" s="13" t="str">
        <f>HYPERLINK("https://shopee.co.id/KLAIRS-Midnight-Blue-Youth-Activating-Drop-Serum-20ml-i.68111.315858216", "https://shopee.co.id/KLAIRS-Midnight-Blue-Youth-Activating-Drop-Serum-20ml-i.68111.315858216")</f>
        <v>https://shopee.co.id/KLAIRS-Midnight-Blue-Youth-Activating-Drop-Serum-20ml-i.68111.315858216</v>
      </c>
      <c r="C1962" s="8" t="s">
        <v>432</v>
      </c>
      <c r="D1962" s="8" t="s">
        <v>441</v>
      </c>
      <c r="E1962" s="8" t="s">
        <v>12</v>
      </c>
      <c r="F1962" s="8" t="s">
        <v>13</v>
      </c>
      <c r="G1962" s="8" t="s">
        <v>130</v>
      </c>
      <c r="H1962" s="16">
        <v>4.0</v>
      </c>
      <c r="I1962" s="15" t="str">
        <f>SUBSTITUTE(Sheet1!K1962, "Rp", "")</f>
        <v>1655500</v>
      </c>
    </row>
    <row r="1963">
      <c r="A1963" s="8" t="s">
        <v>3206</v>
      </c>
      <c r="B1963" s="13" t="str">
        <f>HYPERLINK("https://shopee.co.id/Kleveru-Glass-Skin-Overnight-Serum-20ml-i.136011044.5478211978", "https://shopee.co.id/Kleveru-Glass-Skin-Overnight-Serum-20ml-i.136011044.5478211978")</f>
        <v>https://shopee.co.id/Kleveru-Glass-Skin-Overnight-Serum-20ml-i.136011044.5478211978</v>
      </c>
      <c r="C1963" s="8" t="s">
        <v>2408</v>
      </c>
      <c r="D1963" s="8" t="s">
        <v>632</v>
      </c>
      <c r="E1963" s="8" t="s">
        <v>12</v>
      </c>
      <c r="F1963" s="8" t="s">
        <v>13</v>
      </c>
      <c r="G1963" s="8" t="s">
        <v>21</v>
      </c>
      <c r="H1963" s="16">
        <v>4.0</v>
      </c>
      <c r="I1963" s="15" t="str">
        <f>SUBSTITUTE(Sheet1!K1963, "Rp", "")</f>
        <v>514800</v>
      </c>
    </row>
    <row r="1964">
      <c r="A1964" s="8" t="s">
        <v>2882</v>
      </c>
      <c r="B1964" s="13" t="str">
        <f>HYPERLINK("https://shopee.co.id/Lacoco-5-Bakuchiol-Essence-30ml-i.136011044.11228993934", "https://shopee.co.id/Lacoco-5-Bakuchiol-Essence-30ml-i.136011044.11228993934")</f>
        <v>https://shopee.co.id/Lacoco-5-Bakuchiol-Essence-30ml-i.136011044.11228993934</v>
      </c>
      <c r="C1964" s="8" t="s">
        <v>501</v>
      </c>
      <c r="D1964" s="8" t="s">
        <v>632</v>
      </c>
      <c r="E1964" s="8" t="s">
        <v>12</v>
      </c>
      <c r="F1964" s="8" t="s">
        <v>13</v>
      </c>
      <c r="G1964" s="8" t="s">
        <v>21</v>
      </c>
      <c r="H1964" s="16">
        <v>4.0</v>
      </c>
      <c r="I1964" s="15" t="str">
        <f>SUBSTITUTE(Sheet1!K1964, "Rp", "")</f>
        <v>925000</v>
      </c>
    </row>
    <row r="1965">
      <c r="A1965" s="8" t="s">
        <v>2935</v>
      </c>
      <c r="B1965" s="13" t="str">
        <f>HYPERLINK("https://shopee.co.id/LACOCO-Hydrating-Divine-Essence-50ml-i.270965687.8814341610", "https://shopee.co.id/LACOCO-Hydrating-Divine-Essence-50ml-i.270965687.8814341610")</f>
        <v>https://shopee.co.id/LACOCO-Hydrating-Divine-Essence-50ml-i.270965687.8814341610</v>
      </c>
      <c r="C1965" s="8" t="s">
        <v>501</v>
      </c>
      <c r="D1965" s="8" t="s">
        <v>379</v>
      </c>
      <c r="E1965" s="8" t="s">
        <v>12</v>
      </c>
      <c r="F1965" s="8" t="s">
        <v>13</v>
      </c>
      <c r="G1965" s="8" t="s">
        <v>380</v>
      </c>
      <c r="H1965" s="16">
        <v>4.0</v>
      </c>
      <c r="I1965" s="15" t="str">
        <f>SUBSTITUTE(Sheet1!K1965, "Rp", "")</f>
        <v>848000</v>
      </c>
    </row>
    <row r="1966">
      <c r="A1966" s="8" t="s">
        <v>2479</v>
      </c>
      <c r="B1966" s="13" t="str">
        <f>HYPERLINK("https://shopee.co.id/Lanore-Whitening-Anti-Aging-Serum-30-gr-PROMO-BUY-1-GET-1-i.46593637.4648918534", "https://shopee.co.id/Lanore-Whitening-Anti-Aging-Serum-30-gr-PROMO-BUY-1-GET-1-i.46593637.4648918534")</f>
        <v>https://shopee.co.id/Lanore-Whitening-Anti-Aging-Serum-30-gr-PROMO-BUY-1-GET-1-i.46593637.4648918534</v>
      </c>
      <c r="C1966" s="8" t="s">
        <v>2480</v>
      </c>
      <c r="D1966" s="8" t="s">
        <v>1607</v>
      </c>
      <c r="E1966" s="8" t="s">
        <v>12</v>
      </c>
      <c r="F1966" s="8" t="s">
        <v>13</v>
      </c>
      <c r="G1966" s="8" t="s">
        <v>350</v>
      </c>
      <c r="H1966" s="16">
        <v>4.0</v>
      </c>
      <c r="I1966" s="15" t="str">
        <f>SUBSTITUTE(Sheet1!K1966, "Rp", "")</f>
        <v>1760000</v>
      </c>
    </row>
    <row r="1967">
      <c r="A1967" s="8" t="s">
        <v>2564</v>
      </c>
      <c r="B1967" s="13" t="str">
        <f>HYPERLINK("https://shopee.co.id/LORE-Advanced-Lift-Perfection-Serum-30-ml-i.68740273.8727230552", "https://shopee.co.id/LORE-Advanced-Lift-Perfection-Serum-30-ml-i.68740273.8727230552")</f>
        <v>https://shopee.co.id/LORE-Advanced-Lift-Perfection-Serum-30-ml-i.68740273.8727230552</v>
      </c>
      <c r="C1967" s="8" t="s">
        <v>2565</v>
      </c>
      <c r="D1967" s="8" t="s">
        <v>2566</v>
      </c>
      <c r="E1967" s="8" t="s">
        <v>12</v>
      </c>
      <c r="F1967" s="8" t="s">
        <v>13</v>
      </c>
      <c r="G1967" s="8" t="s">
        <v>409</v>
      </c>
      <c r="H1967" s="16">
        <v>4.0</v>
      </c>
      <c r="I1967" s="15" t="str">
        <f>SUBSTITUTE(Sheet1!K1967, "Rp", "")</f>
        <v>1552200</v>
      </c>
    </row>
    <row r="1968">
      <c r="A1968" s="8" t="s">
        <v>3370</v>
      </c>
      <c r="B1968" s="13" t="str">
        <f>HYPERLINK("https://shopee.co.id/LUMIER-ADVANCED-YUJA-BRIGHTENING-AND-REPAIR-NIGHT-SERUM-i.231467354.8815998796", "https://shopee.co.id/LUMIER-ADVANCED-YUJA-BRIGHTENING-AND-REPAIR-NIGHT-SERUM-i.231467354.8815998796")</f>
        <v>https://shopee.co.id/LUMIER-ADVANCED-YUJA-BRIGHTENING-AND-REPAIR-NIGHT-SERUM-i.231467354.8815998796</v>
      </c>
      <c r="C1968" s="8" t="s">
        <v>2878</v>
      </c>
      <c r="D1968" s="8" t="s">
        <v>2879</v>
      </c>
      <c r="E1968" s="8" t="s">
        <v>12</v>
      </c>
      <c r="F1968" s="8" t="s">
        <v>13</v>
      </c>
      <c r="G1968" s="8" t="s">
        <v>532</v>
      </c>
      <c r="H1968" s="16">
        <v>4.0</v>
      </c>
      <c r="I1968" s="15" t="str">
        <f>SUBSTITUTE(Sheet1!K1968, "Rp", "")</f>
        <v>378000</v>
      </c>
    </row>
    <row r="1969">
      <c r="A1969" s="8" t="s">
        <v>2903</v>
      </c>
      <c r="B1969" s="13" t="str">
        <f>HYPERLINK("https://shopee.co.id/Lysca-Flek-Solution-Intense-Whitening-Complete-Package-i.267190835.11411489071", "https://shopee.co.id/Lysca-Flek-Solution-Intense-Whitening-Complete-Package-i.267190835.11411489071")</f>
        <v>https://shopee.co.id/Lysca-Flek-Solution-Intense-Whitening-Complete-Package-i.267190835.11411489071</v>
      </c>
      <c r="C1969" s="8" t="s">
        <v>2097</v>
      </c>
      <c r="D1969" s="8" t="s">
        <v>2098</v>
      </c>
      <c r="E1969" s="8" t="s">
        <v>12</v>
      </c>
      <c r="F1969" s="8" t="s">
        <v>13</v>
      </c>
      <c r="G1969" s="8" t="s">
        <v>115</v>
      </c>
      <c r="H1969" s="16">
        <v>4.0</v>
      </c>
      <c r="I1969" s="15" t="str">
        <f>SUBSTITUTE(Sheet1!K1969, "Rp", "")</f>
        <v>896550</v>
      </c>
    </row>
    <row r="1970">
      <c r="A1970" s="8" t="s">
        <v>3262</v>
      </c>
      <c r="B1970" s="13" t="str">
        <f>HYPERLINK("https://shopee.co.id/MEDGLOW-CLINIC-Elasticity-Serum-Aesthetic-Skincare-Anti-Aging-Firming-Lifting-Rejuvenasi-BPOM-i.285885972.7151892733", "https://shopee.co.id/MEDGLOW-CLINIC-Elasticity-Serum-Aesthetic-Skincare-Anti-Aging-Firming-Lifting-Rejuvenasi-BPOM-i.285885972.7151892733")</f>
        <v>https://shopee.co.id/MEDGLOW-CLINIC-Elasticity-Serum-Aesthetic-Skincare-Anti-Aging-Firming-Lifting-Rejuvenasi-BPOM-i.285885972.7151892733</v>
      </c>
      <c r="C1970" s="8" t="s">
        <v>949</v>
      </c>
      <c r="D1970" s="8" t="s">
        <v>950</v>
      </c>
      <c r="E1970" s="8" t="s">
        <v>12</v>
      </c>
      <c r="F1970" s="8" t="s">
        <v>13</v>
      </c>
      <c r="G1970" s="8" t="s">
        <v>380</v>
      </c>
      <c r="H1970" s="16">
        <v>4.0</v>
      </c>
      <c r="I1970" s="15" t="str">
        <f>SUBSTITUTE(Sheet1!K1970, "Rp", "")</f>
        <v>468750</v>
      </c>
    </row>
    <row r="1971">
      <c r="A1971" s="8" t="s">
        <v>3092</v>
      </c>
      <c r="B1971" s="13" t="str">
        <f>HYPERLINK("https://shopee.co.id/Mediheal-Masking-Layering-Ampoule-Exceltoning-Shot-size-4-ml-3-Edit-by-Sociolla-i.224957239.6330893706", "https://shopee.co.id/Mediheal-Masking-Layering-Ampoule-Exceltoning-Shot-size-4-ml-3-Edit-by-Sociolla-i.224957239.6330893706")</f>
        <v>https://shopee.co.id/Mediheal-Masking-Layering-Ampoule-Exceltoning-Shot-size-4-ml-3-Edit-by-Sociolla-i.224957239.6330893706</v>
      </c>
      <c r="C1971" s="8" t="s">
        <v>2972</v>
      </c>
      <c r="D1971" s="8" t="s">
        <v>492</v>
      </c>
      <c r="E1971" s="8" t="s">
        <v>12</v>
      </c>
      <c r="F1971" s="8" t="s">
        <v>13</v>
      </c>
      <c r="G1971" s="8" t="s">
        <v>21</v>
      </c>
      <c r="H1971" s="16">
        <v>4.0</v>
      </c>
      <c r="I1971" s="15" t="str">
        <f>SUBSTITUTE(Sheet1!K1971, "Rp", "")</f>
        <v>636800</v>
      </c>
    </row>
    <row r="1972">
      <c r="A1972" s="8" t="s">
        <v>2722</v>
      </c>
      <c r="B1972" s="13" t="str">
        <f>HYPERLINK("https://shopee.co.id/Mellydia-Lengkap-B-Cream-Pemutih-Wajah-Penghilang-Flek-Serum-Sabun-Wajah-Serta-Beauty-Water-BPOM-i.66671865.1800776945", "https://shopee.co.id/Mellydia-Lengkap-B-Cream-Pemutih-Wajah-Penghilang-Flek-Serum-Sabun-Wajah-Serta-Beauty-Water-BPOM-i.66671865.1800776945")</f>
        <v>https://shopee.co.id/Mellydia-Lengkap-B-Cream-Pemutih-Wajah-Penghilang-Flek-Serum-Sabun-Wajah-Serta-Beauty-Water-BPOM-i.66671865.1800776945</v>
      </c>
      <c r="C1972" s="8" t="s">
        <v>2723</v>
      </c>
      <c r="D1972" s="8" t="s">
        <v>2724</v>
      </c>
      <c r="E1972" s="8" t="s">
        <v>12</v>
      </c>
      <c r="F1972" s="8" t="s">
        <v>13</v>
      </c>
      <c r="G1972" s="8" t="s">
        <v>115</v>
      </c>
      <c r="H1972" s="16">
        <v>4.0</v>
      </c>
      <c r="I1972" s="15" t="str">
        <f>SUBSTITUTE(Sheet1!K1972, "Rp", "")</f>
        <v>1196000</v>
      </c>
    </row>
    <row r="1973">
      <c r="A1973" s="8" t="s">
        <v>3350</v>
      </c>
      <c r="B1973" s="13" t="str">
        <f>HYPERLINK("https://shopee.co.id/Mineral-Botanica-Acne-Care-Serum-i.30736001.1043896270", "https://shopee.co.id/Mineral-Botanica-Acne-Care-Serum-i.30736001.1043896270")</f>
        <v>https://shopee.co.id/Mineral-Botanica-Acne-Care-Serum-i.30736001.1043896270</v>
      </c>
      <c r="C1973" s="8" t="s">
        <v>807</v>
      </c>
      <c r="D1973" s="8" t="s">
        <v>335</v>
      </c>
      <c r="E1973" s="8" t="s">
        <v>12</v>
      </c>
      <c r="F1973" s="8" t="s">
        <v>13</v>
      </c>
      <c r="G1973" s="8" t="s">
        <v>36</v>
      </c>
      <c r="H1973" s="16">
        <v>4.0</v>
      </c>
      <c r="I1973" s="15" t="str">
        <f>SUBSTITUTE(Sheet1!K1973, "Rp", "")</f>
        <v>391600</v>
      </c>
    </row>
    <row r="1974">
      <c r="A1974" s="8" t="s">
        <v>3970</v>
      </c>
      <c r="B1974" s="13" t="str">
        <f>HYPERLINK("https://shopee.co.id/Mireya-Ultra-Boost-Serum-Hyalu-6-Peptide-3ml-i.101578297.12002390806", "https://shopee.co.id/Mireya-Ultra-Boost-Serum-Hyalu-6-Peptide-3ml-i.101578297.12002390806")</f>
        <v>https://shopee.co.id/Mireya-Ultra-Boost-Serum-Hyalu-6-Peptide-3ml-i.101578297.12002390806</v>
      </c>
      <c r="C1974" s="8" t="s">
        <v>2430</v>
      </c>
      <c r="D1974" s="8" t="s">
        <v>2431</v>
      </c>
      <c r="E1974" s="8" t="s">
        <v>12</v>
      </c>
      <c r="F1974" s="8" t="s">
        <v>13</v>
      </c>
      <c r="G1974" s="8" t="s">
        <v>21</v>
      </c>
      <c r="H1974" s="16">
        <v>4.0</v>
      </c>
      <c r="I1974" s="15" t="str">
        <f>SUBSTITUTE(Sheet1!K1974, "Rp", "")</f>
        <v>36000</v>
      </c>
    </row>
    <row r="1975">
      <c r="A1975" s="8" t="s">
        <v>3118</v>
      </c>
      <c r="B1975" s="13" t="str">
        <f>HYPERLINK("https://shopee.co.id/MS-Glow-Acne-Serum-Original-Serum-Wajah-Berjerawat-Isi-15ml-Ampuh-Menghilangkan-Jerawat-Bopeng-BPOM-i.287975332.11627860393", "https://shopee.co.id/MS-Glow-Acne-Serum-Original-Serum-Wajah-Berjerawat-Isi-15ml-Ampuh-Menghilangkan-Jerawat-Bopeng-BPOM-i.287975332.11627860393")</f>
        <v>https://shopee.co.id/MS-Glow-Acne-Serum-Original-Serum-Wajah-Berjerawat-Isi-15ml-Ampuh-Menghilangkan-Jerawat-Bopeng-BPOM-i.287975332.11627860393</v>
      </c>
      <c r="C1975" s="8" t="s">
        <v>96</v>
      </c>
      <c r="D1975" s="8" t="s">
        <v>349</v>
      </c>
      <c r="E1975" s="8" t="s">
        <v>12</v>
      </c>
      <c r="F1975" s="8" t="s">
        <v>13</v>
      </c>
      <c r="G1975" s="8" t="s">
        <v>350</v>
      </c>
      <c r="H1975" s="16">
        <v>4.0</v>
      </c>
      <c r="I1975" s="15" t="str">
        <f>SUBSTITUTE(Sheet1!K1975, "Rp", "")</f>
        <v>600000</v>
      </c>
    </row>
    <row r="1976">
      <c r="A1976" s="8" t="s">
        <v>3194</v>
      </c>
      <c r="B1976" s="13" t="str">
        <f>HYPERLINK("https://shopee.co.id/MSBB-N-Pure-Cica-Face-Essence-i.288588702.6263273050", "https://shopee.co.id/MSBB-N-Pure-Cica-Face-Essence-i.288588702.6263273050")</f>
        <v>https://shopee.co.id/MSBB-N-Pure-Cica-Face-Essence-i.288588702.6263273050</v>
      </c>
      <c r="C1976" s="8" t="s">
        <v>78</v>
      </c>
      <c r="D1976" s="8" t="s">
        <v>79</v>
      </c>
      <c r="E1976" s="8" t="s">
        <v>12</v>
      </c>
      <c r="F1976" s="8" t="s">
        <v>13</v>
      </c>
      <c r="G1976" s="8" t="s">
        <v>80</v>
      </c>
      <c r="H1976" s="16">
        <v>4.0</v>
      </c>
      <c r="I1976" s="15" t="str">
        <f>SUBSTITUTE(Sheet1!K1976, "Rp", "")</f>
        <v>527850</v>
      </c>
    </row>
    <row r="1977">
      <c r="A1977" s="8" t="s">
        <v>2687</v>
      </c>
      <c r="B1977" s="13" t="str">
        <f>HYPERLINK("https://shopee.co.id/Mugens-The-M-Marula-Water-Pack-i.293209404.7446007977", "https://shopee.co.id/Mugens-The-M-Marula-Water-Pack-i.293209404.7446007977")</f>
        <v>https://shopee.co.id/Mugens-The-M-Marula-Water-Pack-i.293209404.7446007977</v>
      </c>
      <c r="C1977" s="8" t="s">
        <v>2688</v>
      </c>
      <c r="D1977" s="8" t="s">
        <v>2689</v>
      </c>
      <c r="E1977" s="8" t="s">
        <v>12</v>
      </c>
      <c r="F1977" s="8" t="s">
        <v>13</v>
      </c>
      <c r="G1977" s="8" t="s">
        <v>2690</v>
      </c>
      <c r="H1977" s="16">
        <v>4.0</v>
      </c>
      <c r="I1977" s="15" t="str">
        <f>SUBSTITUTE(Sheet1!K1977, "Rp", "")</f>
        <v>1260000</v>
      </c>
    </row>
    <row r="1978">
      <c r="A1978" s="8" t="s">
        <v>2945</v>
      </c>
      <c r="B1978" s="13" t="str">
        <f>HYPERLINK("https://shopee.co.id/Nacific-Phyto-Niacin-Whitening-Essence-50ml-i.825870.2042345415", "https://shopee.co.id/Nacific-Phyto-Niacin-Whitening-Essence-50ml-i.825870.2042345415")</f>
        <v>https://shopee.co.id/Nacific-Phyto-Niacin-Whitening-Essence-50ml-i.825870.2042345415</v>
      </c>
      <c r="C1978" s="8" t="s">
        <v>344</v>
      </c>
      <c r="D1978" s="8" t="s">
        <v>1184</v>
      </c>
      <c r="E1978" s="8" t="s">
        <v>12</v>
      </c>
      <c r="F1978" s="8" t="s">
        <v>13</v>
      </c>
      <c r="G1978" s="8" t="s">
        <v>21</v>
      </c>
      <c r="H1978" s="16">
        <v>4.0</v>
      </c>
      <c r="I1978" s="15" t="str">
        <f>SUBSTITUTE(Sheet1!K1978, "Rp", "")</f>
        <v>829400</v>
      </c>
    </row>
    <row r="1979">
      <c r="A1979" s="8" t="s">
        <v>2941</v>
      </c>
      <c r="B1979" s="13" t="str">
        <f>HYPERLINK("https://shopee.co.id/Naruko-Tea-Tree-Post-Blemish-Corrector-10ml-i.70505220.1182430700", "https://shopee.co.id/Naruko-Tea-Tree-Post-Blemish-Corrector-10ml-i.70505220.1182430700")</f>
        <v>https://shopee.co.id/Naruko-Tea-Tree-Post-Blemish-Corrector-10ml-i.70505220.1182430700</v>
      </c>
      <c r="C1979" s="8" t="s">
        <v>2736</v>
      </c>
      <c r="D1979" s="8" t="s">
        <v>2737</v>
      </c>
      <c r="E1979" s="8" t="s">
        <v>12</v>
      </c>
      <c r="F1979" s="8" t="s">
        <v>13</v>
      </c>
      <c r="G1979" s="8" t="s">
        <v>21</v>
      </c>
      <c r="H1979" s="16">
        <v>4.0</v>
      </c>
      <c r="I1979" s="15" t="str">
        <f>SUBSTITUTE(Sheet1!K1979, "Rp", "")</f>
        <v>840000</v>
      </c>
    </row>
    <row r="1980">
      <c r="A1980" s="8" t="s">
        <v>2735</v>
      </c>
      <c r="B1980" s="13" t="str">
        <f>HYPERLINK("https://shopee.co.id/Naruko-Tea-Tree-Shine-Control-Blemish-Clear-Serum-30ML-i.70505220.1452659174", "https://shopee.co.id/Naruko-Tea-Tree-Shine-Control-Blemish-Clear-Serum-30ML-i.70505220.1452659174")</f>
        <v>https://shopee.co.id/Naruko-Tea-Tree-Shine-Control-Blemish-Clear-Serum-30ML-i.70505220.1452659174</v>
      </c>
      <c r="C1980" s="8" t="s">
        <v>2736</v>
      </c>
      <c r="D1980" s="8" t="s">
        <v>2737</v>
      </c>
      <c r="E1980" s="8" t="s">
        <v>12</v>
      </c>
      <c r="F1980" s="8" t="s">
        <v>13</v>
      </c>
      <c r="G1980" s="8" t="s">
        <v>21</v>
      </c>
      <c r="H1980" s="16">
        <v>4.0</v>
      </c>
      <c r="I1980" s="15" t="str">
        <f>SUBSTITUTE(Sheet1!K1980, "Rp", "")</f>
        <v>1170000</v>
      </c>
    </row>
    <row r="1981">
      <c r="A1981" s="8" t="s">
        <v>3093</v>
      </c>
      <c r="B1981" s="13" t="str">
        <f>HYPERLINK("https://shopee.co.id/Natasha-by-dr-Fredi-Setyawan-Bakuchiol-Glow-Serum-i.40121814.8581010887", "https://shopee.co.id/Natasha-by-dr-Fredi-Setyawan-Bakuchiol-Glow-Serum-i.40121814.8581010887")</f>
        <v>https://shopee.co.id/Natasha-by-dr-Fredi-Setyawan-Bakuchiol-Glow-Serum-i.40121814.8581010887</v>
      </c>
      <c r="C1981" s="8" t="s">
        <v>793</v>
      </c>
      <c r="D1981" s="8" t="s">
        <v>794</v>
      </c>
      <c r="E1981" s="8" t="s">
        <v>12</v>
      </c>
      <c r="F1981" s="8" t="s">
        <v>13</v>
      </c>
      <c r="G1981" s="8" t="s">
        <v>380</v>
      </c>
      <c r="H1981" s="16">
        <v>4.0</v>
      </c>
      <c r="I1981" s="15" t="str">
        <f>SUBSTITUTE(Sheet1!K1981, "Rp", "")</f>
        <v>634804</v>
      </c>
    </row>
    <row r="1982">
      <c r="A1982" s="8" t="s">
        <v>3663</v>
      </c>
      <c r="B1982" s="13" t="str">
        <f>HYPERLINK("https://shopee.co.id/Natosh-Sunflower-Seed-Oil-i.79298106.1421397759", "https://shopee.co.id/Natosh-Sunflower-Seed-Oil-i.79298106.1421397759")</f>
        <v>https://shopee.co.id/Natosh-Sunflower-Seed-Oil-i.79298106.1421397759</v>
      </c>
      <c r="C1982" s="8" t="s">
        <v>1665</v>
      </c>
      <c r="D1982" s="8" t="s">
        <v>2969</v>
      </c>
      <c r="E1982" s="8" t="s">
        <v>12</v>
      </c>
      <c r="F1982" s="8" t="s">
        <v>13</v>
      </c>
      <c r="G1982" s="8" t="s">
        <v>350</v>
      </c>
      <c r="H1982" s="16">
        <v>4.0</v>
      </c>
      <c r="I1982" s="15" t="str">
        <f>SUBSTITUTE(Sheet1!K1982, "Rp", "")</f>
        <v>196000</v>
      </c>
    </row>
    <row r="1983">
      <c r="A1983" s="8" t="s">
        <v>3171</v>
      </c>
      <c r="B1983" s="13" t="str">
        <f>HYPERLINK("https://shopee.co.id/Nature-Reaction-Crystal-Bright-Serum-Pencerah-Wajah-Penghilang-Bekas-Jerawat-Original-BPOM-Halal-i.375565670.10928137265", "https://shopee.co.id/Nature-Reaction-Crystal-Bright-Serum-Pencerah-Wajah-Penghilang-Bekas-Jerawat-Original-BPOM-Halal-i.375565670.10928137265")</f>
        <v>https://shopee.co.id/Nature-Reaction-Crystal-Bright-Serum-Pencerah-Wajah-Penghilang-Bekas-Jerawat-Original-BPOM-Halal-i.375565670.10928137265</v>
      </c>
      <c r="C1983" s="8" t="s">
        <v>530</v>
      </c>
      <c r="D1983" s="8" t="s">
        <v>531</v>
      </c>
      <c r="E1983" s="8" t="s">
        <v>12</v>
      </c>
      <c r="F1983" s="8" t="s">
        <v>13</v>
      </c>
      <c r="G1983" s="8" t="s">
        <v>532</v>
      </c>
      <c r="H1983" s="16">
        <v>4.0</v>
      </c>
      <c r="I1983" s="15" t="str">
        <f>SUBSTITUTE(Sheet1!K1983, "Rp", "")</f>
        <v>548000</v>
      </c>
    </row>
    <row r="1984">
      <c r="A1984" s="8" t="s">
        <v>2129</v>
      </c>
      <c r="B1984" s="13" t="str">
        <f>HYPERLINK("https://shopee.co.id/NATURE-REPUBLIC-Snail-Solution-Essence-i.78838801.1586738824", "https://shopee.co.id/NATURE-REPUBLIC-Snail-Solution-Essence-i.78838801.1586738824")</f>
        <v>https://shopee.co.id/NATURE-REPUBLIC-Snail-Solution-Essence-i.78838801.1586738824</v>
      </c>
      <c r="C1984" s="8" t="s">
        <v>1079</v>
      </c>
      <c r="D1984" s="8" t="s">
        <v>1080</v>
      </c>
      <c r="E1984" s="8" t="s">
        <v>12</v>
      </c>
      <c r="F1984" s="8" t="s">
        <v>13</v>
      </c>
      <c r="G1984" s="8" t="s">
        <v>532</v>
      </c>
      <c r="H1984" s="16">
        <v>4.0</v>
      </c>
      <c r="I1984" s="15" t="str">
        <f>SUBSTITUTE(Sheet1!K1984, "Rp", "")</f>
        <v>2832000</v>
      </c>
    </row>
    <row r="1985">
      <c r="A1985" s="8" t="s">
        <v>3257</v>
      </c>
      <c r="B1985" s="13" t="str">
        <f>HYPERLINK("https://shopee.co.id/Nourish-Beauty-Care-Wrinkle-Remover-Serum-Anti-Aging-Series-Anti-Penuaan-i.175375997.3400344332", "https://shopee.co.id/Nourish-Beauty-Care-Wrinkle-Remover-Serum-Anti-Aging-Series-Anti-Penuaan-i.175375997.3400344332")</f>
        <v>https://shopee.co.id/Nourish-Beauty-Care-Wrinkle-Remover-Serum-Anti-Aging-Series-Anti-Penuaan-i.175375997.3400344332</v>
      </c>
      <c r="C1985" s="8" t="s">
        <v>1309</v>
      </c>
      <c r="D1985" s="8" t="s">
        <v>2123</v>
      </c>
      <c r="E1985" s="8" t="s">
        <v>12</v>
      </c>
      <c r="F1985" s="8" t="s">
        <v>13</v>
      </c>
      <c r="G1985" s="8" t="s">
        <v>36</v>
      </c>
      <c r="H1985" s="16">
        <v>4.0</v>
      </c>
      <c r="I1985" s="15" t="str">
        <f>SUBSTITUTE(Sheet1!K1985, "Rp", "")</f>
        <v>472000</v>
      </c>
    </row>
    <row r="1986">
      <c r="A1986" s="8" t="s">
        <v>3075</v>
      </c>
      <c r="B1986" s="13" t="str">
        <f>HYPERLINK("https://shopee.co.id/NOX-X-Natasha-by-dr-Fredi-Setyawan-Coffee-Serum-i.40121814.919941284", "https://shopee.co.id/NOX-X-Natasha-by-dr-Fredi-Setyawan-Coffee-Serum-i.40121814.919941284")</f>
        <v>https://shopee.co.id/NOX-X-Natasha-by-dr-Fredi-Setyawan-Coffee-Serum-i.40121814.919941284</v>
      </c>
      <c r="C1986" s="8" t="s">
        <v>1752</v>
      </c>
      <c r="D1986" s="8" t="s">
        <v>794</v>
      </c>
      <c r="E1986" s="8" t="s">
        <v>12</v>
      </c>
      <c r="F1986" s="8" t="s">
        <v>13</v>
      </c>
      <c r="G1986" s="8" t="s">
        <v>380</v>
      </c>
      <c r="H1986" s="16">
        <v>4.0</v>
      </c>
      <c r="I1986" s="15" t="str">
        <f>SUBSTITUTE(Sheet1!K1986, "Rp", "")</f>
        <v>649044</v>
      </c>
    </row>
    <row r="1987">
      <c r="A1987" s="8" t="s">
        <v>3013</v>
      </c>
      <c r="B1987" s="13" t="str">
        <f>HYPERLINK("https://shopee.co.id/NPURE-Face-Serum-Marigold-Calendula-Series-i.68111.5515242475", "https://shopee.co.id/NPURE-Face-Serum-Marigold-Calendula-Series-i.68111.5515242475")</f>
        <v>https://shopee.co.id/NPURE-Face-Serum-Marigold-Calendula-Series-i.68111.5515242475</v>
      </c>
      <c r="C1987" s="8" t="s">
        <v>266</v>
      </c>
      <c r="D1987" s="8" t="s">
        <v>441</v>
      </c>
      <c r="E1987" s="8" t="s">
        <v>12</v>
      </c>
      <c r="F1987" s="8" t="s">
        <v>13</v>
      </c>
      <c r="G1987" s="8" t="s">
        <v>130</v>
      </c>
      <c r="H1987" s="16">
        <v>4.0</v>
      </c>
      <c r="I1987" s="15" t="str">
        <f>SUBSTITUTE(Sheet1!K1987, "Rp", "")</f>
        <v>726350</v>
      </c>
    </row>
    <row r="1988">
      <c r="A1988" s="8" t="s">
        <v>3467</v>
      </c>
      <c r="B1988" s="13" t="str">
        <f>HYPERLINK("https://shopee.co.id/Nu-Aroma-Avocado-Oil-Natural-Serum-Wajah-Serum-Kulit-Serum-Rambut--i.262175945.4455685403", "https://shopee.co.id/Nu-Aroma-Avocado-Oil-Natural-Serum-Wajah-Serum-Kulit-Serum-Rambut--i.262175945.4455685403")</f>
        <v>https://shopee.co.id/Nu-Aroma-Avocado-Oil-Natural-Serum-Wajah-Serum-Kulit-Serum-Rambut--i.262175945.4455685403</v>
      </c>
      <c r="C1988" s="8" t="s">
        <v>2863</v>
      </c>
      <c r="D1988" s="8" t="s">
        <v>2864</v>
      </c>
      <c r="E1988" s="8" t="s">
        <v>12</v>
      </c>
      <c r="F1988" s="8" t="s">
        <v>13</v>
      </c>
      <c r="G1988" s="8" t="s">
        <v>945</v>
      </c>
      <c r="H1988" s="16">
        <v>4.0</v>
      </c>
      <c r="I1988" s="15" t="str">
        <f>SUBSTITUTE(Sheet1!K1988, "Rp", "")</f>
        <v>303940</v>
      </c>
    </row>
    <row r="1989">
      <c r="A1989" s="8" t="s">
        <v>3707</v>
      </c>
      <c r="B1989" s="13" t="str">
        <f>HYPERLINK("https://shopee.co.id/Nu-Aroma-Olive-Oil-Natural-Serum-Wajah-Serum-Kulit-Serum-Rambut--i.262175945.6957194233", "https://shopee.co.id/Nu-Aroma-Olive-Oil-Natural-Serum-Wajah-Serum-Kulit-Serum-Rambut--i.262175945.6957194233")</f>
        <v>https://shopee.co.id/Nu-Aroma-Olive-Oil-Natural-Serum-Wajah-Serum-Kulit-Serum-Rambut--i.262175945.6957194233</v>
      </c>
      <c r="C1989" s="8" t="s">
        <v>2863</v>
      </c>
      <c r="D1989" s="8" t="s">
        <v>2864</v>
      </c>
      <c r="E1989" s="8" t="s">
        <v>12</v>
      </c>
      <c r="F1989" s="8" t="s">
        <v>13</v>
      </c>
      <c r="G1989" s="8" t="s">
        <v>945</v>
      </c>
      <c r="H1989" s="16">
        <v>4.0</v>
      </c>
      <c r="I1989" s="15" t="str">
        <f>SUBSTITUTE(Sheet1!K1989, "Rp", "")</f>
        <v>176540</v>
      </c>
    </row>
    <row r="1990">
      <c r="A1990" s="8" t="s">
        <v>3402</v>
      </c>
      <c r="B1990" s="13" t="str">
        <f>HYPERLINK("https://shopee.co.id/Nu-Aroma-Rosehip-Oil-Natural-Serum-Wajah-Serum-Rambut--i.262175945.3657169304", "https://shopee.co.id/Nu-Aroma-Rosehip-Oil-Natural-Serum-Wajah-Serum-Rambut--i.262175945.3657169304")</f>
        <v>https://shopee.co.id/Nu-Aroma-Rosehip-Oil-Natural-Serum-Wajah-Serum-Rambut--i.262175945.3657169304</v>
      </c>
      <c r="C1990" s="8" t="s">
        <v>2863</v>
      </c>
      <c r="D1990" s="8" t="s">
        <v>2864</v>
      </c>
      <c r="E1990" s="8" t="s">
        <v>12</v>
      </c>
      <c r="F1990" s="8" t="s">
        <v>13</v>
      </c>
      <c r="G1990" s="8" t="s">
        <v>945</v>
      </c>
      <c r="H1990" s="16">
        <v>4.0</v>
      </c>
      <c r="I1990" s="15" t="str">
        <f>SUBSTITUTE(Sheet1!K1990, "Rp", "")</f>
        <v>362180</v>
      </c>
    </row>
    <row r="1991">
      <c r="A1991" s="8" t="s">
        <v>3695</v>
      </c>
      <c r="B1991" s="13" t="str">
        <f>HYPERLINK("https://shopee.co.id/Nu-Aroma-Virgin-Coconut-Oil-Natural-Serum-Wajah-Serum-Kulit-Rambut--i.262175945.3958983615", "https://shopee.co.id/Nu-Aroma-Virgin-Coconut-Oil-Natural-Serum-Wajah-Serum-Kulit-Rambut--i.262175945.3958983615")</f>
        <v>https://shopee.co.id/Nu-Aroma-Virgin-Coconut-Oil-Natural-Serum-Wajah-Serum-Kulit-Rambut--i.262175945.3958983615</v>
      </c>
      <c r="C1991" s="8" t="s">
        <v>2863</v>
      </c>
      <c r="D1991" s="8" t="s">
        <v>2864</v>
      </c>
      <c r="E1991" s="8" t="s">
        <v>12</v>
      </c>
      <c r="F1991" s="8" t="s">
        <v>13</v>
      </c>
      <c r="G1991" s="8" t="s">
        <v>945</v>
      </c>
      <c r="H1991" s="16">
        <v>4.0</v>
      </c>
      <c r="I1991" s="15" t="str">
        <f>SUBSTITUTE(Sheet1!K1991, "Rp", "")</f>
        <v>180000</v>
      </c>
    </row>
    <row r="1992">
      <c r="A1992" s="8" t="s">
        <v>3419</v>
      </c>
      <c r="B1992" s="13" t="str">
        <f>HYPERLINK("https://shopee.co.id/NURISH-ORGANIQ-24K-Gold-Special-Bundling-Eye-Serum-15ml-Face-Essence-25ml-i.238368383.5037542171", "https://shopee.co.id/NURISH-ORGANIQ-24K-Gold-Special-Bundling-Eye-Serum-15ml-Face-Essence-25ml-i.238368383.5037542171")</f>
        <v>https://shopee.co.id/NURISH-ORGANIQ-24K-Gold-Special-Bundling-Eye-Serum-15ml-Face-Essence-25ml-i.238368383.5037542171</v>
      </c>
      <c r="C1992" s="8" t="s">
        <v>2892</v>
      </c>
      <c r="D1992" s="8" t="s">
        <v>2893</v>
      </c>
      <c r="E1992" s="8" t="s">
        <v>12</v>
      </c>
      <c r="F1992" s="8" t="s">
        <v>13</v>
      </c>
      <c r="G1992" s="8" t="s">
        <v>21</v>
      </c>
      <c r="H1992" s="16">
        <v>4.0</v>
      </c>
      <c r="I1992" s="15" t="str">
        <f>SUBSTITUTE(Sheet1!K1992, "Rp", "")</f>
        <v>345600</v>
      </c>
    </row>
    <row r="1993">
      <c r="A1993" s="8" t="s">
        <v>3222</v>
      </c>
      <c r="B1993" s="13" t="str">
        <f>HYPERLINK("https://shopee.co.id/Nurish-Organiq-Brightening-Face-Essence-i.238368383.6720833634", "https://shopee.co.id/Nurish-Organiq-Brightening-Face-Essence-i.238368383.6720833634")</f>
        <v>https://shopee.co.id/Nurish-Organiq-Brightening-Face-Essence-i.238368383.6720833634</v>
      </c>
      <c r="C1993" s="8" t="s">
        <v>2892</v>
      </c>
      <c r="D1993" s="8" t="s">
        <v>2893</v>
      </c>
      <c r="E1993" s="8" t="s">
        <v>12</v>
      </c>
      <c r="F1993" s="8" t="s">
        <v>13</v>
      </c>
      <c r="G1993" s="8" t="s">
        <v>21</v>
      </c>
      <c r="H1993" s="16">
        <v>4.0</v>
      </c>
      <c r="I1993" s="15" t="str">
        <f>SUBSTITUTE(Sheet1!K1993, "Rp", "")</f>
        <v>500400</v>
      </c>
    </row>
    <row r="1994">
      <c r="A1994" s="8" t="s">
        <v>3389</v>
      </c>
      <c r="B1994" s="13" t="str">
        <f>HYPERLINK("https://shopee.co.id/Oeil-Paris-Glow-Brightening-Serum-i.250766364.9177267717", "https://shopee.co.id/Oeil-Paris-Glow-Brightening-Serum-i.250766364.9177267717")</f>
        <v>https://shopee.co.id/Oeil-Paris-Glow-Brightening-Serum-i.250766364.9177267717</v>
      </c>
      <c r="C1994" s="8" t="s">
        <v>2068</v>
      </c>
      <c r="D1994" s="8" t="s">
        <v>2069</v>
      </c>
      <c r="E1994" s="8" t="s">
        <v>12</v>
      </c>
      <c r="F1994" s="8" t="s">
        <v>13</v>
      </c>
      <c r="G1994" s="8" t="s">
        <v>61</v>
      </c>
      <c r="H1994" s="16">
        <v>4.0</v>
      </c>
      <c r="I1994" s="15" t="str">
        <f>SUBSTITUTE(Sheet1!K1994, "Rp", "")</f>
        <v>370260</v>
      </c>
    </row>
    <row r="1995">
      <c r="A1995" s="8" t="s">
        <v>3225</v>
      </c>
      <c r="B1995" s="13" t="str">
        <f>HYPERLINK("https://shopee.co.id/Omniskin-Cica-Glow-Blemish-Skin-Whitening-Serum-20ml-i.136011044.11426182286", "https://shopee.co.id/Omniskin-Cica-Glow-Blemish-Skin-Whitening-Serum-20ml-i.136011044.11426182286")</f>
        <v>https://shopee.co.id/Omniskin-Cica-Glow-Blemish-Skin-Whitening-Serum-20ml-i.136011044.11426182286</v>
      </c>
      <c r="C1995" s="8" t="s">
        <v>2268</v>
      </c>
      <c r="D1995" s="8" t="s">
        <v>632</v>
      </c>
      <c r="E1995" s="8" t="s">
        <v>12</v>
      </c>
      <c r="F1995" s="8" t="s">
        <v>13</v>
      </c>
      <c r="G1995" s="8" t="s">
        <v>21</v>
      </c>
      <c r="H1995" s="16">
        <v>4.0</v>
      </c>
      <c r="I1995" s="15" t="str">
        <f>SUBSTITUTE(Sheet1!K1995, "Rp", "")</f>
        <v>500000</v>
      </c>
    </row>
    <row r="1996">
      <c r="A1996" s="8" t="s">
        <v>3226</v>
      </c>
      <c r="B1996" s="13" t="str">
        <f>HYPERLINK("https://shopee.co.id/OMNISKIN-Cica-Glow-Blemish-Skin-Whitening-Serum-20ml-i.68111.8883993693", "https://shopee.co.id/OMNISKIN-Cica-Glow-Blemish-Skin-Whitening-Serum-20ml-i.68111.8883993693")</f>
        <v>https://shopee.co.id/OMNISKIN-Cica-Glow-Blemish-Skin-Whitening-Serum-20ml-i.68111.8883993693</v>
      </c>
      <c r="C1996" s="8" t="s">
        <v>2268</v>
      </c>
      <c r="D1996" s="8" t="s">
        <v>441</v>
      </c>
      <c r="E1996" s="8" t="s">
        <v>12</v>
      </c>
      <c r="F1996" s="8" t="s">
        <v>13</v>
      </c>
      <c r="G1996" s="8" t="s">
        <v>130</v>
      </c>
      <c r="H1996" s="16">
        <v>4.0</v>
      </c>
      <c r="I1996" s="15" t="str">
        <f>SUBSTITUTE(Sheet1!K1996, "Rp", "")</f>
        <v>500000</v>
      </c>
    </row>
    <row r="1997">
      <c r="A1997" s="8" t="s">
        <v>3690</v>
      </c>
      <c r="B1997" s="13" t="str">
        <f>HYPERLINK("https://shopee.co.id/Originally-Serum-Anti-Acne-i.33521171.505223488", "https://shopee.co.id/Originally-Serum-Anti-Acne-i.33521171.505223488")</f>
        <v>https://shopee.co.id/Originally-Serum-Anti-Acne-i.33521171.505223488</v>
      </c>
      <c r="C1997" s="8" t="s">
        <v>3347</v>
      </c>
      <c r="D1997" s="8" t="s">
        <v>3348</v>
      </c>
      <c r="E1997" s="8" t="s">
        <v>12</v>
      </c>
      <c r="F1997" s="8" t="s">
        <v>13</v>
      </c>
      <c r="G1997" s="8" t="s">
        <v>1048</v>
      </c>
      <c r="H1997" s="16">
        <v>4.0</v>
      </c>
      <c r="I1997" s="15" t="str">
        <f>SUBSTITUTE(Sheet1!K1997, "Rp", "")</f>
        <v>184800</v>
      </c>
    </row>
    <row r="1998">
      <c r="A1998" s="8" t="s">
        <v>3227</v>
      </c>
      <c r="B1998" s="13" t="str">
        <f>HYPERLINK("https://shopee.co.id/Qweena-Pumpkin-Whitening-Serum-with-snail-secretion-filtrate-20ML-2022-i.198883301.10315477266", "https://shopee.co.id/Qweena-Pumpkin-Whitening-Serum-with-snail-secretion-filtrate-20ML-2022-i.198883301.10315477266")</f>
        <v>https://shopee.co.id/Qweena-Pumpkin-Whitening-Serum-with-snail-secretion-filtrate-20ML-2022-i.198883301.10315477266</v>
      </c>
      <c r="C1998" s="8" t="s">
        <v>2390</v>
      </c>
      <c r="D1998" s="8" t="s">
        <v>2391</v>
      </c>
      <c r="E1998" s="8" t="s">
        <v>12</v>
      </c>
      <c r="F1998" s="8" t="s">
        <v>13</v>
      </c>
      <c r="G1998" s="8" t="s">
        <v>2392</v>
      </c>
      <c r="H1998" s="16">
        <v>4.0</v>
      </c>
      <c r="I1998" s="15" t="str">
        <f>SUBSTITUTE(Sheet1!K1998, "Rp", "")</f>
        <v>500000</v>
      </c>
    </row>
    <row r="1999">
      <c r="A1999" s="8" t="s">
        <v>3442</v>
      </c>
      <c r="B1999" s="13" t="str">
        <f>HYPERLINK("https://shopee.co.id/Radiance-Gold-Gel-Marwah-Skin-Care-i.357101711.3679625990", "https://shopee.co.id/Radiance-Gold-Gel-Marwah-Skin-Care-i.357101711.3679625990")</f>
        <v>https://shopee.co.id/Radiance-Gold-Gel-Marwah-Skin-Care-i.357101711.3679625990</v>
      </c>
      <c r="C1999" s="8" t="s">
        <v>2249</v>
      </c>
      <c r="D1999" s="8" t="s">
        <v>2250</v>
      </c>
      <c r="E1999" s="8" t="s">
        <v>12</v>
      </c>
      <c r="F1999" s="8" t="s">
        <v>13</v>
      </c>
      <c r="G1999" s="8" t="s">
        <v>370</v>
      </c>
      <c r="H1999" s="16">
        <v>4.0</v>
      </c>
      <c r="I1999" s="15" t="str">
        <f>SUBSTITUTE(Sheet1!K1999, "Rp", "")</f>
        <v>320000</v>
      </c>
    </row>
    <row r="2000">
      <c r="A2000" s="8" t="s">
        <v>3299</v>
      </c>
      <c r="B2000" s="13" t="str">
        <f>HYPERLINK("https://shopee.co.id/Rivera-Endless-Bright-Advanced-Brightening-Serum-i.15093776.520389222", "https://shopee.co.id/Rivera-Endless-Bright-Advanced-Brightening-Serum-i.15093776.520389222")</f>
        <v>https://shopee.co.id/Rivera-Endless-Bright-Advanced-Brightening-Serum-i.15093776.520389222</v>
      </c>
      <c r="C2000" s="8" t="s">
        <v>2399</v>
      </c>
      <c r="D2000" s="8" t="s">
        <v>2400</v>
      </c>
      <c r="E2000" s="8" t="s">
        <v>12</v>
      </c>
      <c r="F2000" s="8" t="s">
        <v>13</v>
      </c>
      <c r="G2000" s="8" t="s">
        <v>21</v>
      </c>
      <c r="H2000" s="16">
        <v>4.0</v>
      </c>
      <c r="I2000" s="15" t="str">
        <f>SUBSTITUTE(Sheet1!K2000, "Rp", "")</f>
        <v>432768</v>
      </c>
    </row>
    <row r="2001">
      <c r="A2001" s="8" t="s">
        <v>3443</v>
      </c>
      <c r="B2001" s="13" t="str">
        <f>HYPERLINK("https://shopee.co.id/Saffbeautys-Bundle-Serum-Tamanu-Oil-Pure-Serum-Brightening-Saffron-10Ml-i.61316931.8464673647", "https://shopee.co.id/Saffbeautys-Bundle-Serum-Tamanu-Oil-Pure-Serum-Brightening-Saffron-10Ml-i.61316931.8464673647")</f>
        <v>https://shopee.co.id/Saffbeautys-Bundle-Serum-Tamanu-Oil-Pure-Serum-Brightening-Saffron-10Ml-i.61316931.8464673647</v>
      </c>
      <c r="C2001" s="8" t="s">
        <v>940</v>
      </c>
      <c r="D2001" s="8" t="s">
        <v>2128</v>
      </c>
      <c r="E2001" s="8" t="s">
        <v>12</v>
      </c>
      <c r="F2001" s="8" t="s">
        <v>13</v>
      </c>
      <c r="G2001" s="8" t="s">
        <v>409</v>
      </c>
      <c r="H2001" s="16">
        <v>4.0</v>
      </c>
      <c r="I2001" s="15" t="str">
        <f>SUBSTITUTE(Sheet1!K2001, "Rp", "")</f>
        <v>320000</v>
      </c>
    </row>
    <row r="2002">
      <c r="A2002" s="8" t="s">
        <v>2994</v>
      </c>
      <c r="B2002" s="13" t="str">
        <f>HYPERLINK("https://shopee.co.id/Sbcskin-Mild-Exfoliating-Serum-Acne-Serum--i.229435322.8013694547", "https://shopee.co.id/Sbcskin-Mild-Exfoliating-Serum-Acne-Serum--i.229435322.8013694547")</f>
        <v>https://shopee.co.id/Sbcskin-Mild-Exfoliating-Serum-Acne-Serum--i.229435322.8013694547</v>
      </c>
      <c r="C2002" s="8" t="s">
        <v>1775</v>
      </c>
      <c r="D2002" s="8" t="s">
        <v>1776</v>
      </c>
      <c r="E2002" s="8" t="s">
        <v>12</v>
      </c>
      <c r="F2002" s="8" t="s">
        <v>13</v>
      </c>
      <c r="G2002" s="8" t="s">
        <v>1777</v>
      </c>
      <c r="H2002" s="16">
        <v>4.0</v>
      </c>
      <c r="I2002" s="15" t="str">
        <f>SUBSTITUTE(Sheet1!K2002, "Rp", "")</f>
        <v>759525</v>
      </c>
    </row>
    <row r="2003">
      <c r="A2003" s="8" t="s">
        <v>1371</v>
      </c>
      <c r="B2003" s="13" t="str">
        <f>HYPERLINK("https://shopee.co.id/Sk-Ii-Genoptics-Aura-Essence-i.339725786.10101196118", "https://shopee.co.id/Sk-Ii-Genoptics-Aura-Essence-i.339725786.10101196118")</f>
        <v>https://shopee.co.id/Sk-Ii-Genoptics-Aura-Essence-i.339725786.10101196118</v>
      </c>
      <c r="C2003" s="8" t="s">
        <v>1372</v>
      </c>
      <c r="D2003" s="8" t="s">
        <v>1373</v>
      </c>
      <c r="E2003" s="8" t="s">
        <v>12</v>
      </c>
      <c r="F2003" s="8" t="s">
        <v>13</v>
      </c>
      <c r="G2003" s="8" t="s">
        <v>98</v>
      </c>
      <c r="H2003" s="16">
        <v>4.0</v>
      </c>
      <c r="I2003" s="15" t="str">
        <f>SUBSTITUTE(Sheet1!K2003, "Rp", "")</f>
        <v>9480000</v>
      </c>
    </row>
    <row r="2004">
      <c r="A2004" s="8" t="s">
        <v>1590</v>
      </c>
      <c r="B2004" s="13" t="str">
        <f>HYPERLINK("https://shopee.co.id/Sk-Ii-Genoptics-Spot-Essence-i.339725786.9950495345", "https://shopee.co.id/Sk-Ii-Genoptics-Spot-Essence-i.339725786.9950495345")</f>
        <v>https://shopee.co.id/Sk-Ii-Genoptics-Spot-Essence-i.339725786.9950495345</v>
      </c>
      <c r="C2004" s="8" t="s">
        <v>1372</v>
      </c>
      <c r="D2004" s="8" t="s">
        <v>1373</v>
      </c>
      <c r="E2004" s="8" t="s">
        <v>12</v>
      </c>
      <c r="F2004" s="8" t="s">
        <v>13</v>
      </c>
      <c r="G2004" s="8" t="s">
        <v>98</v>
      </c>
      <c r="H2004" s="16">
        <v>4.0</v>
      </c>
      <c r="I2004" s="15" t="str">
        <f>SUBSTITUTE(Sheet1!K2004, "Rp", "")</f>
        <v>6520000</v>
      </c>
    </row>
    <row r="2005">
      <c r="A2005" s="8" t="s">
        <v>2489</v>
      </c>
      <c r="B2005" s="13" t="str">
        <f>HYPERLINK("https://shopee.co.id/SKEYNDOR-Hyaluronic-Moisturising-Booster-i.241089883.5279505101", "https://shopee.co.id/SKEYNDOR-Hyaluronic-Moisturising-Booster-i.241089883.5279505101")</f>
        <v>https://shopee.co.id/SKEYNDOR-Hyaluronic-Moisturising-Booster-i.241089883.5279505101</v>
      </c>
      <c r="C2005" s="8" t="s">
        <v>2215</v>
      </c>
      <c r="D2005" s="8" t="s">
        <v>2216</v>
      </c>
      <c r="E2005" s="8" t="s">
        <v>12</v>
      </c>
      <c r="F2005" s="8" t="s">
        <v>13</v>
      </c>
      <c r="G2005" s="8" t="s">
        <v>21</v>
      </c>
      <c r="H2005" s="16">
        <v>4.0</v>
      </c>
      <c r="I2005" s="15" t="str">
        <f>SUBSTITUTE(Sheet1!K2005, "Rp", "")</f>
        <v>1738000</v>
      </c>
    </row>
    <row r="2006">
      <c r="A2006" s="8" t="s">
        <v>2241</v>
      </c>
      <c r="B2006" s="13" t="str">
        <f>HYPERLINK("https://shopee.co.id/SKEYNDOR-Pure-Vitamin-C-Intense-Recovery-Factor-i.241089883.6227234325", "https://shopee.co.id/SKEYNDOR-Pure-Vitamin-C-Intense-Recovery-Factor-i.241089883.6227234325")</f>
        <v>https://shopee.co.id/SKEYNDOR-Pure-Vitamin-C-Intense-Recovery-Factor-i.241089883.6227234325</v>
      </c>
      <c r="C2006" s="8" t="s">
        <v>2215</v>
      </c>
      <c r="D2006" s="8" t="s">
        <v>2216</v>
      </c>
      <c r="E2006" s="8" t="s">
        <v>12</v>
      </c>
      <c r="F2006" s="8" t="s">
        <v>13</v>
      </c>
      <c r="G2006" s="8" t="s">
        <v>21</v>
      </c>
      <c r="H2006" s="16">
        <v>4.0</v>
      </c>
      <c r="I2006" s="15" t="str">
        <f>SUBSTITUTE(Sheet1!K2006, "Rp", "")</f>
        <v>2420000</v>
      </c>
    </row>
    <row r="2007">
      <c r="A2007" s="8" t="s">
        <v>3338</v>
      </c>
      <c r="B2007" s="13" t="str">
        <f>HYPERLINK("https://shopee.co.id/Skiner-Micro-Collagen-Krim-Wajah-Anti-Wrinkle-Essence-40gr-i.262681941.5058569724", "https://shopee.co.id/Skiner-Micro-Collagen-Krim-Wajah-Anti-Wrinkle-Essence-40gr-i.262681941.5058569724")</f>
        <v>https://shopee.co.id/Skiner-Micro-Collagen-Krim-Wajah-Anti-Wrinkle-Essence-40gr-i.262681941.5058569724</v>
      </c>
      <c r="C2007" s="8" t="s">
        <v>3339</v>
      </c>
      <c r="D2007" s="8" t="s">
        <v>3340</v>
      </c>
      <c r="E2007" s="8" t="s">
        <v>12</v>
      </c>
      <c r="F2007" s="8" t="s">
        <v>13</v>
      </c>
      <c r="G2007" s="8" t="s">
        <v>2690</v>
      </c>
      <c r="H2007" s="16">
        <v>4.0</v>
      </c>
      <c r="I2007" s="15" t="str">
        <f>SUBSTITUTE(Sheet1!K2007, "Rp", "")</f>
        <v>396000</v>
      </c>
    </row>
    <row r="2008">
      <c r="A2008" s="8" t="s">
        <v>3231</v>
      </c>
      <c r="B2008" s="13" t="str">
        <f>HYPERLINK("https://shopee.co.id/SKINOIA-Green-Tea-Fresh-Calming-Serum-i.57794454.5290873199", "https://shopee.co.id/SKINOIA-Green-Tea-Fresh-Calming-Serum-i.57794454.5290873199")</f>
        <v>https://shopee.co.id/SKINOIA-Green-Tea-Fresh-Calming-Serum-i.57794454.5290873199</v>
      </c>
      <c r="C2008" s="8" t="s">
        <v>3232</v>
      </c>
      <c r="D2008" s="8" t="s">
        <v>3233</v>
      </c>
      <c r="E2008" s="8" t="s">
        <v>12</v>
      </c>
      <c r="F2008" s="8" t="s">
        <v>13</v>
      </c>
      <c r="G2008" s="8" t="s">
        <v>350</v>
      </c>
      <c r="H2008" s="16">
        <v>4.0</v>
      </c>
      <c r="I2008" s="15" t="str">
        <f>SUBSTITUTE(Sheet1!K2008, "Rp", "")</f>
        <v>498150</v>
      </c>
    </row>
    <row r="2009">
      <c r="A2009" s="8" t="s">
        <v>3952</v>
      </c>
      <c r="B2009" s="13" t="str">
        <f>HYPERLINK("https://shopee.co.id/Smooto-Egg-Collagen-White-Serum-Mencerahkan-Melembabkan-Mengecilkan-Pori-Pori-i.97148691.11145642746", "https://shopee.co.id/Smooto-Egg-Collagen-White-Serum-Mencerahkan-Melembabkan-Mengecilkan-Pori-Pori-i.97148691.11145642746")</f>
        <v>https://shopee.co.id/Smooto-Egg-Collagen-White-Serum-Mencerahkan-Melembabkan-Mengecilkan-Pori-Pori-i.97148691.11145642746</v>
      </c>
      <c r="C2009" s="8" t="s">
        <v>2779</v>
      </c>
      <c r="D2009" s="8" t="s">
        <v>2855</v>
      </c>
      <c r="E2009" s="8" t="s">
        <v>12</v>
      </c>
      <c r="F2009" s="8" t="s">
        <v>13</v>
      </c>
      <c r="G2009" s="8" t="s">
        <v>85</v>
      </c>
      <c r="H2009" s="16">
        <v>4.0</v>
      </c>
      <c r="I2009" s="15" t="str">
        <f>SUBSTITUTE(Sheet1!K2009, "Rp", "")</f>
        <v>47600</v>
      </c>
    </row>
    <row r="2010">
      <c r="A2010" s="8" t="s">
        <v>3953</v>
      </c>
      <c r="B2010" s="13" t="str">
        <f>HYPERLINK("https://shopee.co.id/Smooto-Egg-Collagen-White-Serum-Mencerahkan-Mengecilkan-Pori-Pori-i.22660385.12904240953", "https://shopee.co.id/Smooto-Egg-Collagen-White-Serum-Mencerahkan-Mengecilkan-Pori-Pori-i.22660385.12904240953")</f>
        <v>https://shopee.co.id/Smooto-Egg-Collagen-White-Serum-Mencerahkan-Mengecilkan-Pori-Pori-i.22660385.12904240953</v>
      </c>
      <c r="C2010" s="8" t="s">
        <v>2779</v>
      </c>
      <c r="D2010" s="8" t="s">
        <v>3954</v>
      </c>
      <c r="E2010" s="8" t="s">
        <v>12</v>
      </c>
      <c r="F2010" s="8" t="s">
        <v>13</v>
      </c>
      <c r="G2010" s="8" t="s">
        <v>85</v>
      </c>
      <c r="H2010" s="16">
        <v>4.0</v>
      </c>
      <c r="I2010" s="15" t="str">
        <f>SUBSTITUTE(Sheet1!K2010, "Rp", "")</f>
        <v>47600</v>
      </c>
    </row>
    <row r="2011">
      <c r="A2011" s="8" t="s">
        <v>2906</v>
      </c>
      <c r="B2011" s="13" t="str">
        <f>HYPERLINK("https://shopee.co.id/SOME-BY-MI-Snail-Truecica-Miracle-Cream-i.125116082.8964344171", "https://shopee.co.id/SOME-BY-MI-Snail-Truecica-Miracle-Cream-i.125116082.8964344171")</f>
        <v>https://shopee.co.id/SOME-BY-MI-Snail-Truecica-Miracle-Cream-i.125116082.8964344171</v>
      </c>
      <c r="C2011" s="8" t="s">
        <v>213</v>
      </c>
      <c r="D2011" s="8" t="s">
        <v>713</v>
      </c>
      <c r="E2011" s="8" t="s">
        <v>12</v>
      </c>
      <c r="F2011" s="8" t="s">
        <v>13</v>
      </c>
      <c r="G2011" s="8" t="s">
        <v>61</v>
      </c>
      <c r="H2011" s="16">
        <v>4.0</v>
      </c>
      <c r="I2011" s="15" t="str">
        <f>SUBSTITUTE(Sheet1!K2011, "Rp", "")</f>
        <v>893000</v>
      </c>
    </row>
    <row r="2012">
      <c r="A2012" s="8" t="s">
        <v>3266</v>
      </c>
      <c r="B2012" s="13" t="str">
        <f>HYPERLINK("https://shopee.co.id/Somethinc-10-Niacinamide-Barrier-Serum-20ml-i.825870.8971103348", "https://shopee.co.id/Somethinc-10-Niacinamide-Barrier-Serum-20ml-i.825870.8971103348")</f>
        <v>https://shopee.co.id/Somethinc-10-Niacinamide-Barrier-Serum-20ml-i.825870.8971103348</v>
      </c>
      <c r="C2012" s="8" t="s">
        <v>45</v>
      </c>
      <c r="D2012" s="8" t="s">
        <v>1184</v>
      </c>
      <c r="E2012" s="8" t="s">
        <v>12</v>
      </c>
      <c r="F2012" s="8" t="s">
        <v>13</v>
      </c>
      <c r="G2012" s="8" t="s">
        <v>21</v>
      </c>
      <c r="H2012" s="16">
        <v>4.0</v>
      </c>
      <c r="I2012" s="15" t="str">
        <f>SUBSTITUTE(Sheet1!K2012, "Rp", "")</f>
        <v>462000</v>
      </c>
    </row>
    <row r="2013">
      <c r="A2013" s="8" t="s">
        <v>3127</v>
      </c>
      <c r="B2013" s="13" t="str">
        <f>HYPERLINK("https://shopee.co.id/Somethinc-5-Niacinamide-Moisture-Sabi-Beet-Serum-40ml-i.825870.9726261432", "https://shopee.co.id/Somethinc-5-Niacinamide-Moisture-Sabi-Beet-Serum-40ml-i.825870.9726261432")</f>
        <v>https://shopee.co.id/Somethinc-5-Niacinamide-Moisture-Sabi-Beet-Serum-40ml-i.825870.9726261432</v>
      </c>
      <c r="C2013" s="8" t="s">
        <v>45</v>
      </c>
      <c r="D2013" s="8" t="s">
        <v>1184</v>
      </c>
      <c r="E2013" s="8" t="s">
        <v>12</v>
      </c>
      <c r="F2013" s="8" t="s">
        <v>13</v>
      </c>
      <c r="G2013" s="8" t="s">
        <v>21</v>
      </c>
      <c r="H2013" s="16">
        <v>4.0</v>
      </c>
      <c r="I2013" s="15" t="str">
        <f>SUBSTITUTE(Sheet1!K2013, "Rp", "")</f>
        <v>596000</v>
      </c>
    </row>
    <row r="2014">
      <c r="A2014" s="8" t="s">
        <v>3002</v>
      </c>
      <c r="B2014" s="13" t="str">
        <f>HYPERLINK("https://shopee.co.id/SOMETHINC-Hyaluronic-B5-40ml-i.30736001.9635357023", "https://shopee.co.id/SOMETHINC-Hyaluronic-B5-40ml-i.30736001.9635357023")</f>
        <v>https://shopee.co.id/SOMETHINC-Hyaluronic-B5-40ml-i.30736001.9635357023</v>
      </c>
      <c r="C2014" s="8" t="s">
        <v>45</v>
      </c>
      <c r="D2014" s="8" t="s">
        <v>335</v>
      </c>
      <c r="E2014" s="8" t="s">
        <v>12</v>
      </c>
      <c r="F2014" s="8" t="s">
        <v>13</v>
      </c>
      <c r="G2014" s="8" t="s">
        <v>36</v>
      </c>
      <c r="H2014" s="16">
        <v>4.0</v>
      </c>
      <c r="I2014" s="15" t="str">
        <f>SUBSTITUTE(Sheet1!K2014, "Rp", "")</f>
        <v>744260</v>
      </c>
    </row>
    <row r="2015">
      <c r="A2015" s="8" t="s">
        <v>2467</v>
      </c>
      <c r="B2015" s="13" t="str">
        <f>HYPERLINK("https://shopee.co.id/Soothe-Bamboo-Serum-50ml-Double-Set-i.446775850.10212998905", "https://shopee.co.id/Soothe-Bamboo-Serum-50ml-Double-Set-i.446775850.10212998905")</f>
        <v>https://shopee.co.id/Soothe-Bamboo-Serum-50ml-Double-Set-i.446775850.10212998905</v>
      </c>
      <c r="C2015" s="8" t="s">
        <v>1202</v>
      </c>
      <c r="D2015" s="8" t="s">
        <v>1203</v>
      </c>
      <c r="E2015" s="8" t="s">
        <v>12</v>
      </c>
      <c r="F2015" s="8" t="s">
        <v>13</v>
      </c>
      <c r="G2015" s="8" t="s">
        <v>80</v>
      </c>
      <c r="H2015" s="16">
        <v>4.0</v>
      </c>
      <c r="I2015" s="15" t="str">
        <f>SUBSTITUTE(Sheet1!K2015, "Rp", "")</f>
        <v>1786000</v>
      </c>
    </row>
    <row r="2016">
      <c r="A2016" s="8" t="s">
        <v>1492</v>
      </c>
      <c r="B2016" s="13" t="str">
        <f>HYPERLINK("https://shopee.co.id/Sulwhasoo-Bloomstay-Vitalizing-Serum-50ml-i.274949344.6073414204", "https://shopee.co.id/Sulwhasoo-Bloomstay-Vitalizing-Serum-50ml-i.274949344.6073414204")</f>
        <v>https://shopee.co.id/Sulwhasoo-Bloomstay-Vitalizing-Serum-50ml-i.274949344.6073414204</v>
      </c>
      <c r="C2016" s="8" t="s">
        <v>282</v>
      </c>
      <c r="D2016" s="8" t="s">
        <v>283</v>
      </c>
      <c r="E2016" s="8" t="s">
        <v>12</v>
      </c>
      <c r="F2016" s="8" t="s">
        <v>13</v>
      </c>
      <c r="G2016" s="8" t="s">
        <v>61</v>
      </c>
      <c r="H2016" s="16">
        <v>4.0</v>
      </c>
      <c r="I2016" s="15" t="str">
        <f>SUBSTITUTE(Sheet1!K2016, "Rp", "")</f>
        <v>7800000</v>
      </c>
    </row>
    <row r="2017">
      <c r="A2017" s="8" t="s">
        <v>1642</v>
      </c>
      <c r="B2017" s="13" t="str">
        <f>HYPERLINK("https://shopee.co.id/Sulwhasoo-Perfecting-Cushion-Intense-No-21-Medium-Pink-Essential-Lip-Serum-Stick-i.274949344.6039205353", "https://shopee.co.id/Sulwhasoo-Perfecting-Cushion-Intense-No-21-Medium-Pink-Essential-Lip-Serum-Stick-i.274949344.6039205353")</f>
        <v>https://shopee.co.id/Sulwhasoo-Perfecting-Cushion-Intense-No-21-Medium-Pink-Essential-Lip-Serum-Stick-i.274949344.6039205353</v>
      </c>
      <c r="C2017" s="8" t="s">
        <v>282</v>
      </c>
      <c r="D2017" s="8" t="s">
        <v>283</v>
      </c>
      <c r="E2017" s="8" t="s">
        <v>12</v>
      </c>
      <c r="F2017" s="8" t="s">
        <v>13</v>
      </c>
      <c r="G2017" s="8" t="s">
        <v>61</v>
      </c>
      <c r="H2017" s="16">
        <v>4.0</v>
      </c>
      <c r="I2017" s="15" t="str">
        <f>SUBSTITUTE(Sheet1!K2017, "Rp", "")</f>
        <v>5923700</v>
      </c>
    </row>
    <row r="2018">
      <c r="A2018" s="8" t="s">
        <v>3367</v>
      </c>
      <c r="B2018" s="13" t="str">
        <f>HYPERLINK("https://shopee.co.id/The-Aubree-Centella-Herb-Serum-Unscented-30-ml-i.110573301.3383549960", "https://shopee.co.id/The-Aubree-Centella-Herb-Serum-Unscented-30-ml-i.110573301.3383549960")</f>
        <v>https://shopee.co.id/The-Aubree-Centella-Herb-Serum-Unscented-30-ml-i.110573301.3383549960</v>
      </c>
      <c r="C2018" s="8" t="s">
        <v>772</v>
      </c>
      <c r="D2018" s="8" t="s">
        <v>227</v>
      </c>
      <c r="E2018" s="8" t="s">
        <v>12</v>
      </c>
      <c r="F2018" s="8" t="s">
        <v>13</v>
      </c>
      <c r="G2018" s="8" t="s">
        <v>61</v>
      </c>
      <c r="H2018" s="16">
        <v>4.0</v>
      </c>
      <c r="I2018" s="15" t="str">
        <f>SUBSTITUTE(Sheet1!K2018, "Rp", "")</f>
        <v>384400</v>
      </c>
    </row>
    <row r="2019">
      <c r="A2019" s="8" t="s">
        <v>3412</v>
      </c>
      <c r="B2019" s="13" t="str">
        <f>HYPERLINK("https://shopee.co.id/The-Aubree-Centella-Herb-Serum-Unscented-30ml-i.136011044.7778774735", "https://shopee.co.id/The-Aubree-Centella-Herb-Serum-Unscented-30ml-i.136011044.7778774735")</f>
        <v>https://shopee.co.id/The-Aubree-Centella-Herb-Serum-Unscented-30ml-i.136011044.7778774735</v>
      </c>
      <c r="C2019" s="8" t="s">
        <v>772</v>
      </c>
      <c r="D2019" s="8" t="s">
        <v>632</v>
      </c>
      <c r="E2019" s="8" t="s">
        <v>12</v>
      </c>
      <c r="F2019" s="8" t="s">
        <v>13</v>
      </c>
      <c r="G2019" s="8" t="s">
        <v>21</v>
      </c>
      <c r="H2019" s="16">
        <v>4.0</v>
      </c>
      <c r="I2019" s="15" t="str">
        <f>SUBSTITUTE(Sheet1!K2019, "Rp", "")</f>
        <v>356400</v>
      </c>
    </row>
    <row r="2020">
      <c r="A2020" s="8" t="s">
        <v>2610</v>
      </c>
      <c r="B2020" s="13" t="str">
        <f>HYPERLINK("https://shopee.co.id/The-Aubree-Niacinamide-Skin-Booster-30ml-i.10689.9800721149", "https://shopee.co.id/The-Aubree-Niacinamide-Skin-Booster-30ml-i.10689.9800721149")</f>
        <v>https://shopee.co.id/The-Aubree-Niacinamide-Skin-Booster-30ml-i.10689.9800721149</v>
      </c>
      <c r="C2020" s="8" t="s">
        <v>772</v>
      </c>
      <c r="D2020" s="8" t="s">
        <v>745</v>
      </c>
      <c r="E2020" s="8" t="s">
        <v>12</v>
      </c>
      <c r="F2020" s="8" t="s">
        <v>13</v>
      </c>
      <c r="G2020" s="8" t="s">
        <v>61</v>
      </c>
      <c r="H2020" s="16">
        <v>4.0</v>
      </c>
      <c r="I2020" s="15" t="str">
        <f>SUBSTITUTE(Sheet1!K2020, "Rp", "")</f>
        <v>356400</v>
      </c>
    </row>
    <row r="2021">
      <c r="A2021" s="8" t="s">
        <v>1150</v>
      </c>
      <c r="B2021" s="13" t="str">
        <f>HYPERLINK("https://shopee.co.id/The-Aubree-Rose-Bloom-Petal-Essence-120-ml-i.110573301.3383554696", "https://shopee.co.id/The-Aubree-Rose-Bloom-Petal-Essence-120-ml-i.110573301.3383554696")</f>
        <v>https://shopee.co.id/The-Aubree-Rose-Bloom-Petal-Essence-120-ml-i.110573301.3383554696</v>
      </c>
      <c r="C2021" s="8" t="s">
        <v>772</v>
      </c>
      <c r="D2021" s="8" t="s">
        <v>227</v>
      </c>
      <c r="E2021" s="8" t="s">
        <v>12</v>
      </c>
      <c r="F2021" s="8" t="s">
        <v>13</v>
      </c>
      <c r="G2021" s="8" t="s">
        <v>61</v>
      </c>
      <c r="H2021" s="16">
        <v>4.0</v>
      </c>
      <c r="I2021" s="15" t="str">
        <f>SUBSTITUTE(Sheet1!K2021, "Rp", "")</f>
        <v>382800</v>
      </c>
    </row>
    <row r="2022">
      <c r="A2022" s="8" t="s">
        <v>2834</v>
      </c>
      <c r="B2022" s="13" t="str">
        <f>HYPERLINK("https://shopee.co.id/THE-LAB-BY-BLANC-DOUX-Oligo-Hyaluronic-Acid-Boosting-Ampoule-30ml-i.385039113.8414255696", "https://shopee.co.id/THE-LAB-BY-BLANC-DOUX-Oligo-Hyaluronic-Acid-Boosting-Ampoule-30ml-i.385039113.8414255696")</f>
        <v>https://shopee.co.id/THE-LAB-BY-BLANC-DOUX-Oligo-Hyaluronic-Acid-Boosting-Ampoule-30ml-i.385039113.8414255696</v>
      </c>
      <c r="C2022" s="8" t="s">
        <v>2835</v>
      </c>
      <c r="D2022" s="8" t="s">
        <v>2836</v>
      </c>
      <c r="E2022" s="8" t="s">
        <v>12</v>
      </c>
      <c r="F2022" s="8" t="s">
        <v>13</v>
      </c>
      <c r="G2022" s="8" t="s">
        <v>98</v>
      </c>
      <c r="H2022" s="16">
        <v>4.0</v>
      </c>
      <c r="I2022" s="15" t="str">
        <f>SUBSTITUTE(Sheet1!K2022, "Rp", "")</f>
        <v>996000</v>
      </c>
    </row>
    <row r="2023">
      <c r="A2023" s="8" t="s">
        <v>2834</v>
      </c>
      <c r="B2023" s="13" t="str">
        <f>HYPERLINK("https://shopee.co.id/THE-LAB-BY-BLANC-DOUX-Oligo-Hyaluronic-Acid-Boosting-Ampoule-30ml-i.240712269.8820951825", "https://shopee.co.id/THE-LAB-BY-BLANC-DOUX-Oligo-Hyaluronic-Acid-Boosting-Ampoule-30ml-i.240712269.8820951825")</f>
        <v>https://shopee.co.id/THE-LAB-BY-BLANC-DOUX-Oligo-Hyaluronic-Acid-Boosting-Ampoule-30ml-i.240712269.8820951825</v>
      </c>
      <c r="C2023" s="8" t="s">
        <v>2835</v>
      </c>
      <c r="D2023" s="8" t="s">
        <v>762</v>
      </c>
      <c r="E2023" s="8" t="s">
        <v>12</v>
      </c>
      <c r="F2023" s="8" t="s">
        <v>13</v>
      </c>
      <c r="G2023" s="8" t="s">
        <v>98</v>
      </c>
      <c r="H2023" s="16">
        <v>4.0</v>
      </c>
      <c r="I2023" s="15" t="str">
        <f>SUBSTITUTE(Sheet1!K2023, "Rp", "")</f>
        <v>916000</v>
      </c>
    </row>
    <row r="2024">
      <c r="A2024" s="8" t="s">
        <v>3083</v>
      </c>
      <c r="B2024" s="13" t="str">
        <f>HYPERLINK("https://shopee.co.id/The-Ordinary-Hyaluronic-Acid-2-B5-30ml-i.270965687.8572727338", "https://shopee.co.id/The-Ordinary-Hyaluronic-Acid-2-B5-30ml-i.270965687.8572727338")</f>
        <v>https://shopee.co.id/The-Ordinary-Hyaluronic-Acid-2-B5-30ml-i.270965687.8572727338</v>
      </c>
      <c r="C2024" s="8" t="s">
        <v>1245</v>
      </c>
      <c r="D2024" s="8" t="s">
        <v>379</v>
      </c>
      <c r="E2024" s="8" t="s">
        <v>12</v>
      </c>
      <c r="F2024" s="8" t="s">
        <v>13</v>
      </c>
      <c r="G2024" s="8" t="s">
        <v>380</v>
      </c>
      <c r="H2024" s="16">
        <v>4.0</v>
      </c>
      <c r="I2024" s="15" t="str">
        <f>SUBSTITUTE(Sheet1!K2024, "Rp", "")</f>
        <v>644000</v>
      </c>
    </row>
    <row r="2025">
      <c r="A2025" s="8" t="s">
        <v>3119</v>
      </c>
      <c r="B2025" s="13" t="str">
        <f>HYPERLINK("https://shopee.co.id/THE-POTIONS-Hyaluronic-Acid-Ampoule-20ml-i.379239733.5178474031", "https://shopee.co.id/THE-POTIONS-Hyaluronic-Acid-Ampoule-20ml-i.379239733.5178474031")</f>
        <v>https://shopee.co.id/THE-POTIONS-Hyaluronic-Acid-Ampoule-20ml-i.379239733.5178474031</v>
      </c>
      <c r="C2025" s="8" t="s">
        <v>2245</v>
      </c>
      <c r="D2025" s="8" t="s">
        <v>2246</v>
      </c>
      <c r="E2025" s="8" t="s">
        <v>12</v>
      </c>
      <c r="F2025" s="8" t="s">
        <v>13</v>
      </c>
      <c r="G2025" s="8" t="s">
        <v>130</v>
      </c>
      <c r="H2025" s="16">
        <v>4.0</v>
      </c>
      <c r="I2025" s="15" t="str">
        <f>SUBSTITUTE(Sheet1!K2025, "Rp", "")</f>
        <v>599850</v>
      </c>
    </row>
    <row r="2026">
      <c r="A2026" s="8" t="s">
        <v>3569</v>
      </c>
      <c r="B2026" s="13" t="str">
        <f>HYPERLINK("https://shopee.co.id/TISHA-AC7-Spot-Serum-Phytosilica-Sachet-1g-x-3ea-i.283615589.5441623584", "https://shopee.co.id/TISHA-AC7-Spot-Serum-Phytosilica-Sachet-1g-x-3ea-i.283615589.5441623584")</f>
        <v>https://shopee.co.id/TISHA-AC7-Spot-Serum-Phytosilica-Sachet-1g-x-3ea-i.283615589.5441623584</v>
      </c>
      <c r="C2026" s="8" t="s">
        <v>3025</v>
      </c>
      <c r="D2026" s="8" t="s">
        <v>3026</v>
      </c>
      <c r="E2026" s="8" t="s">
        <v>12</v>
      </c>
      <c r="F2026" s="8" t="s">
        <v>13</v>
      </c>
      <c r="G2026" s="8" t="s">
        <v>3027</v>
      </c>
      <c r="H2026" s="16">
        <v>4.0</v>
      </c>
      <c r="I2026" s="15" t="str">
        <f>SUBSTITUTE(Sheet1!K2026, "Rp", "")</f>
        <v>240000</v>
      </c>
    </row>
    <row r="2027">
      <c r="A2027" s="8" t="s">
        <v>2372</v>
      </c>
      <c r="B2027" s="13" t="str">
        <f>HYPERLINK("https://shopee.co.id/Trilogy-Hyaluronic-Acid-Booster-Treatment-i.53497038.3792648232", "https://shopee.co.id/Trilogy-Hyaluronic-Acid-Booster-Treatment-i.53497038.3792648232")</f>
        <v>https://shopee.co.id/Trilogy-Hyaluronic-Acid-Booster-Treatment-i.53497038.3792648232</v>
      </c>
      <c r="C2027" s="8" t="s">
        <v>2373</v>
      </c>
      <c r="D2027" s="8" t="s">
        <v>907</v>
      </c>
      <c r="E2027" s="8" t="s">
        <v>12</v>
      </c>
      <c r="F2027" s="8" t="s">
        <v>13</v>
      </c>
      <c r="G2027" s="8" t="s">
        <v>61</v>
      </c>
      <c r="H2027" s="16">
        <v>4.0</v>
      </c>
      <c r="I2027" s="15" t="str">
        <f>SUBSTITUTE(Sheet1!K2027, "Rp", "")</f>
        <v>2035000</v>
      </c>
    </row>
    <row r="2028">
      <c r="A2028" s="8" t="s">
        <v>3204</v>
      </c>
      <c r="B2028" s="13" t="str">
        <f>HYPERLINK("https://shopee.co.id/Tuesbelle-SOMETHINC-Age-Don-t-Care-Salmon-DNA-Marine-Collagen-Holygrail-Multipeptide-Youth-Eli-i.36872574.7389055051", "https://shopee.co.id/Tuesbelle-SOMETHINC-Age-Don-t-Care-Salmon-DNA-Marine-Collagen-Holygrail-Multipeptide-Youth-Eli-i.36872574.7389055051")</f>
        <v>https://shopee.co.id/Tuesbelle-SOMETHINC-Age-Don-t-Care-Salmon-DNA-Marine-Collagen-Holygrail-Multipeptide-Youth-Eli-i.36872574.7389055051</v>
      </c>
      <c r="C2028" s="8" t="s">
        <v>45</v>
      </c>
      <c r="D2028" s="8" t="s">
        <v>969</v>
      </c>
      <c r="E2028" s="8" t="s">
        <v>12</v>
      </c>
      <c r="F2028" s="8" t="s">
        <v>13</v>
      </c>
      <c r="G2028" s="8" t="s">
        <v>115</v>
      </c>
      <c r="H2028" s="16">
        <v>4.0</v>
      </c>
      <c r="I2028" s="15" t="str">
        <f>SUBSTITUTE(Sheet1!K2028, "Rp", "")</f>
        <v>516000</v>
      </c>
    </row>
    <row r="2029">
      <c r="A2029" s="8" t="s">
        <v>2290</v>
      </c>
      <c r="B2029" s="13" t="str">
        <f>HYPERLINK("https://shopee.co.id/Ultima-II-Procollagen-Supreme-Caviar-Face-Essence-30-ml-i.152254718.2681282461", "https://shopee.co.id/Ultima-II-Procollagen-Supreme-Caviar-Face-Essence-30-ml-i.152254718.2681282461")</f>
        <v>https://shopee.co.id/Ultima-II-Procollagen-Supreme-Caviar-Face-Essence-30-ml-i.152254718.2681282461</v>
      </c>
      <c r="C2029" s="8" t="s">
        <v>1210</v>
      </c>
      <c r="D2029" s="8" t="s">
        <v>1211</v>
      </c>
      <c r="E2029" s="8" t="s">
        <v>12</v>
      </c>
      <c r="F2029" s="8" t="s">
        <v>13</v>
      </c>
      <c r="G2029" s="8" t="s">
        <v>469</v>
      </c>
      <c r="H2029" s="16">
        <v>4.0</v>
      </c>
      <c r="I2029" s="15" t="str">
        <f>SUBSTITUTE(Sheet1!K2029, "Rp", "")</f>
        <v>2320000</v>
      </c>
    </row>
    <row r="2030">
      <c r="A2030" s="8" t="s">
        <v>3452</v>
      </c>
      <c r="B2030" s="13" t="str">
        <f>HYPERLINK("https://shopee.co.id/VIENNA-BEAUTY-FACE-SERUM-VITAMIN-C-15ML-BOTTLE-i.8463767.6233494897", "https://shopee.co.id/VIENNA-BEAUTY-FACE-SERUM-VITAMIN-C-15ML-BOTTLE-i.8463767.6233494897")</f>
        <v>https://shopee.co.id/VIENNA-BEAUTY-FACE-SERUM-VITAMIN-C-15ML-BOTTLE-i.8463767.6233494897</v>
      </c>
      <c r="C2030" s="8" t="s">
        <v>3453</v>
      </c>
      <c r="D2030" s="8" t="s">
        <v>3454</v>
      </c>
      <c r="E2030" s="8" t="s">
        <v>12</v>
      </c>
      <c r="F2030" s="8" t="s">
        <v>13</v>
      </c>
      <c r="G2030" s="8" t="s">
        <v>36</v>
      </c>
      <c r="H2030" s="16">
        <v>4.0</v>
      </c>
      <c r="I2030" s="15" t="str">
        <f>SUBSTITUTE(Sheet1!K2030, "Rp", "")</f>
        <v>318420</v>
      </c>
    </row>
    <row r="2031">
      <c r="A2031" s="8" t="s">
        <v>2929</v>
      </c>
      <c r="B2031" s="13" t="str">
        <f>HYPERLINK("https://shopee.co.id/VOTRE-PEAU-Brightening-Essence-50ml-i.68111.4645485618", "https://shopee.co.id/VOTRE-PEAU-Brightening-Essence-50ml-i.68111.4645485618")</f>
        <v>https://shopee.co.id/VOTRE-PEAU-Brightening-Essence-50ml-i.68111.4645485618</v>
      </c>
      <c r="C2031" s="8" t="s">
        <v>471</v>
      </c>
      <c r="D2031" s="8" t="s">
        <v>441</v>
      </c>
      <c r="E2031" s="8" t="s">
        <v>12</v>
      </c>
      <c r="F2031" s="8" t="s">
        <v>13</v>
      </c>
      <c r="G2031" s="8" t="s">
        <v>130</v>
      </c>
      <c r="H2031" s="16">
        <v>4.0</v>
      </c>
      <c r="I2031" s="15" t="str">
        <f>SUBSTITUTE(Sheet1!K2031, "Rp", "")</f>
        <v>859050</v>
      </c>
    </row>
    <row r="2032">
      <c r="A2032" s="8" t="s">
        <v>2656</v>
      </c>
      <c r="B2032" s="13" t="str">
        <f>HYPERLINK("https://shopee.co.id/VOTRE-PEAU-Maharis-Clinic-Vit-C-Serum-30ml-Blue-Bottle--i.68111.577071313", "https://shopee.co.id/VOTRE-PEAU-Maharis-Clinic-Vit-C-Serum-30ml-Blue-Bottle--i.68111.577071313")</f>
        <v>https://shopee.co.id/VOTRE-PEAU-Maharis-Clinic-Vit-C-Serum-30ml-Blue-Bottle--i.68111.577071313</v>
      </c>
      <c r="C2032" s="8" t="s">
        <v>471</v>
      </c>
      <c r="D2032" s="8" t="s">
        <v>441</v>
      </c>
      <c r="E2032" s="8" t="s">
        <v>12</v>
      </c>
      <c r="F2032" s="8" t="s">
        <v>13</v>
      </c>
      <c r="G2032" s="8" t="s">
        <v>130</v>
      </c>
      <c r="H2032" s="16">
        <v>4.0</v>
      </c>
      <c r="I2032" s="15" t="str">
        <f>SUBSTITUTE(Sheet1!K2032, "Rp", "")</f>
        <v>1311000</v>
      </c>
    </row>
    <row r="2033">
      <c r="A2033" s="8" t="s">
        <v>3557</v>
      </c>
      <c r="B2033" s="13" t="str">
        <f>HYPERLINK("https://shopee.co.id/Wardah-Uv-Shield-A-Prot-Serum-Sp50-35Ml-i.186214521.11109857905", "https://shopee.co.id/Wardah-Uv-Shield-A-Prot-Serum-Sp50-35Ml-i.186214521.11109857905")</f>
        <v>https://shopee.co.id/Wardah-Uv-Shield-A-Prot-Serum-Sp50-35Ml-i.186214521.11109857905</v>
      </c>
      <c r="C2033" s="8" t="s">
        <v>169</v>
      </c>
      <c r="D2033" s="8" t="s">
        <v>2293</v>
      </c>
      <c r="E2033" s="8" t="s">
        <v>12</v>
      </c>
      <c r="F2033" s="8" t="s">
        <v>13</v>
      </c>
      <c r="G2033" s="8" t="s">
        <v>61</v>
      </c>
      <c r="H2033" s="16">
        <v>4.0</v>
      </c>
      <c r="I2033" s="15" t="str">
        <f>SUBSTITUTE(Sheet1!K2033, "Rp", "")</f>
        <v>248000</v>
      </c>
    </row>
    <row r="2034">
      <c r="A2034" s="8" t="s">
        <v>3228</v>
      </c>
      <c r="B2034" s="13" t="str">
        <f>HYPERLINK("https://shopee.co.id/Z-Skincare-Acne-Serum-i.136496322.2193219183", "https://shopee.co.id/Z-Skincare-Acne-Serum-i.136496322.2193219183")</f>
        <v>https://shopee.co.id/Z-Skincare-Acne-Serum-i.136496322.2193219183</v>
      </c>
      <c r="C2034" s="8" t="s">
        <v>3229</v>
      </c>
      <c r="D2034" s="8" t="s">
        <v>3230</v>
      </c>
      <c r="E2034" s="8" t="s">
        <v>12</v>
      </c>
      <c r="F2034" s="8" t="s">
        <v>13</v>
      </c>
      <c r="G2034" s="8" t="s">
        <v>469</v>
      </c>
      <c r="H2034" s="16">
        <v>4.0</v>
      </c>
      <c r="I2034" s="15" t="str">
        <f>SUBSTITUTE(Sheet1!K2034, "Rp", "")</f>
        <v>500000</v>
      </c>
    </row>
    <row r="2035">
      <c r="A2035" s="8" t="s">
        <v>3217</v>
      </c>
      <c r="B2035" s="13" t="str">
        <f>HYPERLINK("https://shopee.co.id/Zalfa-Natural-Dewy-Glow-Essence-Treatment-Collagen-Infusion-i.182704428.6841935879", "https://shopee.co.id/Zalfa-Natural-Dewy-Glow-Essence-Treatment-Collagen-Infusion-i.182704428.6841935879")</f>
        <v>https://shopee.co.id/Zalfa-Natural-Dewy-Glow-Essence-Treatment-Collagen-Infusion-i.182704428.6841935879</v>
      </c>
      <c r="C2035" s="8" t="s">
        <v>3071</v>
      </c>
      <c r="D2035" s="8" t="s">
        <v>3072</v>
      </c>
      <c r="E2035" s="8" t="s">
        <v>12</v>
      </c>
      <c r="F2035" s="8" t="s">
        <v>13</v>
      </c>
      <c r="G2035" s="8" t="s">
        <v>1085</v>
      </c>
      <c r="H2035" s="16">
        <v>4.0</v>
      </c>
      <c r="I2035" s="15" t="str">
        <f>SUBSTITUTE(Sheet1!K2035, "Rp", "")</f>
        <v>508000</v>
      </c>
    </row>
    <row r="2036">
      <c r="A2036" s="8" t="s">
        <v>3070</v>
      </c>
      <c r="B2036" s="13" t="str">
        <f>HYPERLINK("https://shopee.co.id/Zalfa-Natural-Lightening-Concentrate-Intensive-Serum-i.182704428.6301931501", "https://shopee.co.id/Zalfa-Natural-Lightening-Concentrate-Intensive-Serum-i.182704428.6301931501")</f>
        <v>https://shopee.co.id/Zalfa-Natural-Lightening-Concentrate-Intensive-Serum-i.182704428.6301931501</v>
      </c>
      <c r="C2036" s="8" t="s">
        <v>3071</v>
      </c>
      <c r="D2036" s="8" t="s">
        <v>3072</v>
      </c>
      <c r="E2036" s="8" t="s">
        <v>12</v>
      </c>
      <c r="F2036" s="8" t="s">
        <v>13</v>
      </c>
      <c r="G2036" s="8" t="s">
        <v>1085</v>
      </c>
      <c r="H2036" s="16">
        <v>4.0</v>
      </c>
      <c r="I2036" s="15" t="str">
        <f>SUBSTITUTE(Sheet1!K2036, "Rp", "")</f>
        <v>660000</v>
      </c>
    </row>
    <row r="2037">
      <c r="A2037" s="8" t="s">
        <v>2831</v>
      </c>
      <c r="B2037" s="13" t="str">
        <f>HYPERLINK("https://shopee.co.id/-2-PACK-SET-SHAPELYNE-V-Shape-Facial-Lift-Serum-Untuk-Merampingkan-Wajah-i.285944023.12904209269", "https://shopee.co.id/-2-PACK-SET-SHAPELYNE-V-Shape-Facial-Lift-Serum-Untuk-Merampingkan-Wajah-i.285944023.12904209269")</f>
        <v>https://shopee.co.id/-2-PACK-SET-SHAPELYNE-V-Shape-Facial-Lift-Serum-Untuk-Merampingkan-Wajah-i.285944023.12904209269</v>
      </c>
      <c r="C2037" s="8" t="s">
        <v>2236</v>
      </c>
      <c r="D2037" s="8" t="s">
        <v>2237</v>
      </c>
      <c r="E2037" s="8" t="s">
        <v>12</v>
      </c>
      <c r="F2037" s="8" t="s">
        <v>13</v>
      </c>
      <c r="G2037" s="8" t="s">
        <v>2238</v>
      </c>
      <c r="H2037" s="16">
        <v>3.0</v>
      </c>
      <c r="I2037" s="15" t="str">
        <f>SUBSTITUTE(Sheet1!K2037, "Rp", "")</f>
        <v>1008000</v>
      </c>
    </row>
    <row r="2038">
      <c r="A2038" s="8" t="s">
        <v>3091</v>
      </c>
      <c r="B2038" s="13" t="str">
        <f>HYPERLINK("https://shopee.co.id/-LIMITED-BUNDLE-Aesthetic-Bluepin-AHA-BHA-Peeling-Solution-Skind-Rose-Drip-Clear-Serum-i.54874680.5796365461", "https://shopee.co.id/-LIMITED-BUNDLE-Aesthetic-Bluepin-AHA-BHA-Peeling-Solution-Skind-Rose-Drip-Clear-Serum-i.54874680.5796365461")</f>
        <v>https://shopee.co.id/-LIMITED-BUNDLE-Aesthetic-Bluepin-AHA-BHA-Peeling-Solution-Skind-Rose-Drip-Clear-Serum-i.54874680.5796365461</v>
      </c>
      <c r="C2038" s="8" t="s">
        <v>2921</v>
      </c>
      <c r="D2038" s="8" t="s">
        <v>1425</v>
      </c>
      <c r="E2038" s="8" t="s">
        <v>12</v>
      </c>
      <c r="F2038" s="8" t="s">
        <v>13</v>
      </c>
      <c r="G2038" s="8" t="s">
        <v>80</v>
      </c>
      <c r="H2038" s="16">
        <v>3.0</v>
      </c>
      <c r="I2038" s="15" t="str">
        <f>SUBSTITUTE(Sheet1!K2038, "Rp", "")</f>
        <v>637000</v>
      </c>
    </row>
    <row r="2039">
      <c r="A2039" s="8" t="s">
        <v>3073</v>
      </c>
      <c r="B2039" s="13" t="str">
        <f>HYPERLINK("https://shopee.co.id/Avoskin-Miraculous-Refining-Serum-30ml-i.50948181.7854650063", "https://shopee.co.id/Avoskin-Miraculous-Refining-Serum-30ml-i.50948181.7854650063")</f>
        <v>https://shopee.co.id/Avoskin-Miraculous-Refining-Serum-30ml-i.50948181.7854650063</v>
      </c>
      <c r="C2039" s="8" t="s">
        <v>83</v>
      </c>
      <c r="D2039" s="8" t="s">
        <v>1129</v>
      </c>
      <c r="E2039" s="8" t="s">
        <v>12</v>
      </c>
      <c r="F2039" s="8" t="s">
        <v>13</v>
      </c>
      <c r="G2039" s="8" t="s">
        <v>1130</v>
      </c>
      <c r="H2039" s="16">
        <v>3.0</v>
      </c>
      <c r="I2039" s="15" t="str">
        <f>SUBSTITUTE(Sheet1!K2039, "Rp", "")</f>
        <v>657000</v>
      </c>
    </row>
    <row r="2040">
      <c r="A2040" s="8" t="s">
        <v>3849</v>
      </c>
      <c r="B2040" s="13" t="str">
        <f>HYPERLINK("https://shopee.co.id/-BPOM-BREYLEE-Serum-Rose-Hydrating-Menyegarkan-dan-Melembabkan-17ml--i.324706771.5669213968", "https://shopee.co.id/-BPOM-BREYLEE-Serum-Rose-Hydrating-Menyegarkan-dan-Melembabkan-17ml--i.324706771.5669213968")</f>
        <v>https://shopee.co.id/-BPOM-BREYLEE-Serum-Rose-Hydrating-Menyegarkan-dan-Melembabkan-17ml--i.324706771.5669213968</v>
      </c>
      <c r="C2040" s="8" t="s">
        <v>852</v>
      </c>
      <c r="D2040" s="8" t="s">
        <v>853</v>
      </c>
      <c r="E2040" s="8" t="s">
        <v>12</v>
      </c>
      <c r="F2040" s="8" t="s">
        <v>13</v>
      </c>
      <c r="G2040" s="8" t="s">
        <v>532</v>
      </c>
      <c r="H2040" s="16">
        <v>3.0</v>
      </c>
      <c r="I2040" s="15" t="str">
        <f>SUBSTITUTE(Sheet1!K2040, "Rp", "")</f>
        <v>103200</v>
      </c>
    </row>
    <row r="2041">
      <c r="A2041" s="8" t="s">
        <v>1876</v>
      </c>
      <c r="B2041" s="13" t="str">
        <f>HYPERLINK("https://shopee.co.id/-LIMITED-EDITION-L-Occitane-Immortelle-Overnight-Reset-Serum-50-ML--i.88079439.5373352341", "https://shopee.co.id/-LIMITED-EDITION-L-Occitane-Immortelle-Overnight-Reset-Serum-50-ML--i.88079439.5373352341")</f>
        <v>https://shopee.co.id/-LIMITED-EDITION-L-Occitane-Immortelle-Overnight-Reset-Serum-50-ML--i.88079439.5373352341</v>
      </c>
      <c r="C2041" s="8" t="s">
        <v>579</v>
      </c>
      <c r="D2041" s="8" t="s">
        <v>580</v>
      </c>
      <c r="E2041" s="8" t="s">
        <v>12</v>
      </c>
      <c r="F2041" s="8" t="s">
        <v>13</v>
      </c>
      <c r="G2041" s="8" t="s">
        <v>532</v>
      </c>
      <c r="H2041" s="16">
        <v>3.0</v>
      </c>
      <c r="I2041" s="15" t="str">
        <f>SUBSTITUTE(Sheet1!K2041, "Rp", "")</f>
        <v>4200000</v>
      </c>
    </row>
    <row r="2042">
      <c r="A2042" s="8" t="s">
        <v>2758</v>
      </c>
      <c r="B2042" s="13" t="str">
        <f>HYPERLINK("https://shopee.co.id/-Official-Distributor-By-Wishtrend-Polyphenols-in-Propolis-15-Ampoule-30ml-i.438396149.10802657445", "https://shopee.co.id/-Official-Distributor-By-Wishtrend-Polyphenols-in-Propolis-15-Ampoule-30ml-i.438396149.10802657445")</f>
        <v>https://shopee.co.id/-Official-Distributor-By-Wishtrend-Polyphenols-in-Propolis-15-Ampoule-30ml-i.438396149.10802657445</v>
      </c>
      <c r="C2042" s="8" t="s">
        <v>2759</v>
      </c>
      <c r="D2042" s="8" t="s">
        <v>2760</v>
      </c>
      <c r="E2042" s="8" t="s">
        <v>12</v>
      </c>
      <c r="F2042" s="8" t="s">
        <v>13</v>
      </c>
      <c r="G2042" s="8" t="s">
        <v>21</v>
      </c>
      <c r="H2042" s="16">
        <v>3.0</v>
      </c>
      <c r="I2042" s="15" t="str">
        <f>SUBSTITUTE(Sheet1!K2042, "Rp", "")</f>
        <v>1126400</v>
      </c>
    </row>
    <row r="2043">
      <c r="A2043" s="8" t="s">
        <v>2242</v>
      </c>
      <c r="B2043" s="13" t="str">
        <f>HYPERLINK("https://shopee.co.id/-The-Face-Shop-Yehwadam-Plum-Flower-Revitalizing-Serum-45ml-Original-i.34671748.11112209595", "https://shopee.co.id/-The-Face-Shop-Yehwadam-Plum-Flower-Revitalizing-Serum-45ml-Original-i.34671748.11112209595")</f>
        <v>https://shopee.co.id/-The-Face-Shop-Yehwadam-Plum-Flower-Revitalizing-Serum-45ml-Original-i.34671748.11112209595</v>
      </c>
      <c r="C2043" s="8" t="s">
        <v>1217</v>
      </c>
      <c r="D2043" s="8" t="s">
        <v>1218</v>
      </c>
      <c r="E2043" s="8" t="s">
        <v>12</v>
      </c>
      <c r="F2043" s="8" t="s">
        <v>13</v>
      </c>
      <c r="G2043" s="8" t="s">
        <v>61</v>
      </c>
      <c r="H2043" s="16">
        <v>3.0</v>
      </c>
      <c r="I2043" s="15" t="str">
        <f>SUBSTITUTE(Sheet1!K2043, "Rp", "")</f>
        <v>2419950</v>
      </c>
    </row>
    <row r="2044">
      <c r="A2044" s="8" t="s">
        <v>2086</v>
      </c>
      <c r="B2044" s="13" t="str">
        <f>HYPERLINK("https://shopee.co.id/-Yehwadam-Hwansaenggo-Ultimate-Rejuvenating-Serum-45ml-Original-i.34671748.8114522211", "https://shopee.co.id/-Yehwadam-Hwansaenggo-Ultimate-Rejuvenating-Serum-45ml-Original-i.34671748.8114522211")</f>
        <v>https://shopee.co.id/-Yehwadam-Hwansaenggo-Ultimate-Rejuvenating-Serum-45ml-Original-i.34671748.8114522211</v>
      </c>
      <c r="C2044" s="8" t="s">
        <v>1217</v>
      </c>
      <c r="D2044" s="8" t="s">
        <v>1218</v>
      </c>
      <c r="E2044" s="8" t="s">
        <v>12</v>
      </c>
      <c r="F2044" s="8" t="s">
        <v>13</v>
      </c>
      <c r="G2044" s="8" t="s">
        <v>61</v>
      </c>
      <c r="H2044" s="16">
        <v>3.0</v>
      </c>
      <c r="I2044" s="15" t="str">
        <f>SUBSTITUTE(Sheet1!K2044, "Rp", "")</f>
        <v>3062500</v>
      </c>
    </row>
    <row r="2045">
      <c r="A2045" s="8" t="s">
        <v>3336</v>
      </c>
      <c r="B2045" s="13" t="str">
        <f>HYPERLINK("https://shopee.co.id/AIZEN-Acnefique-Serum-i.68111.8137133558", "https://shopee.co.id/AIZEN-Acnefique-Serum-i.68111.8137133558")</f>
        <v>https://shopee.co.id/AIZEN-Acnefique-Serum-i.68111.8137133558</v>
      </c>
      <c r="C2045" s="8" t="s">
        <v>1325</v>
      </c>
      <c r="D2045" s="8" t="s">
        <v>441</v>
      </c>
      <c r="E2045" s="8" t="s">
        <v>12</v>
      </c>
      <c r="F2045" s="8" t="s">
        <v>13</v>
      </c>
      <c r="G2045" s="8" t="s">
        <v>130</v>
      </c>
      <c r="H2045" s="16">
        <v>3.0</v>
      </c>
      <c r="I2045" s="15" t="str">
        <f>SUBSTITUTE(Sheet1!K2045, "Rp", "")</f>
        <v>396150</v>
      </c>
    </row>
    <row r="2046">
      <c r="A2046" s="8" t="s">
        <v>3337</v>
      </c>
      <c r="B2046" s="13" t="str">
        <f>HYPERLINK("https://shopee.co.id/AIZEN-Niacinamide-Ascorbate-15-Ultra-Ampoule-i.68111.3188143619", "https://shopee.co.id/AIZEN-Niacinamide-Ascorbate-15-Ultra-Ampoule-i.68111.3188143619")</f>
        <v>https://shopee.co.id/AIZEN-Niacinamide-Ascorbate-15-Ultra-Ampoule-i.68111.3188143619</v>
      </c>
      <c r="C2046" s="8" t="s">
        <v>1325</v>
      </c>
      <c r="D2046" s="8" t="s">
        <v>441</v>
      </c>
      <c r="E2046" s="8" t="s">
        <v>12</v>
      </c>
      <c r="F2046" s="8" t="s">
        <v>13</v>
      </c>
      <c r="G2046" s="8" t="s">
        <v>130</v>
      </c>
      <c r="H2046" s="16">
        <v>3.0</v>
      </c>
      <c r="I2046" s="15" t="str">
        <f>SUBSTITUTE(Sheet1!K2046, "Rp", "")</f>
        <v>396150</v>
      </c>
    </row>
    <row r="2047">
      <c r="A2047" s="8" t="s">
        <v>3547</v>
      </c>
      <c r="B2047" s="13" t="str">
        <f>HYPERLINK("https://shopee.co.id/Anti-Aging-Serum-Marwah-Skin-Care-i.357101711.8915466721", "https://shopee.co.id/Anti-Aging-Serum-Marwah-Skin-Care-i.357101711.8915466721")</f>
        <v>https://shopee.co.id/Anti-Aging-Serum-Marwah-Skin-Care-i.357101711.8915466721</v>
      </c>
      <c r="C2047" s="8" t="s">
        <v>2249</v>
      </c>
      <c r="D2047" s="8" t="s">
        <v>2250</v>
      </c>
      <c r="E2047" s="8" t="s">
        <v>12</v>
      </c>
      <c r="F2047" s="8" t="s">
        <v>13</v>
      </c>
      <c r="G2047" s="8" t="s">
        <v>370</v>
      </c>
      <c r="H2047" s="16">
        <v>3.0</v>
      </c>
      <c r="I2047" s="15" t="str">
        <f>SUBSTITUTE(Sheet1!K2047, "Rp", "")</f>
        <v>255000</v>
      </c>
    </row>
    <row r="2048">
      <c r="A2048" s="8" t="s">
        <v>100</v>
      </c>
      <c r="B2048" s="13" t="str">
        <f>HYPERLINK("https://shopee.co.id/Avoskin-Perfect-Hydrating-Treatment-Essence-100ml-i.825870.1859441734", "https://shopee.co.id/Avoskin-Perfect-Hydrating-Treatment-Essence-100ml-i.825870.1859441734")</f>
        <v>https://shopee.co.id/Avoskin-Perfect-Hydrating-Treatment-Essence-100ml-i.825870.1859441734</v>
      </c>
      <c r="C2048" s="8" t="s">
        <v>83</v>
      </c>
      <c r="D2048" s="8" t="s">
        <v>1184</v>
      </c>
      <c r="E2048" s="8" t="s">
        <v>12</v>
      </c>
      <c r="F2048" s="8" t="s">
        <v>13</v>
      </c>
      <c r="G2048" s="8" t="s">
        <v>21</v>
      </c>
      <c r="H2048" s="16">
        <v>3.0</v>
      </c>
      <c r="I2048" s="15" t="str">
        <f>SUBSTITUTE(Sheet1!K2048, "Rp", "")</f>
        <v>777400</v>
      </c>
    </row>
    <row r="2049">
      <c r="A2049" s="8" t="s">
        <v>3357</v>
      </c>
      <c r="B2049" s="13" t="str">
        <f>HYPERLINK("https://shopee.co.id/Avoskin-Your-Skin-Bae-Lactic-Acid-10-Kiwi-5-Nia-2-5-Serum-30ml-i.825870.8872074967", "https://shopee.co.id/Avoskin-Your-Skin-Bae-Lactic-Acid-10-Kiwi-5-Nia-2-5-Serum-30ml-i.825870.8872074967")</f>
        <v>https://shopee.co.id/Avoskin-Your-Skin-Bae-Lactic-Acid-10-Kiwi-5-Nia-2-5-Serum-30ml-i.825870.8872074967</v>
      </c>
      <c r="C2049" s="8" t="s">
        <v>83</v>
      </c>
      <c r="D2049" s="8" t="s">
        <v>1184</v>
      </c>
      <c r="E2049" s="8" t="s">
        <v>12</v>
      </c>
      <c r="F2049" s="8" t="s">
        <v>13</v>
      </c>
      <c r="G2049" s="8" t="s">
        <v>21</v>
      </c>
      <c r="H2049" s="16">
        <v>3.0</v>
      </c>
      <c r="I2049" s="15" t="str">
        <f>SUBSTITUTE(Sheet1!K2049, "Rp", "")</f>
        <v>387000</v>
      </c>
    </row>
    <row r="2050">
      <c r="A2050" s="8" t="s">
        <v>3303</v>
      </c>
      <c r="B2050" s="13" t="str">
        <f>HYPERLINK("https://shopee.co.id/Azalea-Amazing-Brightening-Face-Serum-Special-Package-i.38631574.7268935474", "https://shopee.co.id/Azalea-Amazing-Brightening-Face-Serum-Special-Package-i.38631574.7268935474")</f>
        <v>https://shopee.co.id/Azalea-Amazing-Brightening-Face-Serum-Special-Package-i.38631574.7268935474</v>
      </c>
      <c r="C2050" s="8" t="s">
        <v>1463</v>
      </c>
      <c r="D2050" s="8" t="s">
        <v>1235</v>
      </c>
      <c r="E2050" s="8" t="s">
        <v>12</v>
      </c>
      <c r="F2050" s="8" t="s">
        <v>13</v>
      </c>
      <c r="G2050" s="8" t="s">
        <v>469</v>
      </c>
      <c r="H2050" s="16">
        <v>3.0</v>
      </c>
      <c r="I2050" s="15" t="str">
        <f>SUBSTITUTE(Sheet1!K2050, "Rp", "")</f>
        <v>429500</v>
      </c>
    </row>
    <row r="2051">
      <c r="A2051" s="8" t="s">
        <v>3928</v>
      </c>
      <c r="B2051" s="13" t="str">
        <f>HYPERLINK("https://shopee.co.id/Azarine-Easy-White-Herbal-Moisturizer-Serum-20-mL-i.65323877.9179239543", "https://shopee.co.id/Azarine-Easy-White-Herbal-Moisturizer-Serum-20-mL-i.65323877.9179239543")</f>
        <v>https://shopee.co.id/Azarine-Easy-White-Herbal-Moisturizer-Serum-20-mL-i.65323877.9179239543</v>
      </c>
      <c r="C2051" s="8" t="s">
        <v>233</v>
      </c>
      <c r="D2051" s="8" t="s">
        <v>1600</v>
      </c>
      <c r="E2051" s="8" t="s">
        <v>12</v>
      </c>
      <c r="F2051" s="8" t="s">
        <v>13</v>
      </c>
      <c r="G2051" s="8" t="s">
        <v>296</v>
      </c>
      <c r="H2051" s="16">
        <v>3.0</v>
      </c>
      <c r="I2051" s="15" t="str">
        <f>SUBSTITUTE(Sheet1!K2051, "Rp", "")</f>
        <v>66700</v>
      </c>
    </row>
    <row r="2052">
      <c r="A2052" s="8" t="s">
        <v>2165</v>
      </c>
      <c r="B2052" s="13" t="str">
        <f>HYPERLINK("https://shopee.co.id/Babor-3D-Firming-Fluid-2X7-ML-i.131188140.1971037931", "https://shopee.co.id/Babor-3D-Firming-Fluid-2X7-ML-i.131188140.1971037931")</f>
        <v>https://shopee.co.id/Babor-3D-Firming-Fluid-2X7-ML-i.131188140.1971037931</v>
      </c>
      <c r="C2052" s="8" t="s">
        <v>1433</v>
      </c>
      <c r="D2052" s="8" t="s">
        <v>1434</v>
      </c>
      <c r="E2052" s="8" t="s">
        <v>12</v>
      </c>
      <c r="F2052" s="8" t="s">
        <v>13</v>
      </c>
      <c r="G2052" s="8" t="s">
        <v>61</v>
      </c>
      <c r="H2052" s="16">
        <v>3.0</v>
      </c>
      <c r="I2052" s="15" t="str">
        <f>SUBSTITUTE(Sheet1!K2052, "Rp", "")</f>
        <v>2670000</v>
      </c>
    </row>
    <row r="2053">
      <c r="A2053" s="8" t="s">
        <v>2174</v>
      </c>
      <c r="B2053" s="13" t="str">
        <f>HYPERLINK("https://shopee.co.id/Babor-Beauty-Rescue-Fluid-7X2ML-i.131188140.1971037798", "https://shopee.co.id/Babor-Beauty-Rescue-Fluid-7X2ML-i.131188140.1971037798")</f>
        <v>https://shopee.co.id/Babor-Beauty-Rescue-Fluid-7X2ML-i.131188140.1971037798</v>
      </c>
      <c r="C2053" s="8" t="s">
        <v>1433</v>
      </c>
      <c r="D2053" s="8" t="s">
        <v>1434</v>
      </c>
      <c r="E2053" s="8" t="s">
        <v>12</v>
      </c>
      <c r="F2053" s="8" t="s">
        <v>13</v>
      </c>
      <c r="G2053" s="8" t="s">
        <v>61</v>
      </c>
      <c r="H2053" s="16">
        <v>3.0</v>
      </c>
      <c r="I2053" s="15" t="str">
        <f>SUBSTITUTE(Sheet1!K2053, "Rp", "")</f>
        <v>2640000</v>
      </c>
    </row>
    <row r="2054">
      <c r="A2054" s="8" t="s">
        <v>2166</v>
      </c>
      <c r="B2054" s="13" t="str">
        <f>HYPERLINK("https://shopee.co.id/Babor-Collagen-Booster-Fluid-7x2-ML-i.131188140.1971037853", "https://shopee.co.id/Babor-Collagen-Booster-Fluid-7x2-ML-i.131188140.1971037853")</f>
        <v>https://shopee.co.id/Babor-Collagen-Booster-Fluid-7x2-ML-i.131188140.1971037853</v>
      </c>
      <c r="C2054" s="8" t="s">
        <v>1433</v>
      </c>
      <c r="D2054" s="8" t="s">
        <v>1434</v>
      </c>
      <c r="E2054" s="8" t="s">
        <v>12</v>
      </c>
      <c r="F2054" s="8" t="s">
        <v>13</v>
      </c>
      <c r="G2054" s="8" t="s">
        <v>61</v>
      </c>
      <c r="H2054" s="16">
        <v>3.0</v>
      </c>
      <c r="I2054" s="15" t="str">
        <f>SUBSTITUTE(Sheet1!K2054, "Rp", "")</f>
        <v>2670000</v>
      </c>
    </row>
    <row r="2055">
      <c r="A2055" s="8" t="s">
        <v>3164</v>
      </c>
      <c r="B2055" s="13" t="str">
        <f>HYPERLINK("https://shopee.co.id/BeautieSS-Pore-Treatment-Serum-i.48098269.7851575005", "https://shopee.co.id/BeautieSS-Pore-Treatment-Serum-i.48098269.7851575005")</f>
        <v>https://shopee.co.id/BeautieSS-Pore-Treatment-Serum-i.48098269.7851575005</v>
      </c>
      <c r="C2055" s="8" t="s">
        <v>3165</v>
      </c>
      <c r="D2055" s="8" t="s">
        <v>3166</v>
      </c>
      <c r="E2055" s="8" t="s">
        <v>12</v>
      </c>
      <c r="F2055" s="8" t="s">
        <v>13</v>
      </c>
      <c r="G2055" s="8" t="s">
        <v>241</v>
      </c>
      <c r="H2055" s="16">
        <v>3.0</v>
      </c>
      <c r="I2055" s="15" t="str">
        <f>SUBSTITUTE(Sheet1!K2055, "Rp", "")</f>
        <v>555000</v>
      </c>
    </row>
    <row r="2056">
      <c r="A2056" s="8" t="s">
        <v>3376</v>
      </c>
      <c r="B2056" s="13" t="str">
        <f>HYPERLINK("https://shopee.co.id/BeautieSS-Skin-Solution-Anti-Wrinkle-Aging-Mengandung-Snail-Mucin-i.48098269.5819392002", "https://shopee.co.id/BeautieSS-Skin-Solution-Anti-Wrinkle-Aging-Mengandung-Snail-Mucin-i.48098269.5819392002")</f>
        <v>https://shopee.co.id/BeautieSS-Skin-Solution-Anti-Wrinkle-Aging-Mengandung-Snail-Mucin-i.48098269.5819392002</v>
      </c>
      <c r="C2056" s="8" t="s">
        <v>3377</v>
      </c>
      <c r="D2056" s="8" t="s">
        <v>3166</v>
      </c>
      <c r="E2056" s="8" t="s">
        <v>12</v>
      </c>
      <c r="F2056" s="8" t="s">
        <v>13</v>
      </c>
      <c r="G2056" s="8" t="s">
        <v>241</v>
      </c>
      <c r="H2056" s="16">
        <v>3.0</v>
      </c>
      <c r="I2056" s="15" t="str">
        <f>SUBSTITUTE(Sheet1!K2056, "Rp", "")</f>
        <v>375000</v>
      </c>
    </row>
    <row r="2057">
      <c r="A2057" s="8" t="s">
        <v>3845</v>
      </c>
      <c r="B2057" s="13" t="str">
        <f>HYPERLINK("https://shopee.co.id/Beautybarme-Somebymi-Yuja-Niacin-Blemish-Care-Serum-50Ml-i.28781862.5713625507", "https://shopee.co.id/Beautybarme-Somebymi-Yuja-Niacin-Blemish-Care-Serum-50Ml-i.28781862.5713625507")</f>
        <v>https://shopee.co.id/Beautybarme-Somebymi-Yuja-Niacin-Blemish-Care-Serum-50Ml-i.28781862.5713625507</v>
      </c>
      <c r="C2057" s="8" t="s">
        <v>213</v>
      </c>
      <c r="D2057" s="8" t="s">
        <v>1189</v>
      </c>
      <c r="E2057" s="8" t="s">
        <v>12</v>
      </c>
      <c r="F2057" s="8" t="s">
        <v>13</v>
      </c>
      <c r="G2057" s="8" t="s">
        <v>1190</v>
      </c>
      <c r="H2057" s="16">
        <v>3.0</v>
      </c>
      <c r="I2057" s="15" t="str">
        <f>SUBSTITUTE(Sheet1!K2057, "Rp", "")</f>
        <v>105000</v>
      </c>
    </row>
    <row r="2058">
      <c r="A2058" s="8" t="s">
        <v>3141</v>
      </c>
      <c r="B2058" s="13" t="str">
        <f>HYPERLINK("https://shopee.co.id/Benton-Snail-Bee-Ultimate-Serum-35ml-i.825870.2033101127", "https://shopee.co.id/Benton-Snail-Bee-Ultimate-Serum-35ml-i.825870.2033101127")</f>
        <v>https://shopee.co.id/Benton-Snail-Bee-Ultimate-Serum-35ml-i.825870.2033101127</v>
      </c>
      <c r="C2058" s="8" t="s">
        <v>456</v>
      </c>
      <c r="D2058" s="8" t="s">
        <v>1184</v>
      </c>
      <c r="E2058" s="8" t="s">
        <v>12</v>
      </c>
      <c r="F2058" s="8" t="s">
        <v>13</v>
      </c>
      <c r="G2058" s="8" t="s">
        <v>21</v>
      </c>
      <c r="H2058" s="16">
        <v>3.0</v>
      </c>
      <c r="I2058" s="15" t="str">
        <f>SUBSTITUTE(Sheet1!K2058, "Rp", "")</f>
        <v>577500</v>
      </c>
    </row>
    <row r="2059">
      <c r="A2059" s="8" t="s">
        <v>2609</v>
      </c>
      <c r="B2059" s="13" t="str">
        <f>HYPERLINK("https://shopee.co.id/BHUMI-Skin-Barrier-Clearing-Package-i.37421755.3100574981", "https://shopee.co.id/BHUMI-Skin-Barrier-Clearing-Package-i.37421755.3100574981")</f>
        <v>https://shopee.co.id/BHUMI-Skin-Barrier-Clearing-Package-i.37421755.3100574981</v>
      </c>
      <c r="C2059" s="8" t="s">
        <v>753</v>
      </c>
      <c r="D2059" s="8" t="s">
        <v>754</v>
      </c>
      <c r="E2059" s="8" t="s">
        <v>12</v>
      </c>
      <c r="F2059" s="8" t="s">
        <v>13</v>
      </c>
      <c r="G2059" s="8" t="s">
        <v>469</v>
      </c>
      <c r="H2059" s="16">
        <v>3.0</v>
      </c>
      <c r="I2059" s="15" t="str">
        <f>SUBSTITUTE(Sheet1!K2059, "Rp", "")</f>
        <v>1429680</v>
      </c>
    </row>
    <row r="2060">
      <c r="A2060" s="8" t="s">
        <v>3407</v>
      </c>
      <c r="B2060" s="13" t="str">
        <f>HYPERLINK("https://shopee.co.id/Bio-Essence-24K-Bio-Gold-Water-100ml-i.10689.1010694056", "https://shopee.co.id/Bio-Essence-24K-Bio-Gold-Water-100ml-i.10689.1010694056")</f>
        <v>https://shopee.co.id/Bio-Essence-24K-Bio-Gold-Water-100ml-i.10689.1010694056</v>
      </c>
      <c r="C2060" s="8" t="s">
        <v>834</v>
      </c>
      <c r="D2060" s="8" t="s">
        <v>745</v>
      </c>
      <c r="E2060" s="8" t="s">
        <v>12</v>
      </c>
      <c r="F2060" s="8" t="s">
        <v>13</v>
      </c>
      <c r="G2060" s="8" t="s">
        <v>61</v>
      </c>
      <c r="H2060" s="16">
        <v>3.0</v>
      </c>
      <c r="I2060" s="15" t="str">
        <f>SUBSTITUTE(Sheet1!K2060, "Rp", "")</f>
        <v>358800</v>
      </c>
    </row>
    <row r="2061">
      <c r="A2061" s="8" t="s">
        <v>2597</v>
      </c>
      <c r="B2061" s="13" t="str">
        <f>HYPERLINK("https://shopee.co.id/Bio-Essence-Bio-Gold-Day-Cream-SPF-25-40-gr-Twinpack-Special-i.63822287.9638817193", "https://shopee.co.id/Bio-Essence-Bio-Gold-Day-Cream-SPF-25-40-gr-Twinpack-Special-i.63822287.9638817193")</f>
        <v>https://shopee.co.id/Bio-Essence-Bio-Gold-Day-Cream-SPF-25-40-gr-Twinpack-Special-i.63822287.9638817193</v>
      </c>
      <c r="C2061" s="8" t="s">
        <v>834</v>
      </c>
      <c r="D2061" s="8" t="s">
        <v>835</v>
      </c>
      <c r="E2061" s="8" t="s">
        <v>12</v>
      </c>
      <c r="F2061" s="8" t="s">
        <v>13</v>
      </c>
      <c r="G2061" s="8" t="s">
        <v>61</v>
      </c>
      <c r="H2061" s="16">
        <v>3.0</v>
      </c>
      <c r="I2061" s="15" t="str">
        <f>SUBSTITUTE(Sheet1!K2061, "Rp", "")</f>
        <v>1469800</v>
      </c>
    </row>
    <row r="2062">
      <c r="A2062" s="8" t="s">
        <v>2768</v>
      </c>
      <c r="B2062" s="13" t="str">
        <f>HYPERLINK("https://shopee.co.id/Bio-Essence-Bio-Gold-Gold-Water-150-mll-Radiant-Cleanser-100-gr-i.63822287.4132962237", "https://shopee.co.id/Bio-Essence-Bio-Gold-Gold-Water-150-mll-Radiant-Cleanser-100-gr-i.63822287.4132962237")</f>
        <v>https://shopee.co.id/Bio-Essence-Bio-Gold-Gold-Water-150-mll-Radiant-Cleanser-100-gr-i.63822287.4132962237</v>
      </c>
      <c r="C2062" s="8" t="s">
        <v>834</v>
      </c>
      <c r="D2062" s="8" t="s">
        <v>835</v>
      </c>
      <c r="E2062" s="8" t="s">
        <v>12</v>
      </c>
      <c r="F2062" s="8" t="s">
        <v>13</v>
      </c>
      <c r="G2062" s="8" t="s">
        <v>61</v>
      </c>
      <c r="H2062" s="16">
        <v>3.0</v>
      </c>
      <c r="I2062" s="15" t="str">
        <f>SUBSTITUTE(Sheet1!K2062, "Rp", "")</f>
        <v>1112600</v>
      </c>
    </row>
    <row r="2063">
      <c r="A2063" s="8" t="s">
        <v>3713</v>
      </c>
      <c r="B2063" s="13" t="str">
        <f>HYPERLINK("https://shopee.co.id/Bio-Essence-Bio-White-Advance-Whitening-Cleanser-i.30736001.11200508632", "https://shopee.co.id/Bio-Essence-Bio-White-Advance-Whitening-Cleanser-i.30736001.11200508632")</f>
        <v>https://shopee.co.id/Bio-Essence-Bio-White-Advance-Whitening-Cleanser-i.30736001.11200508632</v>
      </c>
      <c r="C2063" s="8" t="s">
        <v>1254</v>
      </c>
      <c r="D2063" s="8" t="s">
        <v>335</v>
      </c>
      <c r="E2063" s="8" t="s">
        <v>12</v>
      </c>
      <c r="F2063" s="8" t="s">
        <v>13</v>
      </c>
      <c r="G2063" s="8" t="s">
        <v>36</v>
      </c>
      <c r="H2063" s="16">
        <v>3.0</v>
      </c>
      <c r="I2063" s="15" t="str">
        <f>SUBSTITUTE(Sheet1!K2063, "Rp", "")</f>
        <v>172500</v>
      </c>
    </row>
    <row r="2064">
      <c r="A2064" s="8" t="s">
        <v>3478</v>
      </c>
      <c r="B2064" s="13" t="str">
        <f>HYPERLINK("https://shopee.co.id/Bio-Essence-Gold-Water-30-ml-i.30736001.7537027635", "https://shopee.co.id/Bio-Essence-Gold-Water-30-ml-i.30736001.7537027635")</f>
        <v>https://shopee.co.id/Bio-Essence-Gold-Water-30-ml-i.30736001.7537027635</v>
      </c>
      <c r="C2064" s="8" t="s">
        <v>1254</v>
      </c>
      <c r="D2064" s="8" t="s">
        <v>335</v>
      </c>
      <c r="E2064" s="8" t="s">
        <v>12</v>
      </c>
      <c r="F2064" s="8" t="s">
        <v>13</v>
      </c>
      <c r="G2064" s="8" t="s">
        <v>36</v>
      </c>
      <c r="H2064" s="16">
        <v>3.0</v>
      </c>
      <c r="I2064" s="15" t="str">
        <f>SUBSTITUTE(Sheet1!K2064, "Rp", "")</f>
        <v>297000</v>
      </c>
    </row>
    <row r="2065">
      <c r="A2065" s="8" t="s">
        <v>3049</v>
      </c>
      <c r="B2065" s="13" t="str">
        <f>HYPERLINK("https://shopee.co.id/BIODERMA-Bioderma-Atoderm-Huille-de-Douche-24hr-Moist-200ml-i.30736001.3359218141", "https://shopee.co.id/BIODERMA-Bioderma-Atoderm-Huille-de-Douche-24hr-Moist-200ml-i.30736001.3359218141")</f>
        <v>https://shopee.co.id/BIODERMA-Bioderma-Atoderm-Huille-de-Douche-24hr-Moist-200ml-i.30736001.3359218141</v>
      </c>
      <c r="C2065" s="8" t="s">
        <v>1387</v>
      </c>
      <c r="D2065" s="8" t="s">
        <v>335</v>
      </c>
      <c r="E2065" s="8" t="s">
        <v>12</v>
      </c>
      <c r="F2065" s="8" t="s">
        <v>13</v>
      </c>
      <c r="G2065" s="8" t="s">
        <v>36</v>
      </c>
      <c r="H2065" s="16">
        <v>3.0</v>
      </c>
      <c r="I2065" s="15" t="str">
        <f>SUBSTITUTE(Sheet1!K2065, "Rp", "")</f>
        <v>676500</v>
      </c>
    </row>
    <row r="2066">
      <c r="A2066" s="8" t="s">
        <v>2871</v>
      </c>
      <c r="B2066" s="13" t="str">
        <f>HYPERLINK("https://shopee.co.id/Bioderma-Hydrabio-Serum-40-ml-i.36998337.1676941305", "https://shopee.co.id/Bioderma-Hydrabio-Serum-40-ml-i.36998337.1676941305")</f>
        <v>https://shopee.co.id/Bioderma-Hydrabio-Serum-40-ml-i.36998337.1676941305</v>
      </c>
      <c r="C2066" s="8" t="s">
        <v>1387</v>
      </c>
      <c r="D2066" s="8" t="s">
        <v>2449</v>
      </c>
      <c r="E2066" s="8" t="s">
        <v>12</v>
      </c>
      <c r="F2066" s="8" t="s">
        <v>13</v>
      </c>
      <c r="G2066" s="8" t="s">
        <v>98</v>
      </c>
      <c r="H2066" s="16">
        <v>3.0</v>
      </c>
      <c r="I2066" s="15" t="str">
        <f>SUBSTITUTE(Sheet1!K2066, "Rp", "")</f>
        <v>939300</v>
      </c>
    </row>
    <row r="2067">
      <c r="A2067" s="8" t="s">
        <v>3773</v>
      </c>
      <c r="B2067" s="13" t="str">
        <f>HYPERLINK("https://shopee.co.id/BREYLEE-Step-2-Pore-Minimizer-Serum-Pengecil-Pori-Wajah-17ml-i.68111.8553330361", "https://shopee.co.id/BREYLEE-Step-2-Pore-Minimizer-Serum-Pengecil-Pori-Wajah-17ml-i.68111.8553330361")</f>
        <v>https://shopee.co.id/BREYLEE-Step-2-Pore-Minimizer-Serum-Pengecil-Pori-Wajah-17ml-i.68111.8553330361</v>
      </c>
      <c r="C2067" s="8" t="s">
        <v>852</v>
      </c>
      <c r="D2067" s="8" t="s">
        <v>441</v>
      </c>
      <c r="E2067" s="8" t="s">
        <v>12</v>
      </c>
      <c r="F2067" s="8" t="s">
        <v>13</v>
      </c>
      <c r="G2067" s="8" t="s">
        <v>130</v>
      </c>
      <c r="H2067" s="16">
        <v>3.0</v>
      </c>
      <c r="I2067" s="15" t="str">
        <f>SUBSTITUTE(Sheet1!K2067, "Rp", "")</f>
        <v>139650</v>
      </c>
    </row>
    <row r="2068">
      <c r="A2068" s="8" t="s">
        <v>3602</v>
      </c>
      <c r="B2068" s="13" t="str">
        <f>HYPERLINK("https://shopee.co.id/Calmedi-Exfoliating-Essence-10-ml-Melembabkan-Kulit-Mencerahkan-dan-Mengangkat-Sel-Kulit-Mati-i.129229117.7535799031", "https://shopee.co.id/Calmedi-Exfoliating-Essence-10-ml-Melembabkan-Kulit-Mencerahkan-dan-Mengangkat-Sel-Kulit-Mati-i.129229117.7535799031")</f>
        <v>https://shopee.co.id/Calmedi-Exfoliating-Essence-10-ml-Melembabkan-Kulit-Mencerahkan-dan-Mengangkat-Sel-Kulit-Mati-i.129229117.7535799031</v>
      </c>
      <c r="C2068" s="8" t="s">
        <v>2931</v>
      </c>
      <c r="D2068" s="8" t="s">
        <v>2932</v>
      </c>
      <c r="E2068" s="8" t="s">
        <v>12</v>
      </c>
      <c r="F2068" s="8" t="s">
        <v>13</v>
      </c>
      <c r="G2068" s="8" t="s">
        <v>98</v>
      </c>
      <c r="H2068" s="16">
        <v>3.0</v>
      </c>
      <c r="I2068" s="15" t="str">
        <f>SUBSTITUTE(Sheet1!K2068, "Rp", "")</f>
        <v>225000</v>
      </c>
    </row>
    <row r="2069">
      <c r="A2069" s="8" t="s">
        <v>3301</v>
      </c>
      <c r="B2069" s="13" t="str">
        <f>HYPERLINK("https://shopee.co.id/Click-House-Pore-Refining-Serum-Oily-Free-i.130532371.4542669194", "https://shopee.co.id/Click-House-Pore-Refining-Serum-Oily-Free-i.130532371.4542669194")</f>
        <v>https://shopee.co.id/Click-House-Pore-Refining-Serum-Oily-Free-i.130532371.4542669194</v>
      </c>
      <c r="C2069" s="8" t="s">
        <v>2021</v>
      </c>
      <c r="D2069" s="8" t="s">
        <v>2022</v>
      </c>
      <c r="E2069" s="8" t="s">
        <v>12</v>
      </c>
      <c r="F2069" s="8" t="s">
        <v>13</v>
      </c>
      <c r="G2069" s="8" t="s">
        <v>98</v>
      </c>
      <c r="H2069" s="16">
        <v>3.0</v>
      </c>
      <c r="I2069" s="15" t="str">
        <f>SUBSTITUTE(Sheet1!K2069, "Rp", "")</f>
        <v>430550</v>
      </c>
    </row>
    <row r="2070">
      <c r="A2070" s="8" t="s">
        <v>2982</v>
      </c>
      <c r="B2070" s="13" t="str">
        <f>HYPERLINK("https://shopee.co.id/CLINELLE-WhitenUp-Brightening-Spot-Essence-15-ML-Dark-Spot-Treatment-Noda-dan-Flek-Hitam-Wajah-i.173963911.5700743285", "https://shopee.co.id/CLINELLE-WhitenUp-Brightening-Spot-Essence-15-ML-Dark-Spot-Treatment-Noda-dan-Flek-Hitam-Wajah-i.173963911.5700743285")</f>
        <v>https://shopee.co.id/CLINELLE-WhitenUp-Brightening-Spot-Essence-15-ML-Dark-Spot-Treatment-Noda-dan-Flek-Hitam-Wajah-i.173963911.5700743285</v>
      </c>
      <c r="C2070" s="8" t="s">
        <v>1456</v>
      </c>
      <c r="D2070" s="8" t="s">
        <v>1457</v>
      </c>
      <c r="E2070" s="8" t="s">
        <v>12</v>
      </c>
      <c r="F2070" s="8" t="s">
        <v>13</v>
      </c>
      <c r="G2070" s="8" t="s">
        <v>21</v>
      </c>
      <c r="H2070" s="16">
        <v>3.0</v>
      </c>
      <c r="I2070" s="15" t="str">
        <f>SUBSTITUTE(Sheet1!K2070, "Rp", "")</f>
        <v>777000</v>
      </c>
    </row>
    <row r="2071">
      <c r="A2071" s="8" t="s">
        <v>3087</v>
      </c>
      <c r="B2071" s="13" t="str">
        <f>HYPERLINK("https://shopee.co.id/COMMONLABS-Vitamin-B5-Moisture-Ampoule-18ml--i.240712269.8252449218", "https://shopee.co.id/COMMONLABS-Vitamin-B5-Moisture-Ampoule-18ml--i.240712269.8252449218")</f>
        <v>https://shopee.co.id/COMMONLABS-Vitamin-B5-Moisture-Ampoule-18ml--i.240712269.8252449218</v>
      </c>
      <c r="C2071" s="8" t="s">
        <v>3088</v>
      </c>
      <c r="D2071" s="8" t="s">
        <v>762</v>
      </c>
      <c r="E2071" s="8" t="s">
        <v>12</v>
      </c>
      <c r="F2071" s="8" t="s">
        <v>13</v>
      </c>
      <c r="G2071" s="8" t="s">
        <v>98</v>
      </c>
      <c r="H2071" s="16">
        <v>3.0</v>
      </c>
      <c r="I2071" s="15" t="str">
        <f>SUBSTITUTE(Sheet1!K2071, "Rp", "")</f>
        <v>638500</v>
      </c>
    </row>
    <row r="2072">
      <c r="A2072" s="8" t="s">
        <v>3174</v>
      </c>
      <c r="B2072" s="13" t="str">
        <f>HYPERLINK("https://shopee.co.id/Cosrx-BHA-Blackhead-Power-Liquid-Skin-Care-100ml-i.136011044.3375291776", "https://shopee.co.id/Cosrx-BHA-Blackhead-Power-Liquid-Skin-Care-100ml-i.136011044.3375291776")</f>
        <v>https://shopee.co.id/Cosrx-BHA-Blackhead-Power-Liquid-Skin-Care-100ml-i.136011044.3375291776</v>
      </c>
      <c r="C2072" s="8" t="s">
        <v>305</v>
      </c>
      <c r="D2072" s="8" t="s">
        <v>632</v>
      </c>
      <c r="E2072" s="8" t="s">
        <v>12</v>
      </c>
      <c r="F2072" s="8" t="s">
        <v>13</v>
      </c>
      <c r="G2072" s="8" t="s">
        <v>21</v>
      </c>
      <c r="H2072" s="16">
        <v>3.0</v>
      </c>
      <c r="I2072" s="15" t="str">
        <f>SUBSTITUTE(Sheet1!K2072, "Rp", "")</f>
        <v>545000</v>
      </c>
    </row>
    <row r="2073">
      <c r="A2073" s="8" t="s">
        <v>3153</v>
      </c>
      <c r="B2073" s="13" t="str">
        <f>HYPERLINK("https://shopee.co.id/Cosrx-Galactomyces-95-Tone-Balancing-Essence-i.136011044.7475148510", "https://shopee.co.id/Cosrx-Galactomyces-95-Tone-Balancing-Essence-i.136011044.7475148510")</f>
        <v>https://shopee.co.id/Cosrx-Galactomyces-95-Tone-Balancing-Essence-i.136011044.7475148510</v>
      </c>
      <c r="C2073" s="8" t="s">
        <v>305</v>
      </c>
      <c r="D2073" s="8" t="s">
        <v>632</v>
      </c>
      <c r="E2073" s="8" t="s">
        <v>12</v>
      </c>
      <c r="F2073" s="8" t="s">
        <v>13</v>
      </c>
      <c r="G2073" s="8" t="s">
        <v>21</v>
      </c>
      <c r="H2073" s="16">
        <v>3.0</v>
      </c>
      <c r="I2073" s="15" t="str">
        <f>SUBSTITUTE(Sheet1!K2073, "Rp", "")</f>
        <v>561000</v>
      </c>
    </row>
    <row r="2074">
      <c r="A2074" s="8" t="s">
        <v>3463</v>
      </c>
      <c r="B2074" s="13" t="str">
        <f>HYPERLINK("https://shopee.co.id/Crushlicious-Bundling-Overnight-Glow-Serum-Oatmask-25gr-i.4184162.7988114182", "https://shopee.co.id/Crushlicious-Bundling-Overnight-Glow-Serum-Oatmask-25gr-i.4184162.7988114182")</f>
        <v>https://shopee.co.id/Crushlicious-Bundling-Overnight-Glow-Serum-Oatmask-25gr-i.4184162.7988114182</v>
      </c>
      <c r="C2074" s="8" t="s">
        <v>1619</v>
      </c>
      <c r="D2074" s="8" t="s">
        <v>1620</v>
      </c>
      <c r="E2074" s="8" t="s">
        <v>12</v>
      </c>
      <c r="F2074" s="8" t="s">
        <v>13</v>
      </c>
      <c r="G2074" s="8" t="s">
        <v>1621</v>
      </c>
      <c r="H2074" s="16">
        <v>3.0</v>
      </c>
      <c r="I2074" s="15" t="str">
        <f>SUBSTITUTE(Sheet1!K2074, "Rp", "")</f>
        <v>310650</v>
      </c>
    </row>
    <row r="2075">
      <c r="A2075" s="8" t="s">
        <v>3051</v>
      </c>
      <c r="B2075" s="13" t="str">
        <f>HYPERLINK("https://shopee.co.id/d-Alba-White-Truffle-First-Spray-Serum-100ml-i.489174620.11446765625", "https://shopee.co.id/d-Alba-White-Truffle-First-Spray-Serum-100ml-i.489174620.11446765625")</f>
        <v>https://shopee.co.id/d-Alba-White-Truffle-First-Spray-Serum-100ml-i.489174620.11446765625</v>
      </c>
      <c r="C2075" s="8" t="s">
        <v>1694</v>
      </c>
      <c r="D2075" s="8" t="s">
        <v>3052</v>
      </c>
      <c r="E2075" s="8" t="s">
        <v>12</v>
      </c>
      <c r="F2075" s="8" t="s">
        <v>13</v>
      </c>
      <c r="G2075" s="8" t="s">
        <v>80</v>
      </c>
      <c r="H2075" s="16">
        <v>3.0</v>
      </c>
      <c r="I2075" s="15" t="str">
        <f>SUBSTITUTE(Sheet1!K2075, "Rp", "")</f>
        <v>675000</v>
      </c>
    </row>
    <row r="2076">
      <c r="A2076" s="8" t="s">
        <v>3363</v>
      </c>
      <c r="B2076" s="13" t="str">
        <f>HYPERLINK("https://shopee.co.id/Daneen-Twin-Pack-3G-Vitamin-C-Serum-10ml-i.328329669.6291387444", "https://shopee.co.id/Daneen-Twin-Pack-3G-Vitamin-C-Serum-10ml-i.328329669.6291387444")</f>
        <v>https://shopee.co.id/Daneen-Twin-Pack-3G-Vitamin-C-Serum-10ml-i.328329669.6291387444</v>
      </c>
      <c r="C2076" s="8" t="s">
        <v>2675</v>
      </c>
      <c r="D2076" s="8" t="s">
        <v>2676</v>
      </c>
      <c r="E2076" s="8" t="s">
        <v>12</v>
      </c>
      <c r="F2076" s="8" t="s">
        <v>13</v>
      </c>
      <c r="G2076" s="8" t="s">
        <v>36</v>
      </c>
      <c r="H2076" s="16">
        <v>3.0</v>
      </c>
      <c r="I2076" s="15" t="str">
        <f>SUBSTITUTE(Sheet1!K2076, "Rp", "")</f>
        <v>386716</v>
      </c>
    </row>
    <row r="2077">
      <c r="A2077" s="8" t="s">
        <v>3211</v>
      </c>
      <c r="B2077" s="13" t="str">
        <f>HYPERLINK("https://shopee.co.id/DEAR-ME-BEAUTY-Single-Active-Face-Serum-Retinol-Blueberry-Extract-i.68111.8256972392", "https://shopee.co.id/DEAR-ME-BEAUTY-Single-Active-Face-Serum-Retinol-Blueberry-Extract-i.68111.8256972392")</f>
        <v>https://shopee.co.id/DEAR-ME-BEAUTY-Single-Active-Face-Serum-Retinol-Blueberry-Extract-i.68111.8256972392</v>
      </c>
      <c r="C2077" s="8" t="s">
        <v>70</v>
      </c>
      <c r="D2077" s="8" t="s">
        <v>441</v>
      </c>
      <c r="E2077" s="8" t="s">
        <v>12</v>
      </c>
      <c r="F2077" s="8" t="s">
        <v>13</v>
      </c>
      <c r="G2077" s="8" t="s">
        <v>130</v>
      </c>
      <c r="H2077" s="16">
        <v>3.0</v>
      </c>
      <c r="I2077" s="15" t="str">
        <f>SUBSTITUTE(Sheet1!K2077, "Rp", "")</f>
        <v>510300</v>
      </c>
    </row>
    <row r="2078">
      <c r="A2078" s="8" t="s">
        <v>3053</v>
      </c>
      <c r="B2078" s="13" t="str">
        <f>HYPERLINK("https://shopee.co.id/DNI-Glowing-Snail-Serum-i.41174739.3820732365", "https://shopee.co.id/DNI-Glowing-Snail-Serum-i.41174739.3820732365")</f>
        <v>https://shopee.co.id/DNI-Glowing-Snail-Serum-i.41174739.3820732365</v>
      </c>
      <c r="C2078" s="8" t="s">
        <v>2382</v>
      </c>
      <c r="D2078" s="8" t="s">
        <v>2383</v>
      </c>
      <c r="E2078" s="8" t="s">
        <v>12</v>
      </c>
      <c r="F2078" s="8" t="s">
        <v>13</v>
      </c>
      <c r="G2078" s="8" t="s">
        <v>945</v>
      </c>
      <c r="H2078" s="16">
        <v>3.0</v>
      </c>
      <c r="I2078" s="15" t="str">
        <f>SUBSTITUTE(Sheet1!K2078, "Rp", "")</f>
        <v>675000</v>
      </c>
    </row>
    <row r="2079">
      <c r="A2079" s="8" t="s">
        <v>2751</v>
      </c>
      <c r="B2079" s="13" t="str">
        <f>HYPERLINK("https://shopee.co.id/Duvaderm-Hyaluronic-Calming-Serum-15ml-i.825870.5160575823", "https://shopee.co.id/Duvaderm-Hyaluronic-Calming-Serum-15ml-i.825870.5160575823")</f>
        <v>https://shopee.co.id/Duvaderm-Hyaluronic-Calming-Serum-15ml-i.825870.5160575823</v>
      </c>
      <c r="C2079" s="8" t="s">
        <v>2752</v>
      </c>
      <c r="D2079" s="8" t="s">
        <v>1184</v>
      </c>
      <c r="E2079" s="8" t="s">
        <v>12</v>
      </c>
      <c r="F2079" s="8" t="s">
        <v>13</v>
      </c>
      <c r="G2079" s="8" t="s">
        <v>21</v>
      </c>
      <c r="H2079" s="16">
        <v>3.0</v>
      </c>
      <c r="I2079" s="15" t="str">
        <f>SUBSTITUTE(Sheet1!K2079, "Rp", "")</f>
        <v>1140000</v>
      </c>
    </row>
    <row r="2080">
      <c r="A2080" s="8" t="s">
        <v>3081</v>
      </c>
      <c r="B2080" s="13" t="str">
        <f>HYPERLINK("https://shopee.co.id/ELSHE-SKIN-Radiant-Supple-Serum-20ml-i.68111.9162186817", "https://shopee.co.id/ELSHE-SKIN-Radiant-Supple-Serum-20ml-i.68111.9162186817")</f>
        <v>https://shopee.co.id/ELSHE-SKIN-Radiant-Supple-Serum-20ml-i.68111.9162186817</v>
      </c>
      <c r="C2080" s="8" t="s">
        <v>135</v>
      </c>
      <c r="D2080" s="8" t="s">
        <v>441</v>
      </c>
      <c r="E2080" s="8" t="s">
        <v>12</v>
      </c>
      <c r="F2080" s="8" t="s">
        <v>13</v>
      </c>
      <c r="G2080" s="8" t="s">
        <v>130</v>
      </c>
      <c r="H2080" s="16">
        <v>3.0</v>
      </c>
      <c r="I2080" s="15" t="str">
        <f>SUBSTITUTE(Sheet1!K2080, "Rp", "")</f>
        <v>645000</v>
      </c>
    </row>
    <row r="2081">
      <c r="A2081" s="8" t="s">
        <v>3191</v>
      </c>
      <c r="B2081" s="13" t="str">
        <f>HYPERLINK("https://shopee.co.id/Elshe-Skin-Smoothing-Serum-For-Acne-Skin-20ml-i.68111.1373016107", "https://shopee.co.id/Elshe-Skin-Smoothing-Serum-For-Acne-Skin-20ml-i.68111.1373016107")</f>
        <v>https://shopee.co.id/Elshe-Skin-Smoothing-Serum-For-Acne-Skin-20ml-i.68111.1373016107</v>
      </c>
      <c r="C2081" s="8" t="s">
        <v>135</v>
      </c>
      <c r="D2081" s="8" t="s">
        <v>441</v>
      </c>
      <c r="E2081" s="8" t="s">
        <v>12</v>
      </c>
      <c r="F2081" s="8" t="s">
        <v>13</v>
      </c>
      <c r="G2081" s="8" t="s">
        <v>130</v>
      </c>
      <c r="H2081" s="16">
        <v>3.0</v>
      </c>
      <c r="I2081" s="15" t="str">
        <f>SUBSTITUTE(Sheet1!K2081, "Rp", "")</f>
        <v>529200</v>
      </c>
    </row>
    <row r="2082">
      <c r="A2082" s="8" t="s">
        <v>2983</v>
      </c>
      <c r="B2082" s="13" t="str">
        <f>HYPERLINK("https://shopee.co.id/EssenHerb-Bulgarian-Rose-Ampoule-50ml-Edit-by-Sociolla-i.224957239.5131694199", "https://shopee.co.id/EssenHerb-Bulgarian-Rose-Ampoule-50ml-Edit-by-Sociolla-i.224957239.5131694199")</f>
        <v>https://shopee.co.id/EssenHerb-Bulgarian-Rose-Ampoule-50ml-Edit-by-Sociolla-i.224957239.5131694199</v>
      </c>
      <c r="C2082" s="8" t="s">
        <v>2802</v>
      </c>
      <c r="D2082" s="8" t="s">
        <v>492</v>
      </c>
      <c r="E2082" s="8" t="s">
        <v>12</v>
      </c>
      <c r="F2082" s="8" t="s">
        <v>13</v>
      </c>
      <c r="G2082" s="8" t="s">
        <v>21</v>
      </c>
      <c r="H2082" s="16">
        <v>3.0</v>
      </c>
      <c r="I2082" s="15" t="str">
        <f>SUBSTITUTE(Sheet1!K2082, "Rp", "")</f>
        <v>777000</v>
      </c>
    </row>
    <row r="2083">
      <c r="A2083" s="8" t="s">
        <v>3420</v>
      </c>
      <c r="B2083" s="13" t="str">
        <f>HYPERLINK("https://shopee.co.id/Everwhite-Cica-Soothing-Serum-30ml-i.825870.5669530125", "https://shopee.co.id/Everwhite-Cica-Soothing-Serum-30ml-i.825870.5669530125")</f>
        <v>https://shopee.co.id/Everwhite-Cica-Soothing-Serum-30ml-i.825870.5669530125</v>
      </c>
      <c r="C2083" s="8" t="s">
        <v>157</v>
      </c>
      <c r="D2083" s="8" t="s">
        <v>1184</v>
      </c>
      <c r="E2083" s="8" t="s">
        <v>12</v>
      </c>
      <c r="F2083" s="8" t="s">
        <v>13</v>
      </c>
      <c r="G2083" s="8" t="s">
        <v>21</v>
      </c>
      <c r="H2083" s="16">
        <v>3.0</v>
      </c>
      <c r="I2083" s="15" t="str">
        <f>SUBSTITUTE(Sheet1!K2083, "Rp", "")</f>
        <v>345150</v>
      </c>
    </row>
    <row r="2084">
      <c r="A2084" s="8" t="s">
        <v>3670</v>
      </c>
      <c r="B2084" s="13" t="str">
        <f>HYPERLINK("https://shopee.co.id/FACE-2-FACE-Whitening-Serum-i.100248646.1632018660", "https://shopee.co.id/FACE-2-FACE-Whitening-Serum-i.100248646.1632018660")</f>
        <v>https://shopee.co.id/FACE-2-FACE-Whitening-Serum-i.100248646.1632018660</v>
      </c>
      <c r="C2084" s="8" t="s">
        <v>3671</v>
      </c>
      <c r="D2084" s="8" t="s">
        <v>3672</v>
      </c>
      <c r="E2084" s="8" t="s">
        <v>12</v>
      </c>
      <c r="F2084" s="8" t="s">
        <v>13</v>
      </c>
      <c r="G2084" s="8" t="s">
        <v>532</v>
      </c>
      <c r="H2084" s="16">
        <v>3.0</v>
      </c>
      <c r="I2084" s="15" t="str">
        <f>SUBSTITUTE(Sheet1!K2084, "Rp", "")</f>
        <v>190080</v>
      </c>
    </row>
    <row r="2085">
      <c r="A2085" s="8" t="s">
        <v>3409</v>
      </c>
      <c r="B2085" s="13" t="str">
        <f>HYPERLINK("https://shopee.co.id/Fat-Panda-Fight-Acne-Pore-Ampoule-20ml-Serum-Anti-Jerawat-Acne-Serum-i.206623679.9684929211", "https://shopee.co.id/Fat-Panda-Fight-Acne-Pore-Ampoule-20ml-Serum-Anti-Jerawat-Acne-Serum-i.206623679.9684929211")</f>
        <v>https://shopee.co.id/Fat-Panda-Fight-Acne-Pore-Ampoule-20ml-Serum-Anti-Jerawat-Acne-Serum-i.206623679.9684929211</v>
      </c>
      <c r="C2085" s="8" t="s">
        <v>2716</v>
      </c>
      <c r="D2085" s="8" t="s">
        <v>2717</v>
      </c>
      <c r="E2085" s="8" t="s">
        <v>12</v>
      </c>
      <c r="F2085" s="8" t="s">
        <v>13</v>
      </c>
      <c r="G2085" s="8" t="s">
        <v>130</v>
      </c>
      <c r="H2085" s="16">
        <v>3.0</v>
      </c>
      <c r="I2085" s="15" t="str">
        <f>SUBSTITUTE(Sheet1!K2085, "Rp", "")</f>
        <v>357000</v>
      </c>
    </row>
    <row r="2086">
      <c r="A2086" s="8" t="s">
        <v>3410</v>
      </c>
      <c r="B2086" s="13" t="str">
        <f>HYPERLINK("https://shopee.co.id/Fat-Panda-Vita-C-Brightening-Ampoule-20ml-Serum-Vitamin-C-Menyamarkan-Flek-Hitam-Bekas-Jerawat-i.206623679.6196207097", "https://shopee.co.id/Fat-Panda-Vita-C-Brightening-Ampoule-20ml-Serum-Vitamin-C-Menyamarkan-Flek-Hitam-Bekas-Jerawat-i.206623679.6196207097")</f>
        <v>https://shopee.co.id/Fat-Panda-Vita-C-Brightening-Ampoule-20ml-Serum-Vitamin-C-Menyamarkan-Flek-Hitam-Bekas-Jerawat-i.206623679.6196207097</v>
      </c>
      <c r="C2086" s="8" t="s">
        <v>2716</v>
      </c>
      <c r="D2086" s="8" t="s">
        <v>2717</v>
      </c>
      <c r="E2086" s="8" t="s">
        <v>12</v>
      </c>
      <c r="F2086" s="8" t="s">
        <v>13</v>
      </c>
      <c r="G2086" s="8" t="s">
        <v>130</v>
      </c>
      <c r="H2086" s="16">
        <v>3.0</v>
      </c>
      <c r="I2086" s="15" t="str">
        <f>SUBSTITUTE(Sheet1!K2086, "Rp", "")</f>
        <v>357000</v>
      </c>
    </row>
    <row r="2087">
      <c r="A2087" s="8" t="s">
        <v>2885</v>
      </c>
      <c r="B2087" s="13" t="str">
        <f>HYPERLINK("https://shopee.co.id/Fresh-Herb-Origin-Serum-Mask-Pack-3pcs-i.238604292.6380344549", "https://shopee.co.id/Fresh-Herb-Origin-Serum-Mask-Pack-3pcs-i.238604292.6380344549")</f>
        <v>https://shopee.co.id/Fresh-Herb-Origin-Serum-Mask-Pack-3pcs-i.238604292.6380344549</v>
      </c>
      <c r="C2087" s="8" t="s">
        <v>344</v>
      </c>
      <c r="D2087" s="8" t="s">
        <v>918</v>
      </c>
      <c r="E2087" s="8" t="s">
        <v>12</v>
      </c>
      <c r="F2087" s="8" t="s">
        <v>13</v>
      </c>
      <c r="G2087" s="8" t="s">
        <v>80</v>
      </c>
      <c r="H2087" s="16">
        <v>3.0</v>
      </c>
      <c r="I2087" s="15" t="str">
        <f>SUBSTITUTE(Sheet1!K2087, "Rp", "")</f>
        <v>920000</v>
      </c>
    </row>
    <row r="2088">
      <c r="A2088" s="8" t="s">
        <v>2764</v>
      </c>
      <c r="B2088" s="13" t="str">
        <f>HYPERLINK("https://shopee.co.id/Frudia-Citrus-Brightening-Serum-FREE-Frudia-Pouch-Garis-Vertikal-i.98124209.1610625876", "https://shopee.co.id/Frudia-Citrus-Brightening-Serum-FREE-Frudia-Pouch-Garis-Vertikal-i.98124209.1610625876")</f>
        <v>https://shopee.co.id/Frudia-Citrus-Brightening-Serum-FREE-Frudia-Pouch-Garis-Vertikal-i.98124209.1610625876</v>
      </c>
      <c r="C2088" s="8" t="s">
        <v>790</v>
      </c>
      <c r="D2088" s="8" t="s">
        <v>791</v>
      </c>
      <c r="E2088" s="8" t="s">
        <v>12</v>
      </c>
      <c r="F2088" s="8" t="s">
        <v>13</v>
      </c>
      <c r="G2088" s="8" t="s">
        <v>85</v>
      </c>
      <c r="H2088" s="16">
        <v>3.0</v>
      </c>
      <c r="I2088" s="15" t="str">
        <f>SUBSTITUTE(Sheet1!K2088, "Rp", "")</f>
        <v>1120000</v>
      </c>
    </row>
    <row r="2089">
      <c r="A2089" s="8" t="s">
        <v>3937</v>
      </c>
      <c r="B2089" s="13" t="str">
        <f>HYPERLINK("https://shopee.co.id/Fruitamin-Serum-With-Vitamin-C-20ml-i.121791179.7913738224", "https://shopee.co.id/Fruitamin-Serum-With-Vitamin-C-20ml-i.121791179.7913738224")</f>
        <v>https://shopee.co.id/Fruitamin-Serum-With-Vitamin-C-20ml-i.121791179.7913738224</v>
      </c>
      <c r="C2089" s="8" t="s">
        <v>3938</v>
      </c>
      <c r="D2089" s="8" t="s">
        <v>1733</v>
      </c>
      <c r="E2089" s="8" t="s">
        <v>12</v>
      </c>
      <c r="F2089" s="8" t="s">
        <v>13</v>
      </c>
      <c r="G2089" s="8" t="s">
        <v>36</v>
      </c>
      <c r="H2089" s="16">
        <v>3.0</v>
      </c>
      <c r="I2089" s="15" t="str">
        <f>SUBSTITUTE(Sheet1!K2089, "Rp", "")</f>
        <v>59345</v>
      </c>
    </row>
    <row r="2090">
      <c r="A2090" s="8" t="s">
        <v>3054</v>
      </c>
      <c r="B2090" s="13" t="str">
        <f>HYPERLINK("https://shopee.co.id/FSS-Hydrate-Hyaluronic-Acid-Serum-Concentrate-30ml-i.825870.1704080274", "https://shopee.co.id/FSS-Hydrate-Hyaluronic-Acid-Serum-Concentrate-30ml-i.825870.1704080274")</f>
        <v>https://shopee.co.id/FSS-Hydrate-Hyaluronic-Acid-Serum-Concentrate-30ml-i.825870.1704080274</v>
      </c>
      <c r="C2090" s="8" t="s">
        <v>2700</v>
      </c>
      <c r="D2090" s="8" t="s">
        <v>1184</v>
      </c>
      <c r="E2090" s="8" t="s">
        <v>12</v>
      </c>
      <c r="F2090" s="8" t="s">
        <v>13</v>
      </c>
      <c r="G2090" s="8" t="s">
        <v>21</v>
      </c>
      <c r="H2090" s="16">
        <v>3.0</v>
      </c>
      <c r="I2090" s="15" t="str">
        <f>SUBSTITUTE(Sheet1!K2090, "Rp", "")</f>
        <v>675000</v>
      </c>
    </row>
    <row r="2091">
      <c r="A2091" s="8" t="s">
        <v>3121</v>
      </c>
      <c r="B2091" s="13" t="str">
        <f>HYPERLINK("https://shopee.co.id/Garnier-Bundle-Sakura-White-Serum-Day-Cream-Night-Cream-i.65323877.8079914969", "https://shopee.co.id/Garnier-Bundle-Sakura-White-Serum-Day-Cream-Night-Cream-i.65323877.8079914969")</f>
        <v>https://shopee.co.id/Garnier-Bundle-Sakura-White-Serum-Day-Cream-Night-Cream-i.65323877.8079914969</v>
      </c>
      <c r="C2091" s="8" t="s">
        <v>74</v>
      </c>
      <c r="D2091" s="8" t="s">
        <v>1600</v>
      </c>
      <c r="E2091" s="8" t="s">
        <v>12</v>
      </c>
      <c r="F2091" s="8" t="s">
        <v>13</v>
      </c>
      <c r="G2091" s="8" t="s">
        <v>296</v>
      </c>
      <c r="H2091" s="16">
        <v>3.0</v>
      </c>
      <c r="I2091" s="15" t="str">
        <f>SUBSTITUTE(Sheet1!K2091, "Rp", "")</f>
        <v>598800</v>
      </c>
    </row>
    <row r="2092">
      <c r="A2092" s="8" t="s">
        <v>3264</v>
      </c>
      <c r="B2092" s="13" t="str">
        <f>HYPERLINK("https://shopee.co.id/Garnier-Light-Complete-Vitamin-C-30x-Booster-Serum-Skin-Care-2-x-30-mL-i.65323877.11519476183", "https://shopee.co.id/Garnier-Light-Complete-Vitamin-C-30x-Booster-Serum-Skin-Care-2-x-30-mL-i.65323877.11519476183")</f>
        <v>https://shopee.co.id/Garnier-Light-Complete-Vitamin-C-30x-Booster-Serum-Skin-Care-2-x-30-mL-i.65323877.11519476183</v>
      </c>
      <c r="C2092" s="8" t="s">
        <v>74</v>
      </c>
      <c r="D2092" s="8" t="s">
        <v>1600</v>
      </c>
      <c r="E2092" s="8" t="s">
        <v>12</v>
      </c>
      <c r="F2092" s="8" t="s">
        <v>13</v>
      </c>
      <c r="G2092" s="8" t="s">
        <v>296</v>
      </c>
      <c r="H2092" s="16">
        <v>3.0</v>
      </c>
      <c r="I2092" s="15" t="str">
        <f>SUBSTITUTE(Sheet1!K2092, "Rp", "")</f>
        <v>462200</v>
      </c>
    </row>
    <row r="2093">
      <c r="A2093" s="8" t="s">
        <v>3941</v>
      </c>
      <c r="B2093" s="13" t="str">
        <f>HYPERLINK("https://shopee.co.id/Garnier-Sakura-White-Hyaluron-30x-Booster-Serum-Skin-Care-Sachet-Untuk-Kulit-Glowing-Dalam-7-Hari--i.65323877.13402815425", "https://shopee.co.id/Garnier-Sakura-White-Hyaluron-30x-Booster-Serum-Skin-Care-Sachet-Untuk-Kulit-Glowing-Dalam-7-Hari--i.65323877.13402815425")</f>
        <v>https://shopee.co.id/Garnier-Sakura-White-Hyaluron-30x-Booster-Serum-Skin-Care-Sachet-Untuk-Kulit-Glowing-Dalam-7-Hari--i.65323877.13402815425</v>
      </c>
      <c r="C2093" s="8" t="s">
        <v>74</v>
      </c>
      <c r="D2093" s="8" t="s">
        <v>1600</v>
      </c>
      <c r="E2093" s="8" t="s">
        <v>12</v>
      </c>
      <c r="F2093" s="8" t="s">
        <v>13</v>
      </c>
      <c r="G2093" s="8" t="s">
        <v>296</v>
      </c>
      <c r="H2093" s="16">
        <v>3.0</v>
      </c>
      <c r="I2093" s="15" t="str">
        <f>SUBSTITUTE(Sheet1!K2093, "Rp", "")</f>
        <v>58200</v>
      </c>
    </row>
    <row r="2094">
      <c r="A2094" s="8" t="s">
        <v>3551</v>
      </c>
      <c r="B2094" s="13" t="str">
        <f>HYPERLINK("https://shopee.co.id/Garnier-Sakura-White-Pinkish-Radiance-Essence-Lotion-Skin-Care-120mL-i.65323877.8779914880", "https://shopee.co.id/Garnier-Sakura-White-Pinkish-Radiance-Essence-Lotion-Skin-Care-120mL-i.65323877.8779914880")</f>
        <v>https://shopee.co.id/Garnier-Sakura-White-Pinkish-Radiance-Essence-Lotion-Skin-Care-120mL-i.65323877.8779914880</v>
      </c>
      <c r="C2094" s="8" t="s">
        <v>74</v>
      </c>
      <c r="D2094" s="8" t="s">
        <v>1600</v>
      </c>
      <c r="E2094" s="8" t="s">
        <v>12</v>
      </c>
      <c r="F2094" s="8" t="s">
        <v>13</v>
      </c>
      <c r="G2094" s="8" t="s">
        <v>296</v>
      </c>
      <c r="H2094" s="16">
        <v>3.0</v>
      </c>
      <c r="I2094" s="15" t="str">
        <f>SUBSTITUTE(Sheet1!K2094, "Rp", "")</f>
        <v>252400</v>
      </c>
    </row>
    <row r="2095">
      <c r="A2095" s="8" t="s">
        <v>3603</v>
      </c>
      <c r="B2095" s="13" t="str">
        <f>HYPERLINK("https://shopee.co.id/Glass-Skin-Serum-for-Acne-and-Oily-Skin-Marwah-Skin-Care-i.357101711.5579719969", "https://shopee.co.id/Glass-Skin-Serum-for-Acne-and-Oily-Skin-Marwah-Skin-Care-i.357101711.5579719969")</f>
        <v>https://shopee.co.id/Glass-Skin-Serum-for-Acne-and-Oily-Skin-Marwah-Skin-Care-i.357101711.5579719969</v>
      </c>
      <c r="C2095" s="8" t="s">
        <v>2249</v>
      </c>
      <c r="D2095" s="8" t="s">
        <v>2250</v>
      </c>
      <c r="E2095" s="8" t="s">
        <v>12</v>
      </c>
      <c r="F2095" s="8" t="s">
        <v>13</v>
      </c>
      <c r="G2095" s="8" t="s">
        <v>370</v>
      </c>
      <c r="H2095" s="16">
        <v>3.0</v>
      </c>
      <c r="I2095" s="15" t="str">
        <f>SUBSTITUTE(Sheet1!K2095, "Rp", "")</f>
        <v>225000</v>
      </c>
    </row>
    <row r="2096">
      <c r="A2096" s="8" t="s">
        <v>3101</v>
      </c>
      <c r="B2096" s="13" t="str">
        <f>HYPERLINK("https://shopee.co.id/GLOWINC-POTION-GENTLE-Soothing-Serum-i.68111.10333685235", "https://shopee.co.id/GLOWINC-POTION-GENTLE-Soothing-Serum-i.68111.10333685235")</f>
        <v>https://shopee.co.id/GLOWINC-POTION-GENTLE-Soothing-Serum-i.68111.10333685235</v>
      </c>
      <c r="C2096" s="8" t="s">
        <v>1898</v>
      </c>
      <c r="D2096" s="8" t="s">
        <v>441</v>
      </c>
      <c r="E2096" s="8" t="s">
        <v>12</v>
      </c>
      <c r="F2096" s="8" t="s">
        <v>13</v>
      </c>
      <c r="G2096" s="8" t="s">
        <v>130</v>
      </c>
      <c r="H2096" s="16">
        <v>3.0</v>
      </c>
      <c r="I2096" s="15" t="str">
        <f>SUBSTITUTE(Sheet1!K2096, "Rp", "")</f>
        <v>267000</v>
      </c>
    </row>
    <row r="2097">
      <c r="A2097" s="8" t="s">
        <v>2900</v>
      </c>
      <c r="B2097" s="13" t="str">
        <f>HYPERLINK("https://shopee.co.id/Glowlabs-Ultimate-Team-Gentle-Glow-Essence-Probiome-Acne-Serum-Peptide-Moist--i.336869851.8427144871", "https://shopee.co.id/Glowlabs-Ultimate-Team-Gentle-Glow-Essence-Probiome-Acne-Serum-Peptide-Moist--i.336869851.8427144871")</f>
        <v>https://shopee.co.id/Glowlabs-Ultimate-Team-Gentle-Glow-Essence-Probiome-Acne-Serum-Peptide-Moist--i.336869851.8427144871</v>
      </c>
      <c r="C2097" s="8" t="s">
        <v>407</v>
      </c>
      <c r="D2097" s="8" t="s">
        <v>408</v>
      </c>
      <c r="E2097" s="8" t="s">
        <v>12</v>
      </c>
      <c r="F2097" s="8" t="s">
        <v>13</v>
      </c>
      <c r="G2097" s="8" t="s">
        <v>409</v>
      </c>
      <c r="H2097" s="16">
        <v>3.0</v>
      </c>
      <c r="I2097" s="15" t="str">
        <f>SUBSTITUTE(Sheet1!K2097, "Rp", "")</f>
        <v>897600</v>
      </c>
    </row>
    <row r="2098">
      <c r="A2098" s="8" t="s">
        <v>3372</v>
      </c>
      <c r="B2098" s="13" t="str">
        <f>HYPERLINK("https://shopee.co.id/Hada-Labo-Gokujyun-Alpha-Essence-30-gr-i.78713320.7714514624", "https://shopee.co.id/Hada-Labo-Gokujyun-Alpha-Essence-30-gr-i.78713320.7714514624")</f>
        <v>https://shopee.co.id/Hada-Labo-Gokujyun-Alpha-Essence-30-gr-i.78713320.7714514624</v>
      </c>
      <c r="C2098" s="8" t="s">
        <v>2090</v>
      </c>
      <c r="D2098" s="8" t="s">
        <v>831</v>
      </c>
      <c r="E2098" s="8" t="s">
        <v>12</v>
      </c>
      <c r="F2098" s="8" t="s">
        <v>13</v>
      </c>
      <c r="G2098" s="8" t="s">
        <v>61</v>
      </c>
      <c r="H2098" s="16">
        <v>3.0</v>
      </c>
      <c r="I2098" s="15" t="str">
        <f>SUBSTITUTE(Sheet1!K2098, "Rp", "")</f>
        <v>377400</v>
      </c>
    </row>
    <row r="2099">
      <c r="A2099" s="8" t="s">
        <v>3401</v>
      </c>
      <c r="B2099" s="13" t="str">
        <f>HYPERLINK("https://shopee.co.id/Hada-Labo-Gokujyun-Alpha-Essence-30g-i.10689.115636", "https://shopee.co.id/Hada-Labo-Gokujyun-Alpha-Essence-30g-i.10689.115636")</f>
        <v>https://shopee.co.id/Hada-Labo-Gokujyun-Alpha-Essence-30g-i.10689.115636</v>
      </c>
      <c r="C2099" s="8" t="s">
        <v>2090</v>
      </c>
      <c r="D2099" s="8" t="s">
        <v>745</v>
      </c>
      <c r="E2099" s="8" t="s">
        <v>12</v>
      </c>
      <c r="F2099" s="8" t="s">
        <v>13</v>
      </c>
      <c r="G2099" s="8" t="s">
        <v>61</v>
      </c>
      <c r="H2099" s="16">
        <v>3.0</v>
      </c>
      <c r="I2099" s="15" t="str">
        <f>SUBSTITUTE(Sheet1!K2099, "Rp", "")</f>
        <v>362500</v>
      </c>
    </row>
    <row r="2100">
      <c r="A2100" s="8" t="s">
        <v>3436</v>
      </c>
      <c r="B2100" s="13" t="str">
        <f>HYPERLINK("https://shopee.co.id/Hale-Brightening-Potion-15ml-i.825870.11910282130", "https://shopee.co.id/Hale-Brightening-Potion-15ml-i.825870.11910282130")</f>
        <v>https://shopee.co.id/Hale-Brightening-Potion-15ml-i.825870.11910282130</v>
      </c>
      <c r="C2100" s="8" t="s">
        <v>1393</v>
      </c>
      <c r="D2100" s="8" t="s">
        <v>1184</v>
      </c>
      <c r="E2100" s="8" t="s">
        <v>12</v>
      </c>
      <c r="F2100" s="8" t="s">
        <v>13</v>
      </c>
      <c r="G2100" s="8" t="s">
        <v>21</v>
      </c>
      <c r="H2100" s="16">
        <v>3.0</v>
      </c>
      <c r="I2100" s="15" t="str">
        <f>SUBSTITUTE(Sheet1!K2100, "Rp", "")</f>
        <v>327000</v>
      </c>
    </row>
    <row r="2101">
      <c r="A2101" s="8" t="s">
        <v>3688</v>
      </c>
      <c r="B2101" s="13" t="str">
        <f>HYPERLINK("https://shopee.co.id/Hanasui-Serum-25-ml-417908--i.16735262.3765354714", "https://shopee.co.id/Hanasui-Serum-25-ml-417908--i.16735262.3765354714")</f>
        <v>https://shopee.co.id/Hanasui-Serum-25-ml-417908--i.16735262.3765354714</v>
      </c>
      <c r="C2101" s="8" t="s">
        <v>784</v>
      </c>
      <c r="D2101" s="8" t="s">
        <v>3598</v>
      </c>
      <c r="E2101" s="8" t="s">
        <v>12</v>
      </c>
      <c r="F2101" s="8" t="s">
        <v>13</v>
      </c>
      <c r="G2101" s="8" t="s">
        <v>36</v>
      </c>
      <c r="H2101" s="16">
        <v>3.0</v>
      </c>
      <c r="I2101" s="15" t="str">
        <f>SUBSTITUTE(Sheet1!K2101, "Rp", "")</f>
        <v>185250</v>
      </c>
    </row>
    <row r="2102">
      <c r="A2102" s="8" t="s">
        <v>3646</v>
      </c>
      <c r="B2102" s="13" t="str">
        <f>HYPERLINK("https://shopee.co.id/HAYEJIN-Blessing-of-Sprout-Enriched-Serum10ml-i.240712269.7668222502", "https://shopee.co.id/HAYEJIN-Blessing-of-Sprout-Enriched-Serum10ml-i.240712269.7668222502")</f>
        <v>https://shopee.co.id/HAYEJIN-Blessing-of-Sprout-Enriched-Serum10ml-i.240712269.7668222502</v>
      </c>
      <c r="C2102" s="8" t="s">
        <v>761</v>
      </c>
      <c r="D2102" s="8" t="s">
        <v>762</v>
      </c>
      <c r="E2102" s="8" t="s">
        <v>12</v>
      </c>
      <c r="F2102" s="8" t="s">
        <v>13</v>
      </c>
      <c r="G2102" s="8" t="s">
        <v>98</v>
      </c>
      <c r="H2102" s="16">
        <v>3.0</v>
      </c>
      <c r="I2102" s="15" t="str">
        <f>SUBSTITUTE(Sheet1!K2102, "Rp", "")</f>
        <v>203550</v>
      </c>
    </row>
    <row r="2103">
      <c r="A2103" s="8" t="s">
        <v>2319</v>
      </c>
      <c r="B2103" s="13" t="str">
        <f>HYPERLINK("https://shopee.co.id/HISTOIRE-NATURELLE-Dream-Skin-Bundle-i.315746431.5683963050", "https://shopee.co.id/HISTOIRE-NATURELLE-Dream-Skin-Bundle-i.315746431.5683963050")</f>
        <v>https://shopee.co.id/HISTOIRE-NATURELLE-Dream-Skin-Bundle-i.315746431.5683963050</v>
      </c>
      <c r="C2103" s="8" t="s">
        <v>1854</v>
      </c>
      <c r="D2103" s="8" t="s">
        <v>1855</v>
      </c>
      <c r="E2103" s="8" t="s">
        <v>12</v>
      </c>
      <c r="F2103" s="8" t="s">
        <v>13</v>
      </c>
      <c r="G2103" s="8" t="s">
        <v>130</v>
      </c>
      <c r="H2103" s="16">
        <v>3.0</v>
      </c>
      <c r="I2103" s="15" t="str">
        <f>SUBSTITUTE(Sheet1!K2103, "Rp", "")</f>
        <v>2219500</v>
      </c>
    </row>
    <row r="2104">
      <c r="A2104" s="8" t="s">
        <v>2830</v>
      </c>
      <c r="B2104" s="13" t="str">
        <f>HYPERLINK("https://shopee.co.id/Holika-Holika-Good-Cera-Super-Ceramide-Cream-In-Serum-NEW--i.18856010.4679775536", "https://shopee.co.id/Holika-Holika-Good-Cera-Super-Ceramide-Cream-In-Serum-NEW--i.18856010.4679775536")</f>
        <v>https://shopee.co.id/Holika-Holika-Good-Cera-Super-Ceramide-Cream-In-Serum-NEW--i.18856010.4679775536</v>
      </c>
      <c r="C2104" s="8" t="s">
        <v>2265</v>
      </c>
      <c r="D2104" s="8" t="s">
        <v>2266</v>
      </c>
      <c r="E2104" s="8" t="s">
        <v>12</v>
      </c>
      <c r="F2104" s="8" t="s">
        <v>13</v>
      </c>
      <c r="G2104" s="8" t="s">
        <v>21</v>
      </c>
      <c r="H2104" s="16">
        <v>3.0</v>
      </c>
      <c r="I2104" s="15" t="str">
        <f>SUBSTITUTE(Sheet1!K2104, "Rp", "")</f>
        <v>1008599</v>
      </c>
    </row>
    <row r="2105">
      <c r="A2105" s="8" t="s">
        <v>3028</v>
      </c>
      <c r="B2105" s="13" t="str">
        <f>HYPERLINK("https://shopee.co.id/Holika-Holika-Honey-Royalactin-Serum-Mist-i.18856010.9844480919", "https://shopee.co.id/Holika-Holika-Honey-Royalactin-Serum-Mist-i.18856010.9844480919")</f>
        <v>https://shopee.co.id/Holika-Holika-Honey-Royalactin-Serum-Mist-i.18856010.9844480919</v>
      </c>
      <c r="C2105" s="8" t="s">
        <v>2265</v>
      </c>
      <c r="D2105" s="8" t="s">
        <v>2266</v>
      </c>
      <c r="E2105" s="8" t="s">
        <v>12</v>
      </c>
      <c r="F2105" s="8" t="s">
        <v>13</v>
      </c>
      <c r="G2105" s="8" t="s">
        <v>21</v>
      </c>
      <c r="H2105" s="16">
        <v>3.0</v>
      </c>
      <c r="I2105" s="15" t="str">
        <f>SUBSTITUTE(Sheet1!K2105, "Rp", "")</f>
        <v>713000</v>
      </c>
    </row>
    <row r="2106">
      <c r="A2106" s="8" t="s">
        <v>3294</v>
      </c>
      <c r="B2106" s="13" t="str">
        <f>HYPERLINK("https://shopee.co.id/Humphrey-Mugwort-Anti-Acne-Package-i.83349.9673537099", "https://shopee.co.id/Humphrey-Mugwort-Anti-Acne-Package-i.83349.9673537099")</f>
        <v>https://shopee.co.id/Humphrey-Mugwort-Anti-Acne-Package-i.83349.9673537099</v>
      </c>
      <c r="C2106" s="8" t="s">
        <v>1832</v>
      </c>
      <c r="D2106" s="8" t="s">
        <v>1833</v>
      </c>
      <c r="E2106" s="8" t="s">
        <v>12</v>
      </c>
      <c r="F2106" s="8" t="s">
        <v>13</v>
      </c>
      <c r="G2106" s="8" t="s">
        <v>21</v>
      </c>
      <c r="H2106" s="16">
        <v>3.0</v>
      </c>
      <c r="I2106" s="15" t="str">
        <f>SUBSTITUTE(Sheet1!K2106, "Rp", "")</f>
        <v>435000</v>
      </c>
    </row>
    <row r="2107">
      <c r="A2107" s="8" t="s">
        <v>3290</v>
      </c>
      <c r="B2107" s="13" t="str">
        <f>HYPERLINK("https://shopee.co.id/Hydra-Glow-Plumping-Supple-Essence-50ml-Menghidrasi-Kulit-Meredakan-Kemerahan-Akibat-Iritasi-Ringan-i.268493582.5384548520", "https://shopee.co.id/Hydra-Glow-Plumping-Supple-Essence-50ml-Menghidrasi-Kulit-Meredakan-Kemerahan-Akibat-Iritasi-Ringan-i.268493582.5384548520")</f>
        <v>https://shopee.co.id/Hydra-Glow-Plumping-Supple-Essence-50ml-Menghidrasi-Kulit-Meredakan-Kemerahan-Akibat-Iritasi-Ringan-i.268493582.5384548520</v>
      </c>
      <c r="C2107" s="8" t="s">
        <v>1814</v>
      </c>
      <c r="D2107" s="8" t="s">
        <v>2203</v>
      </c>
      <c r="E2107" s="8" t="s">
        <v>12</v>
      </c>
      <c r="F2107" s="8" t="s">
        <v>13</v>
      </c>
      <c r="G2107" s="8" t="s">
        <v>2204</v>
      </c>
      <c r="H2107" s="16">
        <v>3.0</v>
      </c>
      <c r="I2107" s="15" t="str">
        <f>SUBSTITUTE(Sheet1!K2107, "Rp", "")</f>
        <v>438000</v>
      </c>
    </row>
    <row r="2108">
      <c r="A2108" s="8" t="s">
        <v>2883</v>
      </c>
      <c r="B2108" s="13" t="str">
        <f>HYPERLINK("https://shopee.co.id/I-m-From-Honey-Serum-Edit-by-Sociolla-i.224957239.9769874057", "https://shopee.co.id/I-m-From-Honey-Serum-Edit-by-Sociolla-i.224957239.9769874057")</f>
        <v>https://shopee.co.id/I-m-From-Honey-Serum-Edit-by-Sociolla-i.224957239.9769874057</v>
      </c>
      <c r="C2108" s="8" t="s">
        <v>1544</v>
      </c>
      <c r="D2108" s="8" t="s">
        <v>492</v>
      </c>
      <c r="E2108" s="8" t="s">
        <v>12</v>
      </c>
      <c r="F2108" s="8" t="s">
        <v>13</v>
      </c>
      <c r="G2108" s="8" t="s">
        <v>21</v>
      </c>
      <c r="H2108" s="16">
        <v>3.0</v>
      </c>
      <c r="I2108" s="15" t="str">
        <f>SUBSTITUTE(Sheet1!K2108, "Rp", "")</f>
        <v>924000</v>
      </c>
    </row>
    <row r="2109">
      <c r="A2109" s="8" t="s">
        <v>3514</v>
      </c>
      <c r="B2109" s="13" t="str">
        <f>HYPERLINK("https://shopee.co.id/iUNIK-Beta-Glucan-Power-Moisture-Serum-15ml-i.270765534.11407485238", "https://shopee.co.id/iUNIK-Beta-Glucan-Power-Moisture-Serum-15ml-i.270765534.11407485238")</f>
        <v>https://shopee.co.id/iUNIK-Beta-Glucan-Power-Moisture-Serum-15ml-i.270765534.11407485238</v>
      </c>
      <c r="C2109" s="8" t="s">
        <v>1658</v>
      </c>
      <c r="D2109" s="8" t="s">
        <v>1659</v>
      </c>
      <c r="E2109" s="8" t="s">
        <v>12</v>
      </c>
      <c r="F2109" s="8" t="s">
        <v>13</v>
      </c>
      <c r="G2109" s="8" t="s">
        <v>21</v>
      </c>
      <c r="H2109" s="16">
        <v>3.0</v>
      </c>
      <c r="I2109" s="15" t="str">
        <f>SUBSTITUTE(Sheet1!K2109, "Rp", "")</f>
        <v>280000</v>
      </c>
    </row>
    <row r="2110">
      <c r="A2110" s="8" t="s">
        <v>3379</v>
      </c>
      <c r="B2110" s="13" t="str">
        <f>HYPERLINK("https://shopee.co.id/J-GLOW-Luxury-Acne-Serum-Membantu-Merawat-Kulit-Berjerawat-Dapat-Menjaga-Kelembaban-Kulit-30ml-i.165212611.5546826033", "https://shopee.co.id/J-GLOW-Luxury-Acne-Serum-Membantu-Merawat-Kulit-Berjerawat-Dapat-Menjaga-Kelembaban-Kulit-30ml-i.165212611.5546826033")</f>
        <v>https://shopee.co.id/J-GLOW-Luxury-Acne-Serum-Membantu-Merawat-Kulit-Berjerawat-Dapat-Menjaga-Kelembaban-Kulit-30ml-i.165212611.5546826033</v>
      </c>
      <c r="C2110" s="8" t="s">
        <v>1553</v>
      </c>
      <c r="D2110" s="8" t="s">
        <v>1554</v>
      </c>
      <c r="E2110" s="8" t="s">
        <v>12</v>
      </c>
      <c r="F2110" s="8" t="s">
        <v>13</v>
      </c>
      <c r="G2110" s="8" t="s">
        <v>241</v>
      </c>
      <c r="H2110" s="16">
        <v>3.0</v>
      </c>
      <c r="I2110" s="15" t="str">
        <f>SUBSTITUTE(Sheet1!K2110, "Rp", "")</f>
        <v>375000</v>
      </c>
    </row>
    <row r="2111">
      <c r="A2111" s="8" t="s">
        <v>1472</v>
      </c>
      <c r="B2111" s="13" t="str">
        <f>HYPERLINK("https://shopee.co.id/KANEBO-Lift-Serum-Kit-i.169111593.5229146798", "https://shopee.co.id/KANEBO-Lift-Serum-Kit-i.169111593.5229146798")</f>
        <v>https://shopee.co.id/KANEBO-Lift-Serum-Kit-i.169111593.5229146798</v>
      </c>
      <c r="C2111" s="8" t="s">
        <v>1473</v>
      </c>
      <c r="D2111" s="8" t="s">
        <v>1474</v>
      </c>
      <c r="E2111" s="8" t="s">
        <v>12</v>
      </c>
      <c r="F2111" s="8" t="s">
        <v>13</v>
      </c>
      <c r="G2111" s="8" t="s">
        <v>532</v>
      </c>
      <c r="H2111" s="16">
        <v>3.0</v>
      </c>
      <c r="I2111" s="15" t="str">
        <f>SUBSTITUTE(Sheet1!K2111, "Rp", "")</f>
        <v>7950000</v>
      </c>
    </row>
    <row r="2112">
      <c r="A2112" s="8" t="s">
        <v>3358</v>
      </c>
      <c r="B2112" s="13" t="str">
        <f>HYPERLINK("https://shopee.co.id/Keaj-Beaute-Glow-Up-Serum-i.324866227.8952742008", "https://shopee.co.id/Keaj-Beaute-Glow-Up-Serum-i.324866227.8952742008")</f>
        <v>https://shopee.co.id/Keaj-Beaute-Glow-Up-Serum-i.324866227.8952742008</v>
      </c>
      <c r="C2112" s="8" t="s">
        <v>3359</v>
      </c>
      <c r="D2112" s="8" t="s">
        <v>3360</v>
      </c>
      <c r="E2112" s="8" t="s">
        <v>12</v>
      </c>
      <c r="F2112" s="8" t="s">
        <v>13</v>
      </c>
      <c r="G2112" s="8" t="s">
        <v>2690</v>
      </c>
      <c r="H2112" s="16">
        <v>3.0</v>
      </c>
      <c r="I2112" s="15" t="str">
        <f>SUBSTITUTE(Sheet1!K2112, "Rp", "")</f>
        <v>387000</v>
      </c>
    </row>
    <row r="2113">
      <c r="A2113" s="8" t="s">
        <v>2075</v>
      </c>
      <c r="B2113" s="13" t="str">
        <f>HYPERLINK("https://shopee.co.id/L-Occitane-Reine-Blanche-Whitening-Rich-Cream-50-mL--i.88079439.1480571620", "https://shopee.co.id/L-Occitane-Reine-Blanche-Whitening-Rich-Cream-50-mL--i.88079439.1480571620")</f>
        <v>https://shopee.co.id/L-Occitane-Reine-Blanche-Whitening-Rich-Cream-50-mL--i.88079439.1480571620</v>
      </c>
      <c r="C2113" s="8" t="s">
        <v>579</v>
      </c>
      <c r="D2113" s="8" t="s">
        <v>580</v>
      </c>
      <c r="E2113" s="8" t="s">
        <v>12</v>
      </c>
      <c r="F2113" s="8" t="s">
        <v>13</v>
      </c>
      <c r="G2113" s="8" t="s">
        <v>532</v>
      </c>
      <c r="H2113" s="16">
        <v>3.0</v>
      </c>
      <c r="I2113" s="15" t="str">
        <f>SUBSTITUTE(Sheet1!K2113, "Rp", "")</f>
        <v>3150000</v>
      </c>
    </row>
    <row r="2114">
      <c r="A2114" s="8" t="s">
        <v>1990</v>
      </c>
      <c r="B2114" s="13" t="str">
        <f>HYPERLINK("https://shopee.co.id/L-Occitane-Immortelle-Precious-Serum-i.88079439.2814476314", "https://shopee.co.id/L-Occitane-Immortelle-Precious-Serum-i.88079439.2814476314")</f>
        <v>https://shopee.co.id/L-Occitane-Immortelle-Precious-Serum-i.88079439.2814476314</v>
      </c>
      <c r="C2114" s="8" t="s">
        <v>579</v>
      </c>
      <c r="D2114" s="8" t="s">
        <v>580</v>
      </c>
      <c r="E2114" s="8" t="s">
        <v>12</v>
      </c>
      <c r="F2114" s="8" t="s">
        <v>13</v>
      </c>
      <c r="G2114" s="8" t="s">
        <v>532</v>
      </c>
      <c r="H2114" s="16">
        <v>3.0</v>
      </c>
      <c r="I2114" s="15" t="str">
        <f>SUBSTITUTE(Sheet1!K2114, "Rp", "")</f>
        <v>3525000</v>
      </c>
    </row>
    <row r="2115">
      <c r="A2115" s="8" t="s">
        <v>3089</v>
      </c>
      <c r="B2115" s="13" t="str">
        <f>HYPERLINK("https://shopee.co.id/Lacoco-Hydrating-Divine-Essence-50ml-i.825870.2142603267", "https://shopee.co.id/Lacoco-Hydrating-Divine-Essence-50ml-i.825870.2142603267")</f>
        <v>https://shopee.co.id/Lacoco-Hydrating-Divine-Essence-50ml-i.825870.2142603267</v>
      </c>
      <c r="C2115" s="8" t="s">
        <v>501</v>
      </c>
      <c r="D2115" s="8" t="s">
        <v>1184</v>
      </c>
      <c r="E2115" s="8" t="s">
        <v>12</v>
      </c>
      <c r="F2115" s="8" t="s">
        <v>13</v>
      </c>
      <c r="G2115" s="8" t="s">
        <v>21</v>
      </c>
      <c r="H2115" s="16">
        <v>3.0</v>
      </c>
      <c r="I2115" s="15" t="str">
        <f>SUBSTITUTE(Sheet1!K2115, "Rp", "")</f>
        <v>637500</v>
      </c>
    </row>
    <row r="2116">
      <c r="A2116" s="8" t="s">
        <v>3295</v>
      </c>
      <c r="B2116" s="13" t="str">
        <f>HYPERLINK("https://shopee.co.id/Lokos-me-Pearl-Serum-With-Beads-i.5109240.5161874344", "https://shopee.co.id/Lokos-me-Pearl-Serum-With-Beads-i.5109240.5161874344")</f>
        <v>https://shopee.co.id/Lokos-me-Pearl-Serum-With-Beads-i.5109240.5161874344</v>
      </c>
      <c r="C2116" s="8" t="s">
        <v>3296</v>
      </c>
      <c r="D2116" s="8" t="s">
        <v>3297</v>
      </c>
      <c r="E2116" s="8" t="s">
        <v>12</v>
      </c>
      <c r="F2116" s="8" t="s">
        <v>13</v>
      </c>
      <c r="G2116" s="8" t="s">
        <v>1130</v>
      </c>
      <c r="H2116" s="16">
        <v>3.0</v>
      </c>
      <c r="I2116" s="15" t="str">
        <f>SUBSTITUTE(Sheet1!K2116, "Rp", "")</f>
        <v>435000</v>
      </c>
    </row>
    <row r="2117">
      <c r="A2117" s="8" t="s">
        <v>1945</v>
      </c>
      <c r="B2117" s="13" t="str">
        <f>HYPERLINK("https://shopee.co.id/Maharis-Skin-Care-Sublime-Serum-30ml-i.199236456.5913177317", "https://shopee.co.id/Maharis-Skin-Care-Sublime-Serum-30ml-i.199236456.5913177317")</f>
        <v>https://shopee.co.id/Maharis-Skin-Care-Sublime-Serum-30ml-i.199236456.5913177317</v>
      </c>
      <c r="C2117" s="8" t="s">
        <v>1946</v>
      </c>
      <c r="D2117" s="8" t="s">
        <v>1947</v>
      </c>
      <c r="E2117" s="8" t="s">
        <v>12</v>
      </c>
      <c r="F2117" s="8" t="s">
        <v>13</v>
      </c>
      <c r="G2117" s="8" t="s">
        <v>98</v>
      </c>
      <c r="H2117" s="16">
        <v>3.0</v>
      </c>
      <c r="I2117" s="15" t="str">
        <f>SUBSTITUTE(Sheet1!K2117, "Rp", "")</f>
        <v>3750000</v>
      </c>
    </row>
    <row r="2118">
      <c r="A2118" s="8" t="s">
        <v>3552</v>
      </c>
      <c r="B2118" s="13" t="str">
        <f>HYPERLINK("https://shopee.co.id/Make-Over-Hydration-Serum-33-ml-i.186214521.7531340349", "https://shopee.co.id/Make-Over-Hydration-Serum-33-ml-i.186214521.7531340349")</f>
        <v>https://shopee.co.id/Make-Over-Hydration-Serum-33-ml-i.186214521.7531340349</v>
      </c>
      <c r="C2118" s="8" t="s">
        <v>290</v>
      </c>
      <c r="D2118" s="8" t="s">
        <v>2293</v>
      </c>
      <c r="E2118" s="8" t="s">
        <v>12</v>
      </c>
      <c r="F2118" s="8" t="s">
        <v>13</v>
      </c>
      <c r="G2118" s="8" t="s">
        <v>61</v>
      </c>
      <c r="H2118" s="16">
        <v>3.0</v>
      </c>
      <c r="I2118" s="15" t="str">
        <f>SUBSTITUTE(Sheet1!K2118, "Rp", "")</f>
        <v>252000</v>
      </c>
    </row>
    <row r="2119">
      <c r="A2119" s="8" t="s">
        <v>3238</v>
      </c>
      <c r="B2119" s="13" t="str">
        <f>HYPERLINK("https://shopee.co.id/MS-GLOW-Deep-Treatment-Essence-Original-DTE-MS-Glow-Ori-Essence-Pemutih-Wajah-MS-Glow-BPOM-i.287975332.11834417810", "https://shopee.co.id/MS-GLOW-Deep-Treatment-Essence-Original-DTE-MS-Glow-Ori-Essence-Pemutih-Wajah-MS-Glow-BPOM-i.287975332.11834417810")</f>
        <v>https://shopee.co.id/MS-GLOW-Deep-Treatment-Essence-Original-DTE-MS-Glow-Ori-Essence-Pemutih-Wajah-MS-Glow-BPOM-i.287975332.11834417810</v>
      </c>
      <c r="C2119" s="8" t="s">
        <v>96</v>
      </c>
      <c r="D2119" s="8" t="s">
        <v>349</v>
      </c>
      <c r="E2119" s="8" t="s">
        <v>12</v>
      </c>
      <c r="F2119" s="8" t="s">
        <v>13</v>
      </c>
      <c r="G2119" s="8" t="s">
        <v>350</v>
      </c>
      <c r="H2119" s="16">
        <v>3.0</v>
      </c>
      <c r="I2119" s="15" t="str">
        <f>SUBSTITUTE(Sheet1!K2119, "Rp", "")</f>
        <v>495000</v>
      </c>
    </row>
    <row r="2120">
      <c r="A2120" s="8" t="s">
        <v>2919</v>
      </c>
      <c r="B2120" s="13" t="str">
        <f>HYPERLINK("https://shopee.co.id/MS-Glow-Ultimate-Series-Original-MSglow-Official-Beauty-Pencerah-Wajah-Penghilang-Bekas-Jerawat-BPOM-i.287975332.9674293537", "https://shopee.co.id/MS-Glow-Ultimate-Series-Original-MSglow-Official-Beauty-Pencerah-Wajah-Penghilang-Bekas-Jerawat-BPOM-i.287975332.9674293537")</f>
        <v>https://shopee.co.id/MS-Glow-Ultimate-Series-Original-MSglow-Official-Beauty-Pencerah-Wajah-Penghilang-Bekas-Jerawat-BPOM-i.287975332.9674293537</v>
      </c>
      <c r="C2120" s="8" t="s">
        <v>96</v>
      </c>
      <c r="D2120" s="8" t="s">
        <v>349</v>
      </c>
      <c r="E2120" s="8" t="s">
        <v>12</v>
      </c>
      <c r="F2120" s="8" t="s">
        <v>13</v>
      </c>
      <c r="G2120" s="8" t="s">
        <v>350</v>
      </c>
      <c r="H2120" s="16">
        <v>3.0</v>
      </c>
      <c r="I2120" s="15" t="str">
        <f>SUBSTITUTE(Sheet1!K2120, "Rp", "")</f>
        <v>870000</v>
      </c>
    </row>
    <row r="2121">
      <c r="A2121" s="8" t="s">
        <v>3031</v>
      </c>
      <c r="B2121" s="13" t="str">
        <f>HYPERLINK("https://shopee.co.id/MSBB-Kaley-Pineapple-c-Lightening-essence-serum-i.288588702.9079944204", "https://shopee.co.id/MSBB-Kaley-Pineapple-c-Lightening-essence-serum-i.288588702.9079944204")</f>
        <v>https://shopee.co.id/MSBB-Kaley-Pineapple-c-Lightening-essence-serum-i.288588702.9079944204</v>
      </c>
      <c r="C2121" s="8" t="s">
        <v>78</v>
      </c>
      <c r="D2121" s="8" t="s">
        <v>79</v>
      </c>
      <c r="E2121" s="8" t="s">
        <v>12</v>
      </c>
      <c r="F2121" s="8" t="s">
        <v>13</v>
      </c>
      <c r="G2121" s="8" t="s">
        <v>80</v>
      </c>
      <c r="H2121" s="16">
        <v>3.0</v>
      </c>
      <c r="I2121" s="15" t="str">
        <f>SUBSTITUTE(Sheet1!K2121, "Rp", "")</f>
        <v>705000</v>
      </c>
    </row>
    <row r="2122">
      <c r="A2122" s="8" t="s">
        <v>3506</v>
      </c>
      <c r="B2122" s="13" t="str">
        <f>HYPERLINK("https://shopee.co.id/MSBB-Purivera-Blue-Grapeseed-Serum-Oil-Anti-Acne-Jerawat-Bakuchiol-As-Salicylic-Acid-2--i.288588702.2974013098", "https://shopee.co.id/MSBB-Purivera-Blue-Grapeseed-Serum-Oil-Anti-Acne-Jerawat-Bakuchiol-As-Salicylic-Acid-2--i.288588702.2974013098")</f>
        <v>https://shopee.co.id/MSBB-Purivera-Blue-Grapeseed-Serum-Oil-Anti-Acne-Jerawat-Bakuchiol-As-Salicylic-Acid-2--i.288588702.2974013098</v>
      </c>
      <c r="C2122" s="8" t="s">
        <v>428</v>
      </c>
      <c r="D2122" s="8" t="s">
        <v>79</v>
      </c>
      <c r="E2122" s="8" t="s">
        <v>12</v>
      </c>
      <c r="F2122" s="8" t="s">
        <v>13</v>
      </c>
      <c r="G2122" s="8" t="s">
        <v>80</v>
      </c>
      <c r="H2122" s="16">
        <v>3.0</v>
      </c>
      <c r="I2122" s="15" t="str">
        <f>SUBSTITUTE(Sheet1!K2122, "Rp", "")</f>
        <v>284900</v>
      </c>
    </row>
    <row r="2123">
      <c r="A2123" s="8" t="s">
        <v>3356</v>
      </c>
      <c r="B2123" s="13" t="str">
        <f>HYPERLINK("https://shopee.co.id/MSBB-Purivera-Fermented-Red-Serum-Oil-Whitening-Glowing-Vitamin-C-Kojic-Acid-i.288588702.9273142141", "https://shopee.co.id/MSBB-Purivera-Fermented-Red-Serum-Oil-Whitening-Glowing-Vitamin-C-Kojic-Acid-i.288588702.9273142141")</f>
        <v>https://shopee.co.id/MSBB-Purivera-Fermented-Red-Serum-Oil-Whitening-Glowing-Vitamin-C-Kojic-Acid-i.288588702.9273142141</v>
      </c>
      <c r="C2123" s="8" t="s">
        <v>428</v>
      </c>
      <c r="D2123" s="8" t="s">
        <v>79</v>
      </c>
      <c r="E2123" s="8" t="s">
        <v>12</v>
      </c>
      <c r="F2123" s="8" t="s">
        <v>13</v>
      </c>
      <c r="G2123" s="8" t="s">
        <v>80</v>
      </c>
      <c r="H2123" s="16">
        <v>3.0</v>
      </c>
      <c r="I2123" s="15" t="str">
        <f>SUBSTITUTE(Sheet1!K2123, "Rp", "")</f>
        <v>387450</v>
      </c>
    </row>
    <row r="2124">
      <c r="A2124" s="8" t="s">
        <v>3124</v>
      </c>
      <c r="B2124" s="13" t="str">
        <f>HYPERLINK("https://shopee.co.id/MSBB-Somethinc-10-Niacinamide-Barrier-Serum-40Ml-i.288588702.8175261414", "https://shopee.co.id/MSBB-Somethinc-10-Niacinamide-Barrier-Serum-40Ml-i.288588702.8175261414")</f>
        <v>https://shopee.co.id/MSBB-Somethinc-10-Niacinamide-Barrier-Serum-40Ml-i.288588702.8175261414</v>
      </c>
      <c r="C2124" s="8" t="s">
        <v>45</v>
      </c>
      <c r="D2124" s="8" t="s">
        <v>79</v>
      </c>
      <c r="E2124" s="8" t="s">
        <v>12</v>
      </c>
      <c r="F2124" s="8" t="s">
        <v>13</v>
      </c>
      <c r="G2124" s="8" t="s">
        <v>80</v>
      </c>
      <c r="H2124" s="16">
        <v>3.0</v>
      </c>
      <c r="I2124" s="15" t="str">
        <f>SUBSTITUTE(Sheet1!K2124, "Rp", "")</f>
        <v>597000</v>
      </c>
    </row>
    <row r="2125">
      <c r="A2125" s="8" t="s">
        <v>2753</v>
      </c>
      <c r="B2125" s="13" t="str">
        <f>HYPERLINK("https://shopee.co.id/MSBB-Votre-Peau-Vitamin-C-Serum-Pour-Maharis-Clinic-30ml-i.288588702.8320401012", "https://shopee.co.id/MSBB-Votre-Peau-Vitamin-C-Serum-Pour-Maharis-Clinic-30ml-i.288588702.8320401012")</f>
        <v>https://shopee.co.id/MSBB-Votre-Peau-Vitamin-C-Serum-Pour-Maharis-Clinic-30ml-i.288588702.8320401012</v>
      </c>
      <c r="C2125" s="8" t="s">
        <v>471</v>
      </c>
      <c r="D2125" s="8" t="s">
        <v>79</v>
      </c>
      <c r="E2125" s="8" t="s">
        <v>12</v>
      </c>
      <c r="F2125" s="8" t="s">
        <v>13</v>
      </c>
      <c r="G2125" s="8" t="s">
        <v>80</v>
      </c>
      <c r="H2125" s="16">
        <v>3.0</v>
      </c>
      <c r="I2125" s="15" t="str">
        <f>SUBSTITUTE(Sheet1!K2125, "Rp", "")</f>
        <v>1140000</v>
      </c>
    </row>
    <row r="2126">
      <c r="A2126" s="8" t="s">
        <v>3098</v>
      </c>
      <c r="B2126" s="13" t="str">
        <f>HYPERLINK("https://shopee.co.id/Nacific-Fresh-Herb-Origin-Serum-50ml-i.825870.1800299137", "https://shopee.co.id/Nacific-Fresh-Herb-Origin-Serum-50ml-i.825870.1800299137")</f>
        <v>https://shopee.co.id/Nacific-Fresh-Herb-Origin-Serum-50ml-i.825870.1800299137</v>
      </c>
      <c r="C2126" s="8" t="s">
        <v>344</v>
      </c>
      <c r="D2126" s="8" t="s">
        <v>1184</v>
      </c>
      <c r="E2126" s="8" t="s">
        <v>12</v>
      </c>
      <c r="F2126" s="8" t="s">
        <v>13</v>
      </c>
      <c r="G2126" s="8" t="s">
        <v>21</v>
      </c>
      <c r="H2126" s="16">
        <v>3.0</v>
      </c>
      <c r="I2126" s="15" t="str">
        <f>SUBSTITUTE(Sheet1!K2126, "Rp", "")</f>
        <v>627000</v>
      </c>
    </row>
    <row r="2127">
      <c r="A2127" s="8" t="s">
        <v>3135</v>
      </c>
      <c r="B2127" s="13" t="str">
        <f>HYPERLINK("https://shopee.co.id/NACIFIC-Glow-Intensive-Essence-45ml-i.238604292.4221825540", "https://shopee.co.id/NACIFIC-Glow-Intensive-Essence-45ml-i.238604292.4221825540")</f>
        <v>https://shopee.co.id/NACIFIC-Glow-Intensive-Essence-45ml-i.238604292.4221825540</v>
      </c>
      <c r="C2127" s="8" t="s">
        <v>344</v>
      </c>
      <c r="D2127" s="8" t="s">
        <v>918</v>
      </c>
      <c r="E2127" s="8" t="s">
        <v>12</v>
      </c>
      <c r="F2127" s="8" t="s">
        <v>13</v>
      </c>
      <c r="G2127" s="8" t="s">
        <v>80</v>
      </c>
      <c r="H2127" s="16">
        <v>3.0</v>
      </c>
      <c r="I2127" s="15" t="str">
        <f>SUBSTITUTE(Sheet1!K2127, "Rp", "")</f>
        <v>589000</v>
      </c>
    </row>
    <row r="2128">
      <c r="A2128" s="8" t="s">
        <v>3620</v>
      </c>
      <c r="B2128" s="13" t="str">
        <f>HYPERLINK("https://shopee.co.id/Natur-E-Advanced-Anti-Aging-Serum-15-ML-i.309940894.5767266048", "https://shopee.co.id/Natur-E-Advanced-Anti-Aging-Serum-15-ML-i.309940894.5767266048")</f>
        <v>https://shopee.co.id/Natur-E-Advanced-Anti-Aging-Serum-15-ML-i.309940894.5767266048</v>
      </c>
      <c r="C2128" s="8" t="s">
        <v>849</v>
      </c>
      <c r="D2128" s="8" t="s">
        <v>3621</v>
      </c>
      <c r="E2128" s="8" t="s">
        <v>12</v>
      </c>
      <c r="F2128" s="8" t="s">
        <v>13</v>
      </c>
      <c r="G2128" s="8" t="s">
        <v>296</v>
      </c>
      <c r="H2128" s="16">
        <v>3.0</v>
      </c>
      <c r="I2128" s="15" t="str">
        <f>SUBSTITUTE(Sheet1!K2128, "Rp", "")</f>
        <v>217500</v>
      </c>
    </row>
    <row r="2129">
      <c r="A2129" s="8" t="s">
        <v>3386</v>
      </c>
      <c r="B2129" s="13" t="str">
        <f>HYPERLINK("https://shopee.co.id/NATURE-REACTION-CRYSTAL-BRIGHT-SERUM-WAJAH-GLOWING-PEMUTIH-WAJAH-WANITA-PRIA-ORIGINAL-BPOM-i.375565670.10726094980", "https://shopee.co.id/NATURE-REACTION-CRYSTAL-BRIGHT-SERUM-WAJAH-GLOWING-PEMUTIH-WAJAH-WANITA-PRIA-ORIGINAL-BPOM-i.375565670.10726094980")</f>
        <v>https://shopee.co.id/NATURE-REACTION-CRYSTAL-BRIGHT-SERUM-WAJAH-GLOWING-PEMUTIH-WAJAH-WANITA-PRIA-ORIGINAL-BPOM-i.375565670.10726094980</v>
      </c>
      <c r="C2129" s="8" t="s">
        <v>530</v>
      </c>
      <c r="D2129" s="8" t="s">
        <v>531</v>
      </c>
      <c r="E2129" s="8" t="s">
        <v>12</v>
      </c>
      <c r="F2129" s="8" t="s">
        <v>13</v>
      </c>
      <c r="G2129" s="8" t="s">
        <v>532</v>
      </c>
      <c r="H2129" s="16">
        <v>3.0</v>
      </c>
      <c r="I2129" s="15" t="str">
        <f>SUBSTITUTE(Sheet1!K2129, "Rp", "")</f>
        <v>372000</v>
      </c>
    </row>
    <row r="2130">
      <c r="A2130" s="8" t="s">
        <v>3100</v>
      </c>
      <c r="B2130" s="13" t="str">
        <f>HYPERLINK("https://shopee.co.id/Neutrogena-Hydro-Boost-Capsule-in-Serum-30-Ml-Serum-Pelembab-Kulit-Wajah-Antioksidan-i.50972887.5356189600", "https://shopee.co.id/Neutrogena-Hydro-Boost-Capsule-in-Serum-30-Ml-Serum-Pelembab-Kulit-Wajah-Antioksidan-i.50972887.5356189600")</f>
        <v>https://shopee.co.id/Neutrogena-Hydro-Boost-Capsule-in-Serum-30-Ml-Serum-Pelembab-Kulit-Wajah-Antioksidan-i.50972887.5356189600</v>
      </c>
      <c r="C2130" s="8" t="s">
        <v>1499</v>
      </c>
      <c r="D2130" s="8" t="s">
        <v>552</v>
      </c>
      <c r="E2130" s="8" t="s">
        <v>12</v>
      </c>
      <c r="F2130" s="8" t="s">
        <v>13</v>
      </c>
      <c r="G2130" s="8" t="s">
        <v>61</v>
      </c>
      <c r="H2130" s="16">
        <v>3.0</v>
      </c>
      <c r="I2130" s="15" t="str">
        <f>SUBSTITUTE(Sheet1!K2130, "Rp", "")</f>
        <v>624170</v>
      </c>
    </row>
    <row r="2131">
      <c r="A2131" s="8" t="s">
        <v>3479</v>
      </c>
      <c r="B2131" s="13" t="str">
        <f>HYPERLINK("https://shopee.co.id/NOOLA-Breezy-Willow-Moist-Serum-30ml-i.270965687.9522974497", "https://shopee.co.id/NOOLA-Breezy-Willow-Moist-Serum-30ml-i.270965687.9522974497")</f>
        <v>https://shopee.co.id/NOOLA-Breezy-Willow-Moist-Serum-30ml-i.270965687.9522974497</v>
      </c>
      <c r="C2131" s="8" t="s">
        <v>2794</v>
      </c>
      <c r="D2131" s="8" t="s">
        <v>379</v>
      </c>
      <c r="E2131" s="8" t="s">
        <v>12</v>
      </c>
      <c r="F2131" s="8" t="s">
        <v>13</v>
      </c>
      <c r="G2131" s="8" t="s">
        <v>380</v>
      </c>
      <c r="H2131" s="16">
        <v>3.0</v>
      </c>
      <c r="I2131" s="15" t="str">
        <f>SUBSTITUTE(Sheet1!K2131, "Rp", "")</f>
        <v>297000</v>
      </c>
    </row>
    <row r="2132">
      <c r="A2132" s="8" t="s">
        <v>2217</v>
      </c>
      <c r="B2132" s="13" t="str">
        <f>HYPERLINK("https://shopee.co.id/NOVEXPERT-BOOSTER-SERUM-VITAMIN-C-Brightening-Treatment-30ml-i.37242565.547762247", "https://shopee.co.id/NOVEXPERT-BOOSTER-SERUM-VITAMIN-C-Brightening-Treatment-30ml-i.37242565.547762247")</f>
        <v>https://shopee.co.id/NOVEXPERT-BOOSTER-SERUM-VITAMIN-C-Brightening-Treatment-30ml-i.37242565.547762247</v>
      </c>
      <c r="C2132" s="8" t="s">
        <v>2218</v>
      </c>
      <c r="D2132" s="8" t="s">
        <v>2157</v>
      </c>
      <c r="E2132" s="8" t="s">
        <v>12</v>
      </c>
      <c r="F2132" s="8" t="s">
        <v>13</v>
      </c>
      <c r="G2132" s="8" t="s">
        <v>98</v>
      </c>
      <c r="H2132" s="16">
        <v>3.0</v>
      </c>
      <c r="I2132" s="15" t="str">
        <f>SUBSTITUTE(Sheet1!K2132, "Rp", "")</f>
        <v>2526600</v>
      </c>
    </row>
    <row r="2133">
      <c r="A2133" s="8" t="s">
        <v>3592</v>
      </c>
      <c r="B2133" s="13" t="str">
        <f>HYPERLINK("https://shopee.co.id/Nu-Aroma-Jojoba-Oil-Natural-Serum-Wajah-Serum-Kulit-Serum-Rambut--i.262175945.5257193480", "https://shopee.co.id/Nu-Aroma-Jojoba-Oil-Natural-Serum-Wajah-Serum-Kulit-Serum-Rambut--i.262175945.5257193480")</f>
        <v>https://shopee.co.id/Nu-Aroma-Jojoba-Oil-Natural-Serum-Wajah-Serum-Kulit-Serum-Rambut--i.262175945.5257193480</v>
      </c>
      <c r="C2133" s="8" t="s">
        <v>2863</v>
      </c>
      <c r="D2133" s="8" t="s">
        <v>2864</v>
      </c>
      <c r="E2133" s="8" t="s">
        <v>12</v>
      </c>
      <c r="F2133" s="8" t="s">
        <v>13</v>
      </c>
      <c r="G2133" s="8" t="s">
        <v>945</v>
      </c>
      <c r="H2133" s="16">
        <v>3.0</v>
      </c>
      <c r="I2133" s="15" t="str">
        <f>SUBSTITUTE(Sheet1!K2133, "Rp", "")</f>
        <v>229890</v>
      </c>
    </row>
    <row r="2134">
      <c r="A2134" s="8" t="s">
        <v>3482</v>
      </c>
      <c r="B2134" s="13" t="str">
        <f>HYPERLINK("https://shopee.co.id/Nu-Aroma-Tamanu-Oil-Natural-Serum-Wajah-Serum-Kulit-Serum-Rambut--i.262175945.4558891687", "https://shopee.co.id/Nu-Aroma-Tamanu-Oil-Natural-Serum-Wajah-Serum-Kulit-Serum-Rambut--i.262175945.4558891687")</f>
        <v>https://shopee.co.id/Nu-Aroma-Tamanu-Oil-Natural-Serum-Wajah-Serum-Kulit-Serum-Rambut--i.262175945.4558891687</v>
      </c>
      <c r="C2134" s="8" t="s">
        <v>940</v>
      </c>
      <c r="D2134" s="8" t="s">
        <v>2864</v>
      </c>
      <c r="E2134" s="8" t="s">
        <v>12</v>
      </c>
      <c r="F2134" s="8" t="s">
        <v>13</v>
      </c>
      <c r="G2134" s="8" t="s">
        <v>945</v>
      </c>
      <c r="H2134" s="16">
        <v>3.0</v>
      </c>
      <c r="I2134" s="15" t="str">
        <f>SUBSTITUTE(Sheet1!K2134, "Rp", "")</f>
        <v>296100</v>
      </c>
    </row>
    <row r="2135">
      <c r="A2135" s="8" t="s">
        <v>2462</v>
      </c>
      <c r="B2135" s="13" t="str">
        <f>HYPERLINK("https://shopee.co.id/PLACENTOR-Regenerating-Serum-30ml-Serum-Wajah-Pertama-Yang-Mampu-Menyamakan-Jam-Biologis-Kulit-i.304477244.3550846876", "https://shopee.co.id/PLACENTOR-Regenerating-Serum-30ml-Serum-Wajah-Pertama-Yang-Mampu-Menyamakan-Jam-Biologis-Kulit-i.304477244.3550846876")</f>
        <v>https://shopee.co.id/PLACENTOR-Regenerating-Serum-30ml-Serum-Wajah-Pertama-Yang-Mampu-Menyamakan-Jam-Biologis-Kulit-i.304477244.3550846876</v>
      </c>
      <c r="C2135" s="8" t="s">
        <v>2346</v>
      </c>
      <c r="D2135" s="8" t="s">
        <v>2347</v>
      </c>
      <c r="E2135" s="8" t="s">
        <v>12</v>
      </c>
      <c r="F2135" s="8" t="s">
        <v>13</v>
      </c>
      <c r="G2135" s="8" t="s">
        <v>532</v>
      </c>
      <c r="H2135" s="16">
        <v>3.0</v>
      </c>
      <c r="I2135" s="15" t="str">
        <f>SUBSTITUTE(Sheet1!K2135, "Rp", "")</f>
        <v>1794000</v>
      </c>
    </row>
    <row r="2136">
      <c r="A2136" s="8" t="s">
        <v>2998</v>
      </c>
      <c r="B2136" s="13" t="str">
        <f>HYPERLINK("https://shopee.co.id/PLACENTOR-Travel-Kit-Travel-Size-Serum-Moisturizing-Cream-Suncream-Cleansing-Gel--i.304477244.6463366489", "https://shopee.co.id/PLACENTOR-Travel-Kit-Travel-Size-Serum-Moisturizing-Cream-Suncream-Cleansing-Gel--i.304477244.6463366489")</f>
        <v>https://shopee.co.id/PLACENTOR-Travel-Kit-Travel-Size-Serum-Moisturizing-Cream-Suncream-Cleansing-Gel--i.304477244.6463366489</v>
      </c>
      <c r="C2136" s="8" t="s">
        <v>2346</v>
      </c>
      <c r="D2136" s="8" t="s">
        <v>2347</v>
      </c>
      <c r="E2136" s="8" t="s">
        <v>12</v>
      </c>
      <c r="F2136" s="8" t="s">
        <v>13</v>
      </c>
      <c r="G2136" s="8" t="s">
        <v>532</v>
      </c>
      <c r="H2136" s="16">
        <v>3.0</v>
      </c>
      <c r="I2136" s="15" t="str">
        <f>SUBSTITUTE(Sheet1!K2136, "Rp", "")</f>
        <v>750000</v>
      </c>
    </row>
    <row r="2137">
      <c r="A2137" s="8" t="s">
        <v>3065</v>
      </c>
      <c r="B2137" s="13" t="str">
        <f>HYPERLINK("https://shopee.co.id/Power-Ampoule-Anti-Wrinkle-35ml-i.58386356.9519121617", "https://shopee.co.id/Power-Ampoule-Anti-Wrinkle-35ml-i.58386356.9519121617")</f>
        <v>https://shopee.co.id/Power-Ampoule-Anti-Wrinkle-35ml-i.58386356.9519121617</v>
      </c>
      <c r="C2137" s="8" t="s">
        <v>2339</v>
      </c>
      <c r="D2137" s="8" t="s">
        <v>2340</v>
      </c>
      <c r="E2137" s="8" t="s">
        <v>12</v>
      </c>
      <c r="F2137" s="8" t="s">
        <v>13</v>
      </c>
      <c r="G2137" s="8" t="s">
        <v>21</v>
      </c>
      <c r="H2137" s="16">
        <v>3.0</v>
      </c>
      <c r="I2137" s="15" t="str">
        <f>SUBSTITUTE(Sheet1!K2137, "Rp", "")</f>
        <v>667740</v>
      </c>
    </row>
    <row r="2138">
      <c r="A2138" s="8" t="s">
        <v>2957</v>
      </c>
      <c r="B2138" s="13" t="str">
        <f>HYPERLINK("https://shopee.co.id/PURITO-Hyaluronic-Acid-90-Serum-i.233721470.3568514661", "https://shopee.co.id/PURITO-Hyaluronic-Acid-90-Serum-i.233721470.3568514661")</f>
        <v>https://shopee.co.id/PURITO-Hyaluronic-Acid-90-Serum-i.233721470.3568514661</v>
      </c>
      <c r="C2138" s="8" t="s">
        <v>1993</v>
      </c>
      <c r="D2138" s="8" t="s">
        <v>1994</v>
      </c>
      <c r="E2138" s="8" t="s">
        <v>12</v>
      </c>
      <c r="F2138" s="8" t="s">
        <v>13</v>
      </c>
      <c r="G2138" s="8" t="s">
        <v>21</v>
      </c>
      <c r="H2138" s="16">
        <v>3.0</v>
      </c>
      <c r="I2138" s="15" t="str">
        <f>SUBSTITUTE(Sheet1!K2138, "Rp", "")</f>
        <v>822500</v>
      </c>
    </row>
    <row r="2139">
      <c r="A2139" s="8" t="s">
        <v>3304</v>
      </c>
      <c r="B2139" s="13" t="str">
        <f>HYPERLINK("https://shopee.co.id/Quesella-Galactomyces-Treatment-Essence-30ml-i.115322454.6717427005", "https://shopee.co.id/Quesella-Galactomyces-Treatment-Essence-30ml-i.115322454.6717427005")</f>
        <v>https://shopee.co.id/Quesella-Galactomyces-Treatment-Essence-30ml-i.115322454.6717427005</v>
      </c>
      <c r="C2139" s="8" t="s">
        <v>3305</v>
      </c>
      <c r="D2139" s="8" t="s">
        <v>3306</v>
      </c>
      <c r="E2139" s="8" t="s">
        <v>12</v>
      </c>
      <c r="F2139" s="8" t="s">
        <v>13</v>
      </c>
      <c r="G2139" s="8" t="s">
        <v>98</v>
      </c>
      <c r="H2139" s="16">
        <v>3.0</v>
      </c>
      <c r="I2139" s="15" t="str">
        <f>SUBSTITUTE(Sheet1!K2139, "Rp", "")</f>
        <v>429000</v>
      </c>
    </row>
    <row r="2140">
      <c r="A2140" s="8" t="s">
        <v>3581</v>
      </c>
      <c r="B2140" s="13" t="str">
        <f>HYPERLINK("https://shopee.co.id/Raiku-Water-Essence-30ml-i.82041605.6114955618", "https://shopee.co.id/Raiku-Water-Essence-30ml-i.82041605.6114955618")</f>
        <v>https://shopee.co.id/Raiku-Water-Essence-30ml-i.82041605.6114955618</v>
      </c>
      <c r="C2140" s="8" t="s">
        <v>2281</v>
      </c>
      <c r="D2140" s="8" t="s">
        <v>2282</v>
      </c>
      <c r="E2140" s="8" t="s">
        <v>12</v>
      </c>
      <c r="F2140" s="8" t="s">
        <v>13</v>
      </c>
      <c r="G2140" s="8" t="s">
        <v>21</v>
      </c>
      <c r="H2140" s="16">
        <v>3.0</v>
      </c>
      <c r="I2140" s="15" t="str">
        <f>SUBSTITUTE(Sheet1!K2140, "Rp", "")</f>
        <v>237381</v>
      </c>
    </row>
    <row r="2141">
      <c r="A2141" s="8" t="s">
        <v>3939</v>
      </c>
      <c r="B2141" s="13" t="str">
        <f>HYPERLINK("https://shopee.co.id/ROJUKISS-Eggplant-Dark-Spot-Serum-8ml-i.270965687.4293290758", "https://shopee.co.id/ROJUKISS-Eggplant-Dark-Spot-Serum-8ml-i.270965687.4293290758")</f>
        <v>https://shopee.co.id/ROJUKISS-Eggplant-Dark-Spot-Serum-8ml-i.270965687.4293290758</v>
      </c>
      <c r="C2141" s="8" t="s">
        <v>1508</v>
      </c>
      <c r="D2141" s="8" t="s">
        <v>379</v>
      </c>
      <c r="E2141" s="8" t="s">
        <v>12</v>
      </c>
      <c r="F2141" s="8" t="s">
        <v>13</v>
      </c>
      <c r="G2141" s="8" t="s">
        <v>380</v>
      </c>
      <c r="H2141" s="16">
        <v>3.0</v>
      </c>
      <c r="I2141" s="15" t="str">
        <f>SUBSTITUTE(Sheet1!K2141, "Rp", "")</f>
        <v>58500</v>
      </c>
    </row>
    <row r="2142">
      <c r="A2142" s="8" t="s">
        <v>3593</v>
      </c>
      <c r="B2142" s="13" t="str">
        <f>HYPERLINK("https://shopee.co.id/RORO-MENDUT-Blewah-Mulberry-Alpha-Arbutin-Hyaluronic-Acid-Serum-i.87869551.3014963542", "https://shopee.co.id/RORO-MENDUT-Blewah-Mulberry-Alpha-Arbutin-Hyaluronic-Acid-Serum-i.87869551.3014963542")</f>
        <v>https://shopee.co.id/RORO-MENDUT-Blewah-Mulberry-Alpha-Arbutin-Hyaluronic-Acid-Serum-i.87869551.3014963542</v>
      </c>
      <c r="C2142" s="8" t="s">
        <v>1526</v>
      </c>
      <c r="D2142" s="8" t="s">
        <v>1527</v>
      </c>
      <c r="E2142" s="8" t="s">
        <v>12</v>
      </c>
      <c r="F2142" s="8" t="s">
        <v>13</v>
      </c>
      <c r="G2142" s="8" t="s">
        <v>380</v>
      </c>
      <c r="H2142" s="16">
        <v>3.0</v>
      </c>
      <c r="I2142" s="15" t="str">
        <f>SUBSTITUTE(Sheet1!K2142, "Rp", "")</f>
        <v>228552</v>
      </c>
    </row>
    <row r="2143">
      <c r="A2143" s="8" t="s">
        <v>3283</v>
      </c>
      <c r="B2143" s="13" t="str">
        <f>HYPERLINK("https://shopee.co.id/Safi-Age-Defy-Gold-Water-Essence-100ml-i.30736001.1016567179", "https://shopee.co.id/Safi-Age-Defy-Gold-Water-Essence-100ml-i.30736001.1016567179")</f>
        <v>https://shopee.co.id/Safi-Age-Defy-Gold-Water-Essence-100ml-i.30736001.1016567179</v>
      </c>
      <c r="C2143" s="8" t="s">
        <v>278</v>
      </c>
      <c r="D2143" s="8" t="s">
        <v>335</v>
      </c>
      <c r="E2143" s="8" t="s">
        <v>12</v>
      </c>
      <c r="F2143" s="8" t="s">
        <v>13</v>
      </c>
      <c r="G2143" s="8" t="s">
        <v>36</v>
      </c>
      <c r="H2143" s="16">
        <v>3.0</v>
      </c>
      <c r="I2143" s="15" t="str">
        <f>SUBSTITUTE(Sheet1!K2143, "Rp", "")</f>
        <v>447000</v>
      </c>
    </row>
    <row r="2144">
      <c r="A2144" s="8" t="s">
        <v>3310</v>
      </c>
      <c r="B2144" s="13" t="str">
        <f>HYPERLINK("https://shopee.co.id/SAFI-Age-Defy-Gold-Water-Essence-100ml-i.68111.1002624507", "https://shopee.co.id/SAFI-Age-Defy-Gold-Water-Essence-100ml-i.68111.1002624507")</f>
        <v>https://shopee.co.id/SAFI-Age-Defy-Gold-Water-Essence-100ml-i.68111.1002624507</v>
      </c>
      <c r="C2144" s="8" t="s">
        <v>278</v>
      </c>
      <c r="D2144" s="8" t="s">
        <v>441</v>
      </c>
      <c r="E2144" s="8" t="s">
        <v>12</v>
      </c>
      <c r="F2144" s="8" t="s">
        <v>13</v>
      </c>
      <c r="G2144" s="8" t="s">
        <v>130</v>
      </c>
      <c r="H2144" s="16">
        <v>3.0</v>
      </c>
      <c r="I2144" s="15" t="str">
        <f>SUBSTITUTE(Sheet1!K2144, "Rp", "")</f>
        <v>428700</v>
      </c>
    </row>
    <row r="2145">
      <c r="A2145" s="8" t="s">
        <v>3254</v>
      </c>
      <c r="B2145" s="13" t="str">
        <f>HYPERLINK("https://shopee.co.id/Safi-Age-Defy-Youth-Elixir-29-g-i.186214521.6617001207", "https://shopee.co.id/Safi-Age-Defy-Youth-Elixir-29-g-i.186214521.6617001207")</f>
        <v>https://shopee.co.id/Safi-Age-Defy-Youth-Elixir-29-g-i.186214521.6617001207</v>
      </c>
      <c r="C2145" s="8" t="s">
        <v>278</v>
      </c>
      <c r="D2145" s="8" t="s">
        <v>2293</v>
      </c>
      <c r="E2145" s="8" t="s">
        <v>12</v>
      </c>
      <c r="F2145" s="8" t="s">
        <v>13</v>
      </c>
      <c r="G2145" s="8" t="s">
        <v>61</v>
      </c>
      <c r="H2145" s="16">
        <v>3.0</v>
      </c>
      <c r="I2145" s="15" t="str">
        <f>SUBSTITUTE(Sheet1!K2145, "Rp", "")</f>
        <v>473000</v>
      </c>
    </row>
    <row r="2146">
      <c r="A2146" s="8" t="s">
        <v>1734</v>
      </c>
      <c r="B2146" s="13" t="str">
        <f>HYPERLINK("https://shopee.co.id/Scarlett-Whitening-Glowtening-Serum-15ml-i.10689.10333772473", "https://shopee.co.id/Scarlett-Whitening-Glowtening-Serum-15ml-i.10689.10333772473")</f>
        <v>https://shopee.co.id/Scarlett-Whitening-Glowtening-Serum-15ml-i.10689.10333772473</v>
      </c>
      <c r="C2146" s="8" t="s">
        <v>19</v>
      </c>
      <c r="D2146" s="8" t="s">
        <v>745</v>
      </c>
      <c r="E2146" s="8" t="s">
        <v>12</v>
      </c>
      <c r="F2146" s="8" t="s">
        <v>13</v>
      </c>
      <c r="G2146" s="8" t="s">
        <v>61</v>
      </c>
      <c r="H2146" s="16">
        <v>3.0</v>
      </c>
      <c r="I2146" s="15" t="str">
        <f>SUBSTITUTE(Sheet1!K2146, "Rp", "")</f>
        <v>202500</v>
      </c>
    </row>
    <row r="2147">
      <c r="A2147" s="8" t="s">
        <v>1858</v>
      </c>
      <c r="B2147" s="13" t="str">
        <f>HYPERLINK("https://shopee.co.id/Scarlett-Whitening-Paket-Reseller-24-Item-i.255365082.3532127427", "https://shopee.co.id/Scarlett-Whitening-Paket-Reseller-24-Item-i.255365082.3532127427")</f>
        <v>https://shopee.co.id/Scarlett-Whitening-Paket-Reseller-24-Item-i.255365082.3532127427</v>
      </c>
      <c r="C2147" s="8" t="s">
        <v>19</v>
      </c>
      <c r="D2147" s="8" t="s">
        <v>20</v>
      </c>
      <c r="E2147" s="8" t="s">
        <v>12</v>
      </c>
      <c r="F2147" s="8" t="s">
        <v>13</v>
      </c>
      <c r="G2147" s="8" t="s">
        <v>21</v>
      </c>
      <c r="H2147" s="16">
        <v>3.0</v>
      </c>
      <c r="I2147" s="15" t="str">
        <f>SUBSTITUTE(Sheet1!K2147, "Rp", "")</f>
        <v>4320000</v>
      </c>
    </row>
    <row r="2148">
      <c r="A2148" s="8" t="s">
        <v>3714</v>
      </c>
      <c r="B2148" s="13" t="str">
        <f>HYPERLINK("https://shopee.co.id/Serum-Wajah-Wardah-Lightening-Serum-Ampoule-30-mL-i.18163317.5397852346", "https://shopee.co.id/Serum-Wajah-Wardah-Lightening-Serum-Ampoule-30-mL-i.18163317.5397852346")</f>
        <v>https://shopee.co.id/Serum-Wajah-Wardah-Lightening-Serum-Ampoule-30-mL-i.18163317.5397852346</v>
      </c>
      <c r="C2148" s="8" t="s">
        <v>169</v>
      </c>
      <c r="D2148" s="8" t="s">
        <v>3715</v>
      </c>
      <c r="E2148" s="8" t="s">
        <v>12</v>
      </c>
      <c r="F2148" s="8" t="s">
        <v>13</v>
      </c>
      <c r="G2148" s="8" t="s">
        <v>98</v>
      </c>
      <c r="H2148" s="16">
        <v>3.0</v>
      </c>
      <c r="I2148" s="15" t="str">
        <f>SUBSTITUTE(Sheet1!K2148, "Rp", "")</f>
        <v>170100</v>
      </c>
    </row>
    <row r="2149">
      <c r="A2149" s="8" t="s">
        <v>3472</v>
      </c>
      <c r="B2149" s="13" t="str">
        <f>HYPERLINK("https://shopee.co.id/Serum-Whitening-Oily-Skin-Special-Promo-Buy-1-Get-1-Free--i.108311902.1988334947", "https://shopee.co.id/Serum-Whitening-Oily-Skin-Special-Promo-Buy-1-Get-1-Free--i.108311902.1988334947")</f>
        <v>https://shopee.co.id/Serum-Whitening-Oily-Skin-Special-Promo-Buy-1-Get-1-Free--i.108311902.1988334947</v>
      </c>
      <c r="C2149" s="8" t="s">
        <v>3473</v>
      </c>
      <c r="D2149" s="8" t="s">
        <v>3474</v>
      </c>
      <c r="E2149" s="8" t="s">
        <v>12</v>
      </c>
      <c r="F2149" s="8" t="s">
        <v>13</v>
      </c>
      <c r="G2149" s="8" t="s">
        <v>350</v>
      </c>
      <c r="H2149" s="16">
        <v>3.0</v>
      </c>
      <c r="I2149" s="15" t="str">
        <f>SUBSTITUTE(Sheet1!K2149, "Rp", "")</f>
        <v>299750</v>
      </c>
    </row>
    <row r="2150">
      <c r="A2150" s="8" t="s">
        <v>1604</v>
      </c>
      <c r="B2150" s="13" t="str">
        <f>HYPERLINK("https://shopee.co.id/Shiseido-White-Lucent-Illuminating-Micro-Spot-Serum-50ML-i.345419471.5169554458", "https://shopee.co.id/Shiseido-White-Lucent-Illuminating-Micro-Spot-Serum-50ML-i.345419471.5169554458")</f>
        <v>https://shopee.co.id/Shiseido-White-Lucent-Illuminating-Micro-Spot-Serum-50ML-i.345419471.5169554458</v>
      </c>
      <c r="C2150" s="8" t="s">
        <v>868</v>
      </c>
      <c r="D2150" s="8" t="s">
        <v>869</v>
      </c>
      <c r="E2150" s="8" t="s">
        <v>12</v>
      </c>
      <c r="F2150" s="8" t="s">
        <v>13</v>
      </c>
      <c r="G2150" s="8" t="s">
        <v>130</v>
      </c>
      <c r="H2150" s="16">
        <v>3.0</v>
      </c>
      <c r="I2150" s="15" t="str">
        <f>SUBSTITUTE(Sheet1!K2150, "Rp", "")</f>
        <v>6336000</v>
      </c>
    </row>
    <row r="2151">
      <c r="A2151" s="8" t="s">
        <v>3892</v>
      </c>
      <c r="B2151" s="13" t="str">
        <f>HYPERLINK("https://shopee.co.id/Shopee-Best-Seller-Smooto-Tomato-Collagen-White-Serum-i.65619901.1086799544", "https://shopee.co.id/Shopee-Best-Seller-Smooto-Tomato-Collagen-White-Serum-i.65619901.1086799544")</f>
        <v>https://shopee.co.id/Shopee-Best-Seller-Smooto-Tomato-Collagen-White-Serum-i.65619901.1086799544</v>
      </c>
      <c r="C2151" s="8" t="s">
        <v>2779</v>
      </c>
      <c r="D2151" s="8" t="s">
        <v>2780</v>
      </c>
      <c r="E2151" s="8" t="s">
        <v>12</v>
      </c>
      <c r="F2151" s="8" t="s">
        <v>13</v>
      </c>
      <c r="G2151" s="8" t="s">
        <v>85</v>
      </c>
      <c r="H2151" s="16">
        <v>3.0</v>
      </c>
      <c r="I2151" s="15" t="str">
        <f>SUBSTITUTE(Sheet1!K2151, "Rp", "")</f>
        <v>87000</v>
      </c>
    </row>
    <row r="2152">
      <c r="A2152" s="8" t="s">
        <v>2916</v>
      </c>
      <c r="B2152" s="13" t="str">
        <f>HYPERLINK("https://shopee.co.id/Skin-Dewi-Tamanu-Green-Serum-5ml-Skincare-Organic--i.69413780.4710760759", "https://shopee.co.id/Skin-Dewi-Tamanu-Green-Serum-5ml-Skincare-Organic--i.69413780.4710760759")</f>
        <v>https://shopee.co.id/Skin-Dewi-Tamanu-Green-Serum-5ml-Skincare-Organic--i.69413780.4710760759</v>
      </c>
      <c r="C2152" s="8" t="s">
        <v>940</v>
      </c>
      <c r="D2152" s="8" t="s">
        <v>1929</v>
      </c>
      <c r="E2152" s="8" t="s">
        <v>12</v>
      </c>
      <c r="F2152" s="8" t="s">
        <v>13</v>
      </c>
      <c r="G2152" s="8" t="s">
        <v>61</v>
      </c>
      <c r="H2152" s="16">
        <v>3.0</v>
      </c>
      <c r="I2152" s="15" t="str">
        <f>SUBSTITUTE(Sheet1!K2152, "Rp", "")</f>
        <v>886820</v>
      </c>
    </row>
    <row r="2153">
      <c r="A2153" s="8" t="s">
        <v>3300</v>
      </c>
      <c r="B2153" s="13" t="str">
        <f>HYPERLINK("https://shopee.co.id/Skin-Game-Acne-Combat-Serum-i.270965687.10605442206", "https://shopee.co.id/Skin-Game-Acne-Combat-Serum-i.270965687.10605442206")</f>
        <v>https://shopee.co.id/Skin-Game-Acne-Combat-Serum-i.270965687.10605442206</v>
      </c>
      <c r="C2153" s="8" t="s">
        <v>523</v>
      </c>
      <c r="D2153" s="8" t="s">
        <v>379</v>
      </c>
      <c r="E2153" s="8" t="s">
        <v>12</v>
      </c>
      <c r="F2153" s="8" t="s">
        <v>13</v>
      </c>
      <c r="G2153" s="8" t="s">
        <v>380</v>
      </c>
      <c r="H2153" s="16">
        <v>3.0</v>
      </c>
      <c r="I2153" s="15" t="str">
        <f>SUBSTITUTE(Sheet1!K2153, "Rp", "")</f>
        <v>432100</v>
      </c>
    </row>
    <row r="2154">
      <c r="A2154" s="8" t="s">
        <v>3298</v>
      </c>
      <c r="B2154" s="13" t="str">
        <f>HYPERLINK("https://shopee.co.id/Skin-Game-Acne-Combat-Serum-30ml-i.136011044.7185962176", "https://shopee.co.id/Skin-Game-Acne-Combat-Serum-30ml-i.136011044.7185962176")</f>
        <v>https://shopee.co.id/Skin-Game-Acne-Combat-Serum-30ml-i.136011044.7185962176</v>
      </c>
      <c r="C2154" s="8" t="s">
        <v>523</v>
      </c>
      <c r="D2154" s="8" t="s">
        <v>632</v>
      </c>
      <c r="E2154" s="8" t="s">
        <v>12</v>
      </c>
      <c r="F2154" s="8" t="s">
        <v>13</v>
      </c>
      <c r="G2154" s="8" t="s">
        <v>21</v>
      </c>
      <c r="H2154" s="16">
        <v>3.0</v>
      </c>
      <c r="I2154" s="15" t="str">
        <f>SUBSTITUTE(Sheet1!K2154, "Rp", "")</f>
        <v>433000</v>
      </c>
    </row>
    <row r="2155">
      <c r="A2155" s="8" t="s">
        <v>1270</v>
      </c>
      <c r="B2155" s="13" t="str">
        <f>HYPERLINK("https://shopee.co.id/SNP-Prep-Peptaronic-Serum-220ml-i.10689.10510949919", "https://shopee.co.id/SNP-Prep-Peptaronic-Serum-220ml-i.10689.10510949919")</f>
        <v>https://shopee.co.id/SNP-Prep-Peptaronic-Serum-220ml-i.10689.10510949919</v>
      </c>
      <c r="C2155" s="8" t="s">
        <v>565</v>
      </c>
      <c r="D2155" s="8" t="s">
        <v>745</v>
      </c>
      <c r="E2155" s="8" t="s">
        <v>12</v>
      </c>
      <c r="F2155" s="8" t="s">
        <v>13</v>
      </c>
      <c r="G2155" s="8" t="s">
        <v>61</v>
      </c>
      <c r="H2155" s="16">
        <v>3.0</v>
      </c>
      <c r="I2155" s="15" t="str">
        <f>SUBSTITUTE(Sheet1!K2155, "Rp", "")</f>
        <v>408000</v>
      </c>
    </row>
    <row r="2156">
      <c r="A2156" s="8" t="s">
        <v>3034</v>
      </c>
      <c r="B2156" s="13" t="str">
        <f>HYPERLINK("https://shopee.co.id/Some-By-Mi-AHA-BHA-PHA-30-Days-Miracle-Serum-50ml-i.825870.11213441350", "https://shopee.co.id/Some-By-Mi-AHA-BHA-PHA-30-Days-Miracle-Serum-50ml-i.825870.11213441350")</f>
        <v>https://shopee.co.id/Some-By-Mi-AHA-BHA-PHA-30-Days-Miracle-Serum-50ml-i.825870.11213441350</v>
      </c>
      <c r="C2156" s="8" t="s">
        <v>213</v>
      </c>
      <c r="D2156" s="8" t="s">
        <v>1184</v>
      </c>
      <c r="E2156" s="8" t="s">
        <v>12</v>
      </c>
      <c r="F2156" s="8" t="s">
        <v>13</v>
      </c>
      <c r="G2156" s="8" t="s">
        <v>21</v>
      </c>
      <c r="H2156" s="16">
        <v>3.0</v>
      </c>
      <c r="I2156" s="15" t="str">
        <f>SUBSTITUTE(Sheet1!K2156, "Rp", "")</f>
        <v>693000</v>
      </c>
    </row>
    <row r="2157">
      <c r="A2157" s="8" t="s">
        <v>2897</v>
      </c>
      <c r="B2157" s="13" t="str">
        <f>HYPERLINK("https://shopee.co.id/Somethinc-10-Niacinamide-Moisture-Sabi-White-Max-Brightening-Serum-Somethinc-HYALuronic-B5-40ml-i.110573301.8937474448", "https://shopee.co.id/Somethinc-10-Niacinamide-Moisture-Sabi-White-Max-Brightening-Serum-Somethinc-HYALuronic-B5-40ml-i.110573301.8937474448")</f>
        <v>https://shopee.co.id/Somethinc-10-Niacinamide-Moisture-Sabi-White-Max-Brightening-Serum-Somethinc-HYALuronic-B5-40ml-i.110573301.8937474448</v>
      </c>
      <c r="C2157" s="8" t="s">
        <v>45</v>
      </c>
      <c r="D2157" s="8" t="s">
        <v>227</v>
      </c>
      <c r="E2157" s="8" t="s">
        <v>12</v>
      </c>
      <c r="F2157" s="8" t="s">
        <v>13</v>
      </c>
      <c r="G2157" s="8" t="s">
        <v>61</v>
      </c>
      <c r="H2157" s="16">
        <v>3.0</v>
      </c>
      <c r="I2157" s="15" t="str">
        <f>SUBSTITUTE(Sheet1!K2157, "Rp", "")</f>
        <v>903900</v>
      </c>
    </row>
    <row r="2158">
      <c r="A2158" s="8" t="s">
        <v>3286</v>
      </c>
      <c r="B2158" s="13" t="str">
        <f>HYPERLINK("https://shopee.co.id/Somethinc-5-Niacinamide-Moisture-Sabi-Beet-Serum-40-mL-i.65323877.10819057933", "https://shopee.co.id/Somethinc-5-Niacinamide-Moisture-Sabi-Beet-Serum-40-mL-i.65323877.10819057933")</f>
        <v>https://shopee.co.id/Somethinc-5-Niacinamide-Moisture-Sabi-Beet-Serum-40-mL-i.65323877.10819057933</v>
      </c>
      <c r="C2158" s="8" t="s">
        <v>45</v>
      </c>
      <c r="D2158" s="8" t="s">
        <v>1600</v>
      </c>
      <c r="E2158" s="8" t="s">
        <v>12</v>
      </c>
      <c r="F2158" s="8" t="s">
        <v>13</v>
      </c>
      <c r="G2158" s="8" t="s">
        <v>296</v>
      </c>
      <c r="H2158" s="16">
        <v>3.0</v>
      </c>
      <c r="I2158" s="15" t="str">
        <f>SUBSTITUTE(Sheet1!K2158, "Rp", "")</f>
        <v>444600</v>
      </c>
    </row>
    <row r="2159">
      <c r="A2159" s="8" t="s">
        <v>3361</v>
      </c>
      <c r="B2159" s="13" t="str">
        <f>HYPERLINK("https://shopee.co.id/Somethinc-Holygrail-Multipeptide-Youth-Elixir-20ml-i.136011044.5588927281", "https://shopee.co.id/Somethinc-Holygrail-Multipeptide-Youth-Elixir-20ml-i.136011044.5588927281")</f>
        <v>https://shopee.co.id/Somethinc-Holygrail-Multipeptide-Youth-Elixir-20ml-i.136011044.5588927281</v>
      </c>
      <c r="C2159" s="8" t="s">
        <v>45</v>
      </c>
      <c r="D2159" s="8" t="s">
        <v>632</v>
      </c>
      <c r="E2159" s="8" t="s">
        <v>12</v>
      </c>
      <c r="F2159" s="8" t="s">
        <v>13</v>
      </c>
      <c r="G2159" s="8" t="s">
        <v>21</v>
      </c>
      <c r="H2159" s="16">
        <v>3.0</v>
      </c>
      <c r="I2159" s="15" t="str">
        <f>SUBSTITUTE(Sheet1!K2159, "Rp", "")</f>
        <v>387000</v>
      </c>
    </row>
    <row r="2160">
      <c r="A2160" s="8" t="s">
        <v>2947</v>
      </c>
      <c r="B2160" s="13" t="str">
        <f>HYPERLINK("https://shopee.co.id/Somethinc-HYALuronic-B5-40ml-Somethinc-Bakuchiol-Skinpair-Serum-20ml-i.110573301.3484753367", "https://shopee.co.id/Somethinc-HYALuronic-B5-40ml-Somethinc-Bakuchiol-Skinpair-Serum-20ml-i.110573301.3484753367")</f>
        <v>https://shopee.co.id/Somethinc-HYALuronic-B5-40ml-Somethinc-Bakuchiol-Skinpair-Serum-20ml-i.110573301.3484753367</v>
      </c>
      <c r="C2160" s="8" t="s">
        <v>45</v>
      </c>
      <c r="D2160" s="8" t="s">
        <v>227</v>
      </c>
      <c r="E2160" s="8" t="s">
        <v>12</v>
      </c>
      <c r="F2160" s="8" t="s">
        <v>13</v>
      </c>
      <c r="G2160" s="8" t="s">
        <v>61</v>
      </c>
      <c r="H2160" s="16">
        <v>3.0</v>
      </c>
      <c r="I2160" s="15" t="str">
        <f>SUBSTITUTE(Sheet1!K2160, "Rp", "")</f>
        <v>826800</v>
      </c>
    </row>
    <row r="2161">
      <c r="A2161" s="8" t="s">
        <v>3125</v>
      </c>
      <c r="B2161" s="13" t="str">
        <f>HYPERLINK("https://shopee.co.id/Somethinc-Hyaluronic9-Advanced-B5-Serum-40ml-i.825870.8978438706", "https://shopee.co.id/Somethinc-Hyaluronic9-Advanced-B5-Serum-40ml-i.825870.8978438706")</f>
        <v>https://shopee.co.id/Somethinc-Hyaluronic9-Advanced-B5-Serum-40ml-i.825870.8978438706</v>
      </c>
      <c r="C2161" s="8" t="s">
        <v>45</v>
      </c>
      <c r="D2161" s="8" t="s">
        <v>1184</v>
      </c>
      <c r="E2161" s="8" t="s">
        <v>12</v>
      </c>
      <c r="F2161" s="8" t="s">
        <v>13</v>
      </c>
      <c r="G2161" s="8" t="s">
        <v>21</v>
      </c>
      <c r="H2161" s="16">
        <v>3.0</v>
      </c>
      <c r="I2161" s="15" t="str">
        <f>SUBSTITUTE(Sheet1!K2161, "Rp", "")</f>
        <v>597000</v>
      </c>
    </row>
    <row r="2162">
      <c r="A2162" s="8" t="s">
        <v>1586</v>
      </c>
      <c r="B2162" s="13" t="str">
        <f>HYPERLINK("https://shopee.co.id/Sulwhasoo-Bloomstay-Vitalizing-Serum-50ml-First-Care-Activating-Serum-30ml-Limited-Set--i.274949344.4078795228", "https://shopee.co.id/Sulwhasoo-Bloomstay-Vitalizing-Serum-50ml-First-Care-Activating-Serum-30ml-Limited-Set--i.274949344.4078795228")</f>
        <v>https://shopee.co.id/Sulwhasoo-Bloomstay-Vitalizing-Serum-50ml-First-Care-Activating-Serum-30ml-Limited-Set--i.274949344.4078795228</v>
      </c>
      <c r="C2162" s="8" t="s">
        <v>282</v>
      </c>
      <c r="D2162" s="8" t="s">
        <v>283</v>
      </c>
      <c r="E2162" s="8" t="s">
        <v>12</v>
      </c>
      <c r="F2162" s="8" t="s">
        <v>13</v>
      </c>
      <c r="G2162" s="8" t="s">
        <v>61</v>
      </c>
      <c r="H2162" s="16">
        <v>3.0</v>
      </c>
      <c r="I2162" s="15" t="str">
        <f>SUBSTITUTE(Sheet1!K2162, "Rp", "")</f>
        <v>6598500</v>
      </c>
    </row>
    <row r="2163">
      <c r="A2163" s="8" t="s">
        <v>1177</v>
      </c>
      <c r="B2163" s="13" t="str">
        <f>HYPERLINK("https://shopee.co.id/Sulwhasoo-First-Care-Activating-Serum-60ml-i.274949344.6039210363", "https://shopee.co.id/Sulwhasoo-First-Care-Activating-Serum-60ml-i.274949344.6039210363")</f>
        <v>https://shopee.co.id/Sulwhasoo-First-Care-Activating-Serum-60ml-i.274949344.6039210363</v>
      </c>
      <c r="C2163" s="8" t="s">
        <v>282</v>
      </c>
      <c r="D2163" s="8" t="s">
        <v>283</v>
      </c>
      <c r="E2163" s="8" t="s">
        <v>12</v>
      </c>
      <c r="F2163" s="8" t="s">
        <v>13</v>
      </c>
      <c r="G2163" s="8" t="s">
        <v>61</v>
      </c>
      <c r="H2163" s="16">
        <v>3.0</v>
      </c>
      <c r="I2163" s="15" t="str">
        <f>SUBSTITUTE(Sheet1!K2163, "Rp", "")</f>
        <v>3640000</v>
      </c>
    </row>
    <row r="2164">
      <c r="A2164" s="8" t="s">
        <v>1566</v>
      </c>
      <c r="B2164" s="13" t="str">
        <f>HYPERLINK("https://shopee.co.id/Sulwhasoo-First-Care-Activating-Serum-90ml-i.274949344.7079903093", "https://shopee.co.id/Sulwhasoo-First-Care-Activating-Serum-90ml-i.274949344.7079903093")</f>
        <v>https://shopee.co.id/Sulwhasoo-First-Care-Activating-Serum-90ml-i.274949344.7079903093</v>
      </c>
      <c r="C2164" s="8" t="s">
        <v>282</v>
      </c>
      <c r="D2164" s="8" t="s">
        <v>283</v>
      </c>
      <c r="E2164" s="8" t="s">
        <v>12</v>
      </c>
      <c r="F2164" s="8" t="s">
        <v>13</v>
      </c>
      <c r="G2164" s="8" t="s">
        <v>61</v>
      </c>
      <c r="H2164" s="16">
        <v>3.0</v>
      </c>
      <c r="I2164" s="15" t="str">
        <f>SUBSTITUTE(Sheet1!K2164, "Rp", "")</f>
        <v>6900000</v>
      </c>
    </row>
    <row r="2165">
      <c r="A2165" s="8" t="s">
        <v>1222</v>
      </c>
      <c r="B2165" s="13" t="str">
        <f>HYPERLINK("https://shopee.co.id/The-Aubree-Centella-Herb-Serum-30-ml-i.10689.3366239804", "https://shopee.co.id/The-Aubree-Centella-Herb-Serum-30-ml-i.10689.3366239804")</f>
        <v>https://shopee.co.id/The-Aubree-Centella-Herb-Serum-30-ml-i.10689.3366239804</v>
      </c>
      <c r="C2165" s="8" t="s">
        <v>772</v>
      </c>
      <c r="D2165" s="8" t="s">
        <v>745</v>
      </c>
      <c r="E2165" s="8" t="s">
        <v>12</v>
      </c>
      <c r="F2165" s="8" t="s">
        <v>13</v>
      </c>
      <c r="G2165" s="8" t="s">
        <v>61</v>
      </c>
      <c r="H2165" s="16">
        <v>3.0</v>
      </c>
      <c r="I2165" s="15" t="str">
        <f>SUBSTITUTE(Sheet1!K2165, "Rp", "")</f>
        <v>277200</v>
      </c>
    </row>
    <row r="2166">
      <c r="A2166" s="8" t="s">
        <v>3550</v>
      </c>
      <c r="B2166" s="13" t="str">
        <f>HYPERLINK("https://shopee.co.id/the-Aubree-Niacinamide-Skin-Booster-30ml-i.50948181.3178988214", "https://shopee.co.id/the-Aubree-Niacinamide-Skin-Booster-30ml-i.50948181.3178988214")</f>
        <v>https://shopee.co.id/the-Aubree-Niacinamide-Skin-Booster-30ml-i.50948181.3178988214</v>
      </c>
      <c r="C2166" s="8" t="s">
        <v>772</v>
      </c>
      <c r="D2166" s="8" t="s">
        <v>1129</v>
      </c>
      <c r="E2166" s="8" t="s">
        <v>12</v>
      </c>
      <c r="F2166" s="8" t="s">
        <v>13</v>
      </c>
      <c r="G2166" s="8" t="s">
        <v>1130</v>
      </c>
      <c r="H2166" s="16">
        <v>3.0</v>
      </c>
      <c r="I2166" s="15" t="str">
        <f>SUBSTITUTE(Sheet1!K2166, "Rp", "")</f>
        <v>252450</v>
      </c>
    </row>
    <row r="2167">
      <c r="A2167" s="8" t="s">
        <v>3537</v>
      </c>
      <c r="B2167" s="13" t="str">
        <f>HYPERLINK("https://shopee.co.id/The-Aubree-Rose-Bloom-Petal-Essence-120ml-i.136011044.7478784017", "https://shopee.co.id/The-Aubree-Rose-Bloom-Petal-Essence-120ml-i.136011044.7478784017")</f>
        <v>https://shopee.co.id/The-Aubree-Rose-Bloom-Petal-Essence-120ml-i.136011044.7478784017</v>
      </c>
      <c r="C2167" s="8" t="s">
        <v>772</v>
      </c>
      <c r="D2167" s="8" t="s">
        <v>632</v>
      </c>
      <c r="E2167" s="8" t="s">
        <v>12</v>
      </c>
      <c r="F2167" s="8" t="s">
        <v>13</v>
      </c>
      <c r="G2167" s="8" t="s">
        <v>21</v>
      </c>
      <c r="H2167" s="16">
        <v>3.0</v>
      </c>
      <c r="I2167" s="15" t="str">
        <f>SUBSTITUTE(Sheet1!K2167, "Rp", "")</f>
        <v>267300</v>
      </c>
    </row>
    <row r="2168">
      <c r="A2168" s="8" t="s">
        <v>2559</v>
      </c>
      <c r="B2168" s="13" t="str">
        <f>HYPERLINK("https://shopee.co.id/THE-MOST-ICONIC-SERUM-ELIXIR-ULTIME-ORIGINAL-i.252376370.7667714535", "https://shopee.co.id/THE-MOST-ICONIC-SERUM-ELIXIR-ULTIME-ORIGINAL-i.252376370.7667714535")</f>
        <v>https://shopee.co.id/THE-MOST-ICONIC-SERUM-ELIXIR-ULTIME-ORIGINAL-i.252376370.7667714535</v>
      </c>
      <c r="C2168" s="8" t="s">
        <v>2560</v>
      </c>
      <c r="D2168" s="8" t="s">
        <v>2561</v>
      </c>
      <c r="E2168" s="8" t="s">
        <v>12</v>
      </c>
      <c r="F2168" s="8" t="s">
        <v>13</v>
      </c>
      <c r="G2168" s="8" t="s">
        <v>1480</v>
      </c>
      <c r="H2168" s="16">
        <v>3.0</v>
      </c>
      <c r="I2168" s="15" t="str">
        <f>SUBSTITUTE(Sheet1!K2168, "Rp", "")</f>
        <v>1560000</v>
      </c>
    </row>
    <row r="2169">
      <c r="A2169" s="8" t="s">
        <v>3197</v>
      </c>
      <c r="B2169" s="13" t="str">
        <f>HYPERLINK("https://shopee.co.id/THE-POTIONS-Vitamin-B12-Ampoule-20ml-i.379239733.7478489685", "https://shopee.co.id/THE-POTIONS-Vitamin-B12-Ampoule-20ml-i.379239733.7478489685")</f>
        <v>https://shopee.co.id/THE-POTIONS-Vitamin-B12-Ampoule-20ml-i.379239733.7478489685</v>
      </c>
      <c r="C2169" s="8" t="s">
        <v>2245</v>
      </c>
      <c r="D2169" s="8" t="s">
        <v>2246</v>
      </c>
      <c r="E2169" s="8" t="s">
        <v>12</v>
      </c>
      <c r="F2169" s="8" t="s">
        <v>13</v>
      </c>
      <c r="G2169" s="8" t="s">
        <v>130</v>
      </c>
      <c r="H2169" s="16">
        <v>3.0</v>
      </c>
      <c r="I2169" s="15" t="str">
        <f>SUBSTITUTE(Sheet1!K2169, "Rp", "")</f>
        <v>520000</v>
      </c>
    </row>
    <row r="2170">
      <c r="A2170" s="8" t="s">
        <v>3275</v>
      </c>
      <c r="B2170" s="13" t="str">
        <f>HYPERLINK("https://shopee.co.id/The-Potions-Mugwort-Water-Essence-20Ml-i.186214521.4786049587", "https://shopee.co.id/The-Potions-Mugwort-Water-Essence-20Ml-i.186214521.4786049587")</f>
        <v>https://shopee.co.id/The-Potions-Mugwort-Water-Essence-20Ml-i.186214521.4786049587</v>
      </c>
      <c r="C2170" s="8" t="s">
        <v>2245</v>
      </c>
      <c r="D2170" s="8" t="s">
        <v>2293</v>
      </c>
      <c r="E2170" s="8" t="s">
        <v>12</v>
      </c>
      <c r="F2170" s="8" t="s">
        <v>13</v>
      </c>
      <c r="G2170" s="8" t="s">
        <v>61</v>
      </c>
      <c r="H2170" s="16">
        <v>3.0</v>
      </c>
      <c r="I2170" s="15" t="str">
        <f>SUBSTITUTE(Sheet1!K2170, "Rp", "")</f>
        <v>451500</v>
      </c>
    </row>
    <row r="2171">
      <c r="A2171" s="8" t="s">
        <v>2338</v>
      </c>
      <c r="B2171" s="13" t="str">
        <f>HYPERLINK("https://shopee.co.id/The-SAEM-Gold-Lifting-Essence-40ml-i.58386356.3332380424", "https://shopee.co.id/The-SAEM-Gold-Lifting-Essence-40ml-i.58386356.3332380424")</f>
        <v>https://shopee.co.id/The-SAEM-Gold-Lifting-Essence-40ml-i.58386356.3332380424</v>
      </c>
      <c r="C2171" s="8" t="s">
        <v>2339</v>
      </c>
      <c r="D2171" s="8" t="s">
        <v>2340</v>
      </c>
      <c r="E2171" s="8" t="s">
        <v>12</v>
      </c>
      <c r="F2171" s="8" t="s">
        <v>13</v>
      </c>
      <c r="G2171" s="8" t="s">
        <v>21</v>
      </c>
      <c r="H2171" s="16">
        <v>3.0</v>
      </c>
      <c r="I2171" s="15" t="str">
        <f>SUBSTITUTE(Sheet1!K2171, "Rp", "")</f>
        <v>2158200</v>
      </c>
    </row>
    <row r="2172">
      <c r="A2172" s="8" t="s">
        <v>3176</v>
      </c>
      <c r="B2172" s="13" t="str">
        <f>HYPERLINK("https://shopee.co.id/THESAEM-Jeju-Fresh-Aloe-Essence-35ml-i.58386356.1715375551", "https://shopee.co.id/THESAEM-Jeju-Fresh-Aloe-Essence-35ml-i.58386356.1715375551")</f>
        <v>https://shopee.co.id/THESAEM-Jeju-Fresh-Aloe-Essence-35ml-i.58386356.1715375551</v>
      </c>
      <c r="C2172" s="8" t="s">
        <v>2339</v>
      </c>
      <c r="D2172" s="8" t="s">
        <v>2340</v>
      </c>
      <c r="E2172" s="8" t="s">
        <v>12</v>
      </c>
      <c r="F2172" s="8" t="s">
        <v>13</v>
      </c>
      <c r="G2172" s="8" t="s">
        <v>21</v>
      </c>
      <c r="H2172" s="16">
        <v>3.0</v>
      </c>
      <c r="I2172" s="15" t="str">
        <f>SUBSTITUTE(Sheet1!K2172, "Rp", "")</f>
        <v>544050</v>
      </c>
    </row>
    <row r="2173">
      <c r="A2173" s="8" t="s">
        <v>3269</v>
      </c>
      <c r="B2173" s="13" t="str">
        <f>HYPERLINK("https://shopee.co.id/TRILOGY-CERTIFIED-ORGANIC-RHO-ROLLER-10-ml-i.53497038.3435472167", "https://shopee.co.id/TRILOGY-CERTIFIED-ORGANIC-RHO-ROLLER-10-ml-i.53497038.3435472167")</f>
        <v>https://shopee.co.id/TRILOGY-CERTIFIED-ORGANIC-RHO-ROLLER-10-ml-i.53497038.3435472167</v>
      </c>
      <c r="C2173" s="8" t="s">
        <v>906</v>
      </c>
      <c r="D2173" s="8" t="s">
        <v>907</v>
      </c>
      <c r="E2173" s="8" t="s">
        <v>12</v>
      </c>
      <c r="F2173" s="8" t="s">
        <v>13</v>
      </c>
      <c r="G2173" s="8" t="s">
        <v>61</v>
      </c>
      <c r="H2173" s="16">
        <v>3.0</v>
      </c>
      <c r="I2173" s="15" t="str">
        <f>SUBSTITUTE(Sheet1!K2173, "Rp", "")</f>
        <v>456000</v>
      </c>
    </row>
    <row r="2174">
      <c r="A2174" s="8" t="s">
        <v>3327</v>
      </c>
      <c r="B2174" s="13" t="str">
        <f>HYPERLINK("https://shopee.co.id/Tuesbelle-SKIN-GAME-Focus-Spot-Guard-Serum-30ml-i.36872574.8285479895", "https://shopee.co.id/Tuesbelle-SKIN-GAME-Focus-Spot-Guard-Serum-30ml-i.36872574.8285479895")</f>
        <v>https://shopee.co.id/Tuesbelle-SKIN-GAME-Focus-Spot-Guard-Serum-30ml-i.36872574.8285479895</v>
      </c>
      <c r="C2174" s="8" t="s">
        <v>523</v>
      </c>
      <c r="D2174" s="8" t="s">
        <v>969</v>
      </c>
      <c r="E2174" s="8" t="s">
        <v>12</v>
      </c>
      <c r="F2174" s="8" t="s">
        <v>13</v>
      </c>
      <c r="G2174" s="8" t="s">
        <v>115</v>
      </c>
      <c r="H2174" s="16">
        <v>3.0</v>
      </c>
      <c r="I2174" s="15" t="str">
        <f>SUBSTITUTE(Sheet1!K2174, "Rp", "")</f>
        <v>402300</v>
      </c>
    </row>
    <row r="2175">
      <c r="A2175" s="8" t="s">
        <v>1991</v>
      </c>
      <c r="B2175" s="13" t="str">
        <f>HYPERLINK("https://shopee.co.id/Ultima-II-Paket-Procollagen-Extrema-i.152254718.11938331859", "https://shopee.co.id/Ultima-II-Paket-Procollagen-Extrema-i.152254718.11938331859")</f>
        <v>https://shopee.co.id/Ultima-II-Paket-Procollagen-Extrema-i.152254718.11938331859</v>
      </c>
      <c r="C2175" s="8" t="s">
        <v>1210</v>
      </c>
      <c r="D2175" s="8" t="s">
        <v>1211</v>
      </c>
      <c r="E2175" s="8" t="s">
        <v>12</v>
      </c>
      <c r="F2175" s="8" t="s">
        <v>13</v>
      </c>
      <c r="G2175" s="8" t="s">
        <v>469</v>
      </c>
      <c r="H2175" s="16">
        <v>3.0</v>
      </c>
      <c r="I2175" s="15" t="str">
        <f>SUBSTITUTE(Sheet1!K2175, "Rp", "")</f>
        <v>3525000</v>
      </c>
    </row>
    <row r="2176">
      <c r="A2176" s="8" t="s">
        <v>2309</v>
      </c>
      <c r="B2176" s="13" t="str">
        <f>HYPERLINK("https://shopee.co.id/Ultima-II-Procollagen-Extrema-Day-Lotion-30-ml-i.152254718.2689707354", "https://shopee.co.id/Ultima-II-Procollagen-Extrema-Day-Lotion-30-ml-i.152254718.2689707354")</f>
        <v>https://shopee.co.id/Ultima-II-Procollagen-Extrema-Day-Lotion-30-ml-i.152254718.2689707354</v>
      </c>
      <c r="C2176" s="8" t="s">
        <v>1210</v>
      </c>
      <c r="D2176" s="8" t="s">
        <v>1211</v>
      </c>
      <c r="E2176" s="8" t="s">
        <v>12</v>
      </c>
      <c r="F2176" s="8" t="s">
        <v>13</v>
      </c>
      <c r="G2176" s="8" t="s">
        <v>469</v>
      </c>
      <c r="H2176" s="16">
        <v>3.0</v>
      </c>
      <c r="I2176" s="15" t="str">
        <f>SUBSTITUTE(Sheet1!K2176, "Rp", "")</f>
        <v>2235000</v>
      </c>
    </row>
    <row r="2177">
      <c r="A2177" s="8" t="s">
        <v>1925</v>
      </c>
      <c r="B2177" s="13" t="str">
        <f>HYPERLINK("https://shopee.co.id/ULTRA-V-Idebenone-Treatment-Essence-Idebenone-4-ampoule-bonus-I-wand-i.52494401.4379933196", "https://shopee.co.id/ULTRA-V-Idebenone-Treatment-Essence-Idebenone-4-ampoule-bonus-I-wand-i.52494401.4379933196")</f>
        <v>https://shopee.co.id/ULTRA-V-Idebenone-Treatment-Essence-Idebenone-4-ampoule-bonus-I-wand-i.52494401.4379933196</v>
      </c>
      <c r="C2177" s="8" t="s">
        <v>1926</v>
      </c>
      <c r="D2177" s="8" t="s">
        <v>1927</v>
      </c>
      <c r="E2177" s="8" t="s">
        <v>12</v>
      </c>
      <c r="F2177" s="8" t="s">
        <v>13</v>
      </c>
      <c r="G2177" s="8" t="s">
        <v>61</v>
      </c>
      <c r="H2177" s="16">
        <v>3.0</v>
      </c>
      <c r="I2177" s="15" t="str">
        <f>SUBSTITUTE(Sheet1!K2177, "Rp", "")</f>
        <v>3837000</v>
      </c>
    </row>
    <row r="2178">
      <c r="A2178" s="8" t="s">
        <v>3622</v>
      </c>
      <c r="B2178" s="13" t="str">
        <f>HYPERLINK("https://shopee.co.id/VIENNA-BEAUTY-FACE-SERUM-B3-NIACINAMIDE-15ML-BOTTLE-i.8463767.4133501173", "https://shopee.co.id/VIENNA-BEAUTY-FACE-SERUM-B3-NIACINAMIDE-15ML-BOTTLE-i.8463767.4133501173")</f>
        <v>https://shopee.co.id/VIENNA-BEAUTY-FACE-SERUM-B3-NIACINAMIDE-15ML-BOTTLE-i.8463767.4133501173</v>
      </c>
      <c r="C2178" s="8" t="s">
        <v>3453</v>
      </c>
      <c r="D2178" s="8" t="s">
        <v>3454</v>
      </c>
      <c r="E2178" s="8" t="s">
        <v>12</v>
      </c>
      <c r="F2178" s="8" t="s">
        <v>13</v>
      </c>
      <c r="G2178" s="8" t="s">
        <v>36</v>
      </c>
      <c r="H2178" s="16">
        <v>3.0</v>
      </c>
      <c r="I2178" s="15" t="str">
        <f>SUBSTITUTE(Sheet1!K2178, "Rp", "")</f>
        <v>216630</v>
      </c>
    </row>
    <row r="2179">
      <c r="A2179" s="8" t="s">
        <v>2140</v>
      </c>
      <c r="B2179" s="13" t="str">
        <f>HYPERLINK("https://shopee.co.id/Votre-Peau-Skin-Care-Advanced-30-Days-Brighter-Treatment-Package-i.46300234.8639332063", "https://shopee.co.id/Votre-Peau-Skin-Care-Advanced-30-Days-Brighter-Treatment-Package-i.46300234.8639332063")</f>
        <v>https://shopee.co.id/Votre-Peau-Skin-Care-Advanced-30-Days-Brighter-Treatment-Package-i.46300234.8639332063</v>
      </c>
      <c r="C2179" s="8" t="s">
        <v>999</v>
      </c>
      <c r="D2179" s="8" t="s">
        <v>472</v>
      </c>
      <c r="E2179" s="8" t="s">
        <v>12</v>
      </c>
      <c r="F2179" s="8" t="s">
        <v>13</v>
      </c>
      <c r="G2179" s="8" t="s">
        <v>98</v>
      </c>
      <c r="H2179" s="16">
        <v>3.0</v>
      </c>
      <c r="I2179" s="15" t="str">
        <f>SUBSTITUTE(Sheet1!K2179, "Rp", "")</f>
        <v>2770650</v>
      </c>
    </row>
    <row r="2180">
      <c r="A2180" s="8" t="s">
        <v>759</v>
      </c>
      <c r="B2180" s="13" t="str">
        <f>HYPERLINK("https://shopee.co.id/Votre-Peau-Vitamin-C-Serum-30ml-i.10689.545069143", "https://shopee.co.id/Votre-Peau-Vitamin-C-Serum-30ml-i.10689.545069143")</f>
        <v>https://shopee.co.id/Votre-Peau-Vitamin-C-Serum-30ml-i.10689.545069143</v>
      </c>
      <c r="C2180" s="8" t="s">
        <v>471</v>
      </c>
      <c r="D2180" s="8" t="s">
        <v>745</v>
      </c>
      <c r="E2180" s="8" t="s">
        <v>12</v>
      </c>
      <c r="F2180" s="8" t="s">
        <v>13</v>
      </c>
      <c r="G2180" s="8" t="s">
        <v>61</v>
      </c>
      <c r="H2180" s="16">
        <v>3.0</v>
      </c>
      <c r="I2180" s="15" t="str">
        <f>SUBSTITUTE(Sheet1!K2180, "Rp", "")</f>
        <v>715500</v>
      </c>
    </row>
    <row r="2181">
      <c r="A2181" s="8" t="s">
        <v>3480</v>
      </c>
      <c r="B2181" s="13" t="str">
        <f>HYPERLINK("https://shopee.co.id/WHITELAB-Granactive-retinoid-intensive-care-serum-15ml-i.270965687.8173421123", "https://shopee.co.id/WHITELAB-Granactive-retinoid-intensive-care-serum-15ml-i.270965687.8173421123")</f>
        <v>https://shopee.co.id/WHITELAB-Granactive-retinoid-intensive-care-serum-15ml-i.270965687.8173421123</v>
      </c>
      <c r="C2181" s="8" t="s">
        <v>59</v>
      </c>
      <c r="D2181" s="8" t="s">
        <v>379</v>
      </c>
      <c r="E2181" s="8" t="s">
        <v>12</v>
      </c>
      <c r="F2181" s="8" t="s">
        <v>13</v>
      </c>
      <c r="G2181" s="8" t="s">
        <v>380</v>
      </c>
      <c r="H2181" s="16">
        <v>3.0</v>
      </c>
      <c r="I2181" s="15" t="str">
        <f>SUBSTITUTE(Sheet1!K2181, "Rp", "")</f>
        <v>297000</v>
      </c>
    </row>
    <row r="2182">
      <c r="A2182" s="8" t="s">
        <v>3632</v>
      </c>
      <c r="B2182" s="13" t="str">
        <f>HYPERLINK("https://shopee.co.id/Whitelab-Hydrating-Face-Essence-60ml-i.825870.9509706862", "https://shopee.co.id/Whitelab-Hydrating-Face-Essence-60ml-i.825870.9509706862")</f>
        <v>https://shopee.co.id/Whitelab-Hydrating-Face-Essence-60ml-i.825870.9509706862</v>
      </c>
      <c r="C2182" s="8" t="s">
        <v>59</v>
      </c>
      <c r="D2182" s="8" t="s">
        <v>1184</v>
      </c>
      <c r="E2182" s="8" t="s">
        <v>12</v>
      </c>
      <c r="F2182" s="8" t="s">
        <v>13</v>
      </c>
      <c r="G2182" s="8" t="s">
        <v>21</v>
      </c>
      <c r="H2182" s="16">
        <v>3.0</v>
      </c>
      <c r="I2182" s="15" t="str">
        <f>SUBSTITUTE(Sheet1!K2182, "Rp", "")</f>
        <v>211050</v>
      </c>
    </row>
    <row r="2183">
      <c r="A2183" s="8" t="s">
        <v>3435</v>
      </c>
      <c r="B2183" s="13" t="str">
        <f>HYPERLINK("https://shopee.co.id/Zalfa-Natural-Crystal-Youth-Antiaging-Ampoule-i.182704428.6510183191", "https://shopee.co.id/Zalfa-Natural-Crystal-Youth-Antiaging-Ampoule-i.182704428.6510183191")</f>
        <v>https://shopee.co.id/Zalfa-Natural-Crystal-Youth-Antiaging-Ampoule-i.182704428.6510183191</v>
      </c>
      <c r="C2183" s="8" t="s">
        <v>3071</v>
      </c>
      <c r="D2183" s="8" t="s">
        <v>3072</v>
      </c>
      <c r="E2183" s="8" t="s">
        <v>12</v>
      </c>
      <c r="F2183" s="8" t="s">
        <v>13</v>
      </c>
      <c r="G2183" s="8" t="s">
        <v>1085</v>
      </c>
      <c r="H2183" s="16">
        <v>3.0</v>
      </c>
      <c r="I2183" s="15" t="str">
        <f>SUBSTITUTE(Sheet1!K2183, "Rp", "")</f>
        <v>330000</v>
      </c>
    </row>
    <row r="2184">
      <c r="A2184" s="8" t="s">
        <v>3839</v>
      </c>
      <c r="B2184" s="13" t="str">
        <f>HYPERLINK("https://shopee.co.id/-3-Pcs-Hanasui-Serum-Vitamin-C-20ml-i.121791179.3453080630", "https://shopee.co.id/-3-Pcs-Hanasui-Serum-Vitamin-C-20ml-i.121791179.3453080630")</f>
        <v>https://shopee.co.id/-3-Pcs-Hanasui-Serum-Vitamin-C-20ml-i.121791179.3453080630</v>
      </c>
      <c r="C2184" s="8" t="s">
        <v>784</v>
      </c>
      <c r="D2184" s="8" t="s">
        <v>1733</v>
      </c>
      <c r="E2184" s="8" t="s">
        <v>12</v>
      </c>
      <c r="F2184" s="8" t="s">
        <v>13</v>
      </c>
      <c r="G2184" s="8" t="s">
        <v>36</v>
      </c>
      <c r="H2184" s="16">
        <v>2.0</v>
      </c>
      <c r="I2184" s="15" t="str">
        <f>SUBSTITUTE(Sheet1!K2184, "Rp", "")</f>
        <v>108300</v>
      </c>
    </row>
    <row r="2185">
      <c r="A2185" s="8" t="s">
        <v>3486</v>
      </c>
      <c r="B2185" s="13" t="str">
        <f>HYPERLINK("https://shopee.co.id/-CO-RP-1K-Raiku-Anti-Aging-Serum-i.82041605.3879946476", "https://shopee.co.id/-CO-RP-1K-Raiku-Anti-Aging-Serum-i.82041605.3879946476")</f>
        <v>https://shopee.co.id/-CO-RP-1K-Raiku-Anti-Aging-Serum-i.82041605.3879946476</v>
      </c>
      <c r="C2185" s="8" t="s">
        <v>2281</v>
      </c>
      <c r="D2185" s="8" t="s">
        <v>2282</v>
      </c>
      <c r="E2185" s="8" t="s">
        <v>12</v>
      </c>
      <c r="F2185" s="8" t="s">
        <v>13</v>
      </c>
      <c r="G2185" s="8" t="s">
        <v>21</v>
      </c>
      <c r="H2185" s="16">
        <v>2.0</v>
      </c>
      <c r="I2185" s="15" t="str">
        <f>SUBSTITUTE(Sheet1!K2185, "Rp", "")</f>
        <v>296000</v>
      </c>
    </row>
    <row r="2186">
      <c r="A2186" s="8" t="s">
        <v>3874</v>
      </c>
      <c r="B2186" s="13" t="str">
        <f>HYPERLINK("https://shopee.co.id/-Isi-3-Hanasui-Vitamin-C-Serum-20ml-ORANGE-Serum-Wajah-Pelembab-Wajah-Vitamin-Wajah-i.114789399.2848599603", "https://shopee.co.id/-Isi-3-Hanasui-Vitamin-C-Serum-20ml-ORANGE-Serum-Wajah-Pelembab-Wajah-Vitamin-Wajah-i.114789399.2848599603")</f>
        <v>https://shopee.co.id/-Isi-3-Hanasui-Vitamin-C-Serum-20ml-ORANGE-Serum-Wajah-Pelembab-Wajah-Vitamin-Wajah-i.114789399.2848599603</v>
      </c>
      <c r="C2186" s="8" t="s">
        <v>784</v>
      </c>
      <c r="D2186" s="8" t="s">
        <v>2531</v>
      </c>
      <c r="E2186" s="8" t="s">
        <v>12</v>
      </c>
      <c r="F2186" s="8" t="s">
        <v>13</v>
      </c>
      <c r="G2186" s="8" t="s">
        <v>36</v>
      </c>
      <c r="H2186" s="16">
        <v>2.0</v>
      </c>
      <c r="I2186" s="15" t="str">
        <f>SUBSTITUTE(Sheet1!K2186, "Rp", "")</f>
        <v>95713</v>
      </c>
    </row>
    <row r="2187">
      <c r="A2187" s="8" t="s">
        <v>3564</v>
      </c>
      <c r="B2187" s="13" t="str">
        <f>HYPERLINK("https://shopee.co.id/-ORI-100-Illuminare-Brightening-Serum-30ml-Perawatan-Wajah-Serum-Wajah-i.114789399.2649979900", "https://shopee.co.id/-ORI-100-Illuminare-Brightening-Serum-30ml-Perawatan-Wajah-Serum-Wajah-i.114789399.2649979900")</f>
        <v>https://shopee.co.id/-ORI-100-Illuminare-Brightening-Serum-30ml-Perawatan-Wajah-Serum-Wajah-i.114789399.2649979900</v>
      </c>
      <c r="C2187" s="8" t="s">
        <v>1750</v>
      </c>
      <c r="D2187" s="8" t="s">
        <v>2531</v>
      </c>
      <c r="E2187" s="8" t="s">
        <v>12</v>
      </c>
      <c r="F2187" s="8" t="s">
        <v>13</v>
      </c>
      <c r="G2187" s="8" t="s">
        <v>36</v>
      </c>
      <c r="H2187" s="16">
        <v>2.0</v>
      </c>
      <c r="I2187" s="15" t="str">
        <f>SUBSTITUTE(Sheet1!K2187, "Rp", "")</f>
        <v>243000</v>
      </c>
    </row>
    <row r="2188">
      <c r="A2188" s="8" t="s">
        <v>3518</v>
      </c>
      <c r="B2188" s="13" t="str">
        <f>HYPERLINK("https://shopee.co.id/Beauty-In-The-Pot-Brightening-Serum-3-Pcs-Lebih-Hemat-Mencegah-Penuaan-Dini-Wajah-Bersih-i.254413838.8213749759", "https://shopee.co.id/Beauty-In-The-Pot-Brightening-Serum-3-Pcs-Lebih-Hemat-Mencegah-Penuaan-Dini-Wajah-Bersih-i.254413838.8213749759")</f>
        <v>https://shopee.co.id/Beauty-In-The-Pot-Brightening-Serum-3-Pcs-Lebih-Hemat-Mencegah-Penuaan-Dini-Wajah-Bersih-i.254413838.8213749759</v>
      </c>
      <c r="C2188" s="8" t="s">
        <v>1495</v>
      </c>
      <c r="D2188" s="8" t="s">
        <v>1496</v>
      </c>
      <c r="E2188" s="8" t="s">
        <v>12</v>
      </c>
      <c r="F2188" s="8" t="s">
        <v>13</v>
      </c>
      <c r="G2188" s="8" t="s">
        <v>85</v>
      </c>
      <c r="H2188" s="16">
        <v>2.0</v>
      </c>
      <c r="I2188" s="15" t="str">
        <f>SUBSTITUTE(Sheet1!K2188, "Rp", "")</f>
        <v>278000</v>
      </c>
    </row>
    <row r="2189">
      <c r="A2189" s="8" t="s">
        <v>3681</v>
      </c>
      <c r="B2189" s="13" t="str">
        <f>HYPERLINK("https://shopee.co.id/Noola-Breezy-Willow-Moist-Serum-30ml-i.50948181.9189637290", "https://shopee.co.id/Noola-Breezy-Willow-Moist-Serum-30ml-i.50948181.9189637290")</f>
        <v>https://shopee.co.id/Noola-Breezy-Willow-Moist-Serum-30ml-i.50948181.9189637290</v>
      </c>
      <c r="C2189" s="8" t="s">
        <v>2794</v>
      </c>
      <c r="D2189" s="8" t="s">
        <v>1129</v>
      </c>
      <c r="E2189" s="8" t="s">
        <v>12</v>
      </c>
      <c r="F2189" s="8" t="s">
        <v>13</v>
      </c>
      <c r="G2189" s="8" t="s">
        <v>1130</v>
      </c>
      <c r="H2189" s="16">
        <v>2.0</v>
      </c>
      <c r="I2189" s="15" t="str">
        <f>SUBSTITUTE(Sheet1!K2189, "Rp", "")</f>
        <v>188100</v>
      </c>
    </row>
    <row r="2190">
      <c r="A2190" s="8" t="s">
        <v>3048</v>
      </c>
      <c r="B2190" s="13" t="str">
        <f>HYPERLINK("https://shopee.co.id/-Official-Distributor-By-Wishtrend-Quad-Active-Boosting-Essence-100ml-i.438396149.5888359898", "https://shopee.co.id/-Official-Distributor-By-Wishtrend-Quad-Active-Boosting-Essence-100ml-i.438396149.5888359898")</f>
        <v>https://shopee.co.id/-Official-Distributor-By-Wishtrend-Quad-Active-Boosting-Essence-100ml-i.438396149.5888359898</v>
      </c>
      <c r="C2190" s="8" t="s">
        <v>2759</v>
      </c>
      <c r="D2190" s="8" t="s">
        <v>2760</v>
      </c>
      <c r="E2190" s="8" t="s">
        <v>12</v>
      </c>
      <c r="F2190" s="8" t="s">
        <v>13</v>
      </c>
      <c r="G2190" s="8" t="s">
        <v>21</v>
      </c>
      <c r="H2190" s="16">
        <v>2.0</v>
      </c>
      <c r="I2190" s="15" t="str">
        <f>SUBSTITUTE(Sheet1!K2190, "Rp", "")</f>
        <v>676800</v>
      </c>
    </row>
    <row r="2191">
      <c r="A2191" s="8" t="s">
        <v>2896</v>
      </c>
      <c r="B2191" s="13" t="str">
        <f>HYPERLINK("https://shopee.co.id/-The-Face-Shop-Dr-Belmeur-Vita-Serine-Serum-45ml-Original-i.34671748.3282214015", "https://shopee.co.id/-The-Face-Shop-Dr-Belmeur-Vita-Serine-Serum-45ml-Original-i.34671748.3282214015")</f>
        <v>https://shopee.co.id/-The-Face-Shop-Dr-Belmeur-Vita-Serine-Serum-45ml-Original-i.34671748.3282214015</v>
      </c>
      <c r="C2191" s="8" t="s">
        <v>1217</v>
      </c>
      <c r="D2191" s="8" t="s">
        <v>1218</v>
      </c>
      <c r="E2191" s="8" t="s">
        <v>12</v>
      </c>
      <c r="F2191" s="8" t="s">
        <v>13</v>
      </c>
      <c r="G2191" s="8" t="s">
        <v>61</v>
      </c>
      <c r="H2191" s="16">
        <v>2.0</v>
      </c>
      <c r="I2191" s="15" t="str">
        <f>SUBSTITUTE(Sheet1!K2191, "Rp", "")</f>
        <v>904500</v>
      </c>
    </row>
    <row r="2192">
      <c r="A2192" s="8" t="s">
        <v>3739</v>
      </c>
      <c r="B2192" s="13" t="str">
        <f>HYPERLINK("https://shopee.co.id/Acnes-Derma-Anti-Blemish-Essence-20-mL-i.65323877.10319057773", "https://shopee.co.id/Acnes-Derma-Anti-Blemish-Essence-20-mL-i.65323877.10319057773")</f>
        <v>https://shopee.co.id/Acnes-Derma-Anti-Blemish-Essence-20-mL-i.65323877.10319057773</v>
      </c>
      <c r="C2192" s="8" t="s">
        <v>1162</v>
      </c>
      <c r="D2192" s="8" t="s">
        <v>1600</v>
      </c>
      <c r="E2192" s="8" t="s">
        <v>12</v>
      </c>
      <c r="F2192" s="8" t="s">
        <v>13</v>
      </c>
      <c r="G2192" s="8" t="s">
        <v>296</v>
      </c>
      <c r="H2192" s="16">
        <v>2.0</v>
      </c>
      <c r="I2192" s="15" t="str">
        <f>SUBSTITUTE(Sheet1!K2192, "Rp", "")</f>
        <v>157700</v>
      </c>
    </row>
    <row r="2193">
      <c r="A2193" s="8" t="s">
        <v>3744</v>
      </c>
      <c r="B2193" s="13" t="str">
        <f>HYPERLINK("https://shopee.co.id/Acnes-Derma-Care-Anti-Blemish-Essence-20ml-Noda-Jerawat-i.114789399.9428947643", "https://shopee.co.id/Acnes-Derma-Care-Anti-Blemish-Essence-20ml-Noda-Jerawat-i.114789399.9428947643")</f>
        <v>https://shopee.co.id/Acnes-Derma-Care-Anti-Blemish-Essence-20ml-Noda-Jerawat-i.114789399.9428947643</v>
      </c>
      <c r="C2193" s="8" t="s">
        <v>3634</v>
      </c>
      <c r="D2193" s="8" t="s">
        <v>2531</v>
      </c>
      <c r="E2193" s="8" t="s">
        <v>12</v>
      </c>
      <c r="F2193" s="8" t="s">
        <v>13</v>
      </c>
      <c r="G2193" s="8" t="s">
        <v>36</v>
      </c>
      <c r="H2193" s="16">
        <v>2.0</v>
      </c>
      <c r="I2193" s="15" t="str">
        <f>SUBSTITUTE(Sheet1!K2193, "Rp", "")</f>
        <v>152880</v>
      </c>
    </row>
    <row r="2194">
      <c r="A2194" s="8" t="s">
        <v>2853</v>
      </c>
      <c r="B2194" s="13" t="str">
        <f>HYPERLINK("https://shopee.co.id/ACNOC-All-Hybrid-Essence-30ml-FREE-Mini-Acneser-Spot-Gel-5G--i.97148691.2818551819", "https://shopee.co.id/ACNOC-All-Hybrid-Essence-30ml-FREE-Mini-Acneser-Spot-Gel-5G--i.97148691.2818551819")</f>
        <v>https://shopee.co.id/ACNOC-All-Hybrid-Essence-30ml-FREE-Mini-Acneser-Spot-Gel-5G--i.97148691.2818551819</v>
      </c>
      <c r="C2194" s="8" t="s">
        <v>2854</v>
      </c>
      <c r="D2194" s="8" t="s">
        <v>2855</v>
      </c>
      <c r="E2194" s="8" t="s">
        <v>12</v>
      </c>
      <c r="F2194" s="8" t="s">
        <v>13</v>
      </c>
      <c r="G2194" s="8" t="s">
        <v>85</v>
      </c>
      <c r="H2194" s="16">
        <v>2.0</v>
      </c>
      <c r="I2194" s="15" t="str">
        <f>SUBSTITUTE(Sheet1!K2194, "Rp", "")</f>
        <v>960000</v>
      </c>
    </row>
    <row r="2195">
      <c r="A2195" s="8" t="s">
        <v>3199</v>
      </c>
      <c r="B2195" s="13" t="str">
        <f>HYPERLINK("https://shopee.co.id/AGE20-S-Jericho-Rose-Essence-Cover-Pact-Triple-Rose-i.227589586.8765526984", "https://shopee.co.id/AGE20-S-Jericho-Rose-Essence-Cover-Pact-Triple-Rose-i.227589586.8765526984")</f>
        <v>https://shopee.co.id/AGE20-S-Jericho-Rose-Essence-Cover-Pact-Triple-Rose-i.227589586.8765526984</v>
      </c>
      <c r="C2195" s="8" t="s">
        <v>3200</v>
      </c>
      <c r="D2195" s="8" t="s">
        <v>3201</v>
      </c>
      <c r="E2195" s="8" t="s">
        <v>12</v>
      </c>
      <c r="F2195" s="8" t="s">
        <v>13</v>
      </c>
      <c r="G2195" s="8" t="s">
        <v>98</v>
      </c>
      <c r="H2195" s="16">
        <v>2.0</v>
      </c>
      <c r="I2195" s="15" t="str">
        <f>SUBSTITUTE(Sheet1!K2195, "Rp", "")</f>
        <v>518000</v>
      </c>
    </row>
    <row r="2196">
      <c r="A2196" s="8" t="s">
        <v>3175</v>
      </c>
      <c r="B2196" s="13" t="str">
        <f>HYPERLINK("https://shopee.co.id/AHC-Hyaluronic-Emulsion-Size-100-ml-Edit-by-Sociolla-i.224957239.4145284244", "https://shopee.co.id/AHC-Hyaluronic-Emulsion-Size-100-ml-Edit-by-Sociolla-i.224957239.4145284244")</f>
        <v>https://shopee.co.id/AHC-Hyaluronic-Emulsion-Size-100-ml-Edit-by-Sociolla-i.224957239.4145284244</v>
      </c>
      <c r="C2196" s="8" t="s">
        <v>2053</v>
      </c>
      <c r="D2196" s="8" t="s">
        <v>492</v>
      </c>
      <c r="E2196" s="8" t="s">
        <v>12</v>
      </c>
      <c r="F2196" s="8" t="s">
        <v>13</v>
      </c>
      <c r="G2196" s="8" t="s">
        <v>21</v>
      </c>
      <c r="H2196" s="16">
        <v>2.0</v>
      </c>
      <c r="I2196" s="15" t="str">
        <f>SUBSTITUTE(Sheet1!K2196, "Rp", "")</f>
        <v>544600</v>
      </c>
    </row>
    <row r="2197">
      <c r="A2197" s="8" t="s">
        <v>3108</v>
      </c>
      <c r="B2197" s="13" t="str">
        <f>HYPERLINK("https://shopee.co.id/Ahc-The-Aesthe-Youth-Emulsion-120ml-i.30736001.10912077435", "https://shopee.co.id/Ahc-The-Aesthe-Youth-Emulsion-120ml-i.30736001.10912077435")</f>
        <v>https://shopee.co.id/Ahc-The-Aesthe-Youth-Emulsion-120ml-i.30736001.10912077435</v>
      </c>
      <c r="C2197" s="8" t="s">
        <v>2053</v>
      </c>
      <c r="D2197" s="8" t="s">
        <v>335</v>
      </c>
      <c r="E2197" s="8" t="s">
        <v>12</v>
      </c>
      <c r="F2197" s="8" t="s">
        <v>13</v>
      </c>
      <c r="G2197" s="8" t="s">
        <v>36</v>
      </c>
      <c r="H2197" s="16">
        <v>2.0</v>
      </c>
      <c r="I2197" s="15" t="str">
        <f>SUBSTITUTE(Sheet1!K2197, "Rp", "")</f>
        <v>614400</v>
      </c>
    </row>
    <row r="2198">
      <c r="A2198" s="8" t="s">
        <v>3578</v>
      </c>
      <c r="B2198" s="13" t="str">
        <f>HYPERLINK("https://shopee.co.id/Aish-Serum-Brightening-Original-Serum-Korean-Pencerah-Wajah-Glowing-Serum-Pemutih-Wajah-BPOM-Serum-Viral-Tiktok-Aish-i.287975332.12909535576", "https://shopee.co.id/Aish-Serum-Brightening-Original-Serum-Korean-Pencerah-Wajah-Glowing-Serum-Pemutih-Wajah-BPOM-Serum-Viral-Tiktok-Aish-i.287975332.12909535576")</f>
        <v>https://shopee.co.id/Aish-Serum-Brightening-Original-Serum-Korean-Pencerah-Wajah-Glowing-Serum-Pemutih-Wajah-BPOM-Serum-Viral-Tiktok-Aish-i.287975332.12909535576</v>
      </c>
      <c r="C2198" s="8" t="s">
        <v>348</v>
      </c>
      <c r="D2198" s="8" t="s">
        <v>349</v>
      </c>
      <c r="E2198" s="8" t="s">
        <v>12</v>
      </c>
      <c r="F2198" s="8" t="s">
        <v>13</v>
      </c>
      <c r="G2198" s="8" t="s">
        <v>350</v>
      </c>
      <c r="H2198" s="16">
        <v>2.0</v>
      </c>
      <c r="I2198" s="15" t="str">
        <f>SUBSTITUTE(Sheet1!K2198, "Rp", "")</f>
        <v>238000</v>
      </c>
    </row>
    <row r="2199">
      <c r="A2199" s="8" t="s">
        <v>3540</v>
      </c>
      <c r="B2199" s="13" t="str">
        <f>HYPERLINK("https://shopee.co.id/AIZEN-L-Glutathione-10-Ultra-Ampoule-i.68111.3284732912", "https://shopee.co.id/AIZEN-L-Glutathione-10-Ultra-Ampoule-i.68111.3284732912")</f>
        <v>https://shopee.co.id/AIZEN-L-Glutathione-10-Ultra-Ampoule-i.68111.3284732912</v>
      </c>
      <c r="C2199" s="8" t="s">
        <v>1325</v>
      </c>
      <c r="D2199" s="8" t="s">
        <v>441</v>
      </c>
      <c r="E2199" s="8" t="s">
        <v>12</v>
      </c>
      <c r="F2199" s="8" t="s">
        <v>13</v>
      </c>
      <c r="G2199" s="8" t="s">
        <v>130</v>
      </c>
      <c r="H2199" s="16">
        <v>2.0</v>
      </c>
      <c r="I2199" s="15" t="str">
        <f>SUBSTITUTE(Sheet1!K2199, "Rp", "")</f>
        <v>264100</v>
      </c>
    </row>
    <row r="2200">
      <c r="A2200" s="8" t="s">
        <v>3541</v>
      </c>
      <c r="B2200" s="13" t="str">
        <f>HYPERLINK("https://shopee.co.id/AIZEN-SepiWhite-MSH-3-Ultra-Ampoule-i.68111.6584597890", "https://shopee.co.id/AIZEN-SepiWhite-MSH-3-Ultra-Ampoule-i.68111.6584597890")</f>
        <v>https://shopee.co.id/AIZEN-SepiWhite-MSH-3-Ultra-Ampoule-i.68111.6584597890</v>
      </c>
      <c r="C2200" s="8" t="s">
        <v>1325</v>
      </c>
      <c r="D2200" s="8" t="s">
        <v>441</v>
      </c>
      <c r="E2200" s="8" t="s">
        <v>12</v>
      </c>
      <c r="F2200" s="8" t="s">
        <v>13</v>
      </c>
      <c r="G2200" s="8" t="s">
        <v>130</v>
      </c>
      <c r="H2200" s="16">
        <v>2.0</v>
      </c>
      <c r="I2200" s="15" t="str">
        <f>SUBSTITUTE(Sheet1!K2200, "Rp", "")</f>
        <v>264100</v>
      </c>
    </row>
    <row r="2201">
      <c r="A2201" s="8" t="s">
        <v>3637</v>
      </c>
      <c r="B2201" s="13" t="str">
        <f>HYPERLINK("https://shopee.co.id/Amaranthine-Lineage-Complex-BIO-Intensive-Serum-Q74066-i.199182536.3120681378", "https://shopee.co.id/Amaranthine-Lineage-Complex-BIO-Intensive-Serum-Q74066-i.199182536.3120681378")</f>
        <v>https://shopee.co.id/Amaranthine-Lineage-Complex-BIO-Intensive-Serum-Q74066-i.199182536.3120681378</v>
      </c>
      <c r="C2201" s="8" t="s">
        <v>3638</v>
      </c>
      <c r="D2201" s="8" t="s">
        <v>3639</v>
      </c>
      <c r="E2201" s="8" t="s">
        <v>12</v>
      </c>
      <c r="F2201" s="8" t="s">
        <v>13</v>
      </c>
      <c r="G2201" s="8" t="s">
        <v>1048</v>
      </c>
      <c r="H2201" s="16">
        <v>2.0</v>
      </c>
      <c r="I2201" s="15" t="str">
        <f>SUBSTITUTE(Sheet1!K2201, "Rp", "")</f>
        <v>208000</v>
      </c>
    </row>
    <row r="2202">
      <c r="A2202" s="8" t="s">
        <v>2701</v>
      </c>
      <c r="B2202" s="13" t="str">
        <f>HYPERLINK("https://shopee.co.id/Aqua-Series-Radiance-Intensive-Essence-30ml-i.825870.2018071677", "https://shopee.co.id/Aqua-Series-Radiance-Intensive-Essence-30ml-i.825870.2018071677")</f>
        <v>https://shopee.co.id/Aqua-Series-Radiance-Intensive-Essence-30ml-i.825870.2018071677</v>
      </c>
      <c r="C2202" s="8" t="s">
        <v>2702</v>
      </c>
      <c r="D2202" s="8" t="s">
        <v>1184</v>
      </c>
      <c r="E2202" s="8" t="s">
        <v>12</v>
      </c>
      <c r="F2202" s="8" t="s">
        <v>13</v>
      </c>
      <c r="G2202" s="8" t="s">
        <v>21</v>
      </c>
      <c r="H2202" s="16">
        <v>2.0</v>
      </c>
      <c r="I2202" s="15" t="str">
        <f>SUBSTITUTE(Sheet1!K2202, "Rp", "")</f>
        <v>1228000</v>
      </c>
    </row>
    <row r="2203">
      <c r="A2203" s="8" t="s">
        <v>3748</v>
      </c>
      <c r="B2203" s="13" t="str">
        <f>HYPERLINK("https://shopee.co.id/Arginine-Serum-Marwah-Skin-Care-i.357101711.8215956640", "https://shopee.co.id/Arginine-Serum-Marwah-Skin-Care-i.357101711.8215956640")</f>
        <v>https://shopee.co.id/Arginine-Serum-Marwah-Skin-Care-i.357101711.8215956640</v>
      </c>
      <c r="C2203" s="8" t="s">
        <v>2249</v>
      </c>
      <c r="D2203" s="8" t="s">
        <v>2250</v>
      </c>
      <c r="E2203" s="8" t="s">
        <v>12</v>
      </c>
      <c r="F2203" s="8" t="s">
        <v>13</v>
      </c>
      <c r="G2203" s="8" t="s">
        <v>370</v>
      </c>
      <c r="H2203" s="16">
        <v>2.0</v>
      </c>
      <c r="I2203" s="15" t="str">
        <f>SUBSTITUTE(Sheet1!K2203, "Rp", "")</f>
        <v>150000</v>
      </c>
    </row>
    <row r="2204">
      <c r="A2204" s="8" t="s">
        <v>2441</v>
      </c>
      <c r="B2204" s="13" t="str">
        <f>HYPERLINK("https://shopee.co.id/Astalift-White-Essence-Infilt-30ml-i.104888237.2120902785", "https://shopee.co.id/Astalift-White-Essence-Infilt-30ml-i.104888237.2120902785")</f>
        <v>https://shopee.co.id/Astalift-White-Essence-Infilt-30ml-i.104888237.2120902785</v>
      </c>
      <c r="C2204" s="8" t="s">
        <v>1529</v>
      </c>
      <c r="D2204" s="8" t="s">
        <v>1530</v>
      </c>
      <c r="E2204" s="8" t="s">
        <v>12</v>
      </c>
      <c r="F2204" s="8" t="s">
        <v>13</v>
      </c>
      <c r="G2204" s="8" t="s">
        <v>61</v>
      </c>
      <c r="H2204" s="16">
        <v>2.0</v>
      </c>
      <c r="I2204" s="15" t="str">
        <f>SUBSTITUTE(Sheet1!K2204, "Rp", "")</f>
        <v>1840000</v>
      </c>
    </row>
    <row r="2205">
      <c r="A2205" s="8" t="s">
        <v>3767</v>
      </c>
      <c r="B2205" s="13" t="str">
        <f>HYPERLINK("https://shopee.co.id/ASTALIFT-WHITE-ESSENCE-INFILT-5-ML-i.104888237.9633139241", "https://shopee.co.id/ASTALIFT-WHITE-ESSENCE-INFILT-5-ML-i.104888237.9633139241")</f>
        <v>https://shopee.co.id/ASTALIFT-WHITE-ESSENCE-INFILT-5-ML-i.104888237.9633139241</v>
      </c>
      <c r="C2205" s="8" t="s">
        <v>1529</v>
      </c>
      <c r="D2205" s="8" t="s">
        <v>1530</v>
      </c>
      <c r="E2205" s="8" t="s">
        <v>12</v>
      </c>
      <c r="F2205" s="8" t="s">
        <v>13</v>
      </c>
      <c r="G2205" s="8" t="s">
        <v>61</v>
      </c>
      <c r="H2205" s="16">
        <v>2.0</v>
      </c>
      <c r="I2205" s="15" t="str">
        <f>SUBSTITUTE(Sheet1!K2205, "Rp", "")</f>
        <v>140000</v>
      </c>
    </row>
    <row r="2206">
      <c r="A2206" s="8" t="s">
        <v>3682</v>
      </c>
      <c r="B2206" s="13" t="str">
        <f>HYPERLINK("https://shopee.co.id/Aubree-Centella-Herb-Serum-Unscented-30ml-i.825870.3030353236", "https://shopee.co.id/Aubree-Centella-Herb-Serum-Unscented-30ml-i.825870.3030353236")</f>
        <v>https://shopee.co.id/Aubree-Centella-Herb-Serum-Unscented-30ml-i.825870.3030353236</v>
      </c>
      <c r="C2206" s="8" t="s">
        <v>2642</v>
      </c>
      <c r="D2206" s="8" t="s">
        <v>1184</v>
      </c>
      <c r="E2206" s="8" t="s">
        <v>12</v>
      </c>
      <c r="F2206" s="8" t="s">
        <v>13</v>
      </c>
      <c r="G2206" s="8" t="s">
        <v>21</v>
      </c>
      <c r="H2206" s="16">
        <v>2.0</v>
      </c>
      <c r="I2206" s="15" t="str">
        <f>SUBSTITUTE(Sheet1!K2206, "Rp", "")</f>
        <v>188100</v>
      </c>
    </row>
    <row r="2207">
      <c r="A2207" s="8" t="s">
        <v>3660</v>
      </c>
      <c r="B2207" s="13" t="str">
        <f>HYPERLINK("https://shopee.co.id/Aubree-Hyaluron-Hydrating-Serum-30ml-i.825870.10747357317", "https://shopee.co.id/Aubree-Hyaluron-Hydrating-Serum-30ml-i.825870.10747357317")</f>
        <v>https://shopee.co.id/Aubree-Hyaluron-Hydrating-Serum-30ml-i.825870.10747357317</v>
      </c>
      <c r="C2207" s="8" t="s">
        <v>2642</v>
      </c>
      <c r="D2207" s="8" t="s">
        <v>1184</v>
      </c>
      <c r="E2207" s="8" t="s">
        <v>12</v>
      </c>
      <c r="F2207" s="8" t="s">
        <v>13</v>
      </c>
      <c r="G2207" s="8" t="s">
        <v>21</v>
      </c>
      <c r="H2207" s="16">
        <v>2.0</v>
      </c>
      <c r="I2207" s="15" t="str">
        <f>SUBSTITUTE(Sheet1!K2207, "Rp", "")</f>
        <v>198000</v>
      </c>
    </row>
    <row r="2208">
      <c r="A2208" s="8" t="s">
        <v>1225</v>
      </c>
      <c r="B2208" s="13" t="str">
        <f>HYPERLINK("https://shopee.co.id/Avoskin-Miraculous-Refining-Serum-30ml-i.10689.1876173321", "https://shopee.co.id/Avoskin-Miraculous-Refining-Serum-30ml-i.10689.1876173321")</f>
        <v>https://shopee.co.id/Avoskin-Miraculous-Refining-Serum-30ml-i.10689.1876173321</v>
      </c>
      <c r="C2208" s="8" t="s">
        <v>83</v>
      </c>
      <c r="D2208" s="8" t="s">
        <v>745</v>
      </c>
      <c r="E2208" s="8" t="s">
        <v>12</v>
      </c>
      <c r="F2208" s="8" t="s">
        <v>13</v>
      </c>
      <c r="G2208" s="8" t="s">
        <v>61</v>
      </c>
      <c r="H2208" s="16">
        <v>2.0</v>
      </c>
      <c r="I2208" s="15" t="str">
        <f>SUBSTITUTE(Sheet1!K2208, "Rp", "")</f>
        <v>478000</v>
      </c>
    </row>
    <row r="2209">
      <c r="A2209" s="8" t="s">
        <v>2435</v>
      </c>
      <c r="B2209" s="13" t="str">
        <f>HYPERLINK("https://shopee.co.id/Azarine-Aqua-Essence-Sun-Shield-Serum-SPF-50-PA-100ml-i.65323877.13402816277", "https://shopee.co.id/Azarine-Aqua-Essence-Sun-Shield-Serum-SPF-50-PA-100ml-i.65323877.13402816277")</f>
        <v>https://shopee.co.id/Azarine-Aqua-Essence-Sun-Shield-Serum-SPF-50-PA-100ml-i.65323877.13402816277</v>
      </c>
      <c r="C2209" s="8" t="s">
        <v>233</v>
      </c>
      <c r="D2209" s="8" t="s">
        <v>1600</v>
      </c>
      <c r="E2209" s="8" t="s">
        <v>12</v>
      </c>
      <c r="F2209" s="8" t="s">
        <v>13</v>
      </c>
      <c r="G2209" s="8" t="s">
        <v>296</v>
      </c>
      <c r="H2209" s="16">
        <v>2.0</v>
      </c>
      <c r="I2209" s="15" t="str">
        <f>SUBSTITUTE(Sheet1!K2209, "Rp", "")</f>
        <v>177000</v>
      </c>
    </row>
    <row r="2210">
      <c r="A2210" s="8" t="s">
        <v>1816</v>
      </c>
      <c r="B2210" s="13" t="str">
        <f>HYPERLINK("https://shopee.co.id/Babor-Lifting-Cellular-Collagen-Infusion-28ML-i.131188140.1971037790", "https://shopee.co.id/Babor-Lifting-Cellular-Collagen-Infusion-28ML-i.131188140.1971037790")</f>
        <v>https://shopee.co.id/Babor-Lifting-Cellular-Collagen-Infusion-28ML-i.131188140.1971037790</v>
      </c>
      <c r="C2210" s="8" t="s">
        <v>1433</v>
      </c>
      <c r="D2210" s="8" t="s">
        <v>1434</v>
      </c>
      <c r="E2210" s="8" t="s">
        <v>12</v>
      </c>
      <c r="F2210" s="8" t="s">
        <v>13</v>
      </c>
      <c r="G2210" s="8" t="s">
        <v>61</v>
      </c>
      <c r="H2210" s="16">
        <v>2.0</v>
      </c>
      <c r="I2210" s="15" t="str">
        <f>SUBSTITUTE(Sheet1!K2210, "Rp", "")</f>
        <v>4600000</v>
      </c>
    </row>
    <row r="2211">
      <c r="A2211" s="8" t="s">
        <v>3292</v>
      </c>
      <c r="B2211" s="13" t="str">
        <f>HYPERLINK("https://shopee.co.id/BeautieSS-24K-Gold-Yourth-Glow-Booster-i.48098269.6182398553", "https://shopee.co.id/BeautieSS-24K-Gold-Yourth-Glow-Booster-i.48098269.6182398553")</f>
        <v>https://shopee.co.id/BeautieSS-24K-Gold-Yourth-Glow-Booster-i.48098269.6182398553</v>
      </c>
      <c r="C2211" s="8" t="s">
        <v>3165</v>
      </c>
      <c r="D2211" s="8" t="s">
        <v>3166</v>
      </c>
      <c r="E2211" s="8" t="s">
        <v>12</v>
      </c>
      <c r="F2211" s="8" t="s">
        <v>13</v>
      </c>
      <c r="G2211" s="8" t="s">
        <v>241</v>
      </c>
      <c r="H2211" s="16">
        <v>2.0</v>
      </c>
      <c r="I2211" s="15" t="str">
        <f>SUBSTITUTE(Sheet1!K2211, "Rp", "")</f>
        <v>437500</v>
      </c>
    </row>
    <row r="2212">
      <c r="A2212" s="8" t="s">
        <v>3390</v>
      </c>
      <c r="B2212" s="13" t="str">
        <f>HYPERLINK("https://shopee.co.id/BeautieSS-Advance-Dark-Spot-Corrector-Serum-i.48098269.9727972606", "https://shopee.co.id/BeautieSS-Advance-Dark-Spot-Corrector-Serum-i.48098269.9727972606")</f>
        <v>https://shopee.co.id/BeautieSS-Advance-Dark-Spot-Corrector-Serum-i.48098269.9727972606</v>
      </c>
      <c r="C2212" s="8" t="s">
        <v>3165</v>
      </c>
      <c r="D2212" s="8" t="s">
        <v>3166</v>
      </c>
      <c r="E2212" s="8" t="s">
        <v>12</v>
      </c>
      <c r="F2212" s="8" t="s">
        <v>13</v>
      </c>
      <c r="G2212" s="8" t="s">
        <v>241</v>
      </c>
      <c r="H2212" s="16">
        <v>2.0</v>
      </c>
      <c r="I2212" s="15" t="str">
        <f>SUBSTITUTE(Sheet1!K2212, "Rp", "")</f>
        <v>370000</v>
      </c>
    </row>
    <row r="2213">
      <c r="A2213" s="8" t="s">
        <v>3427</v>
      </c>
      <c r="B2213" s="13" t="str">
        <f>HYPERLINK("https://shopee.co.id/Beautybarme-Somebymi-Aha-Bha-Pha-Centella-Asiatica-30-Days-Miracle-Serum-50-Ml-i.28781862.1530586232", "https://shopee.co.id/Beautybarme-Somebymi-Aha-Bha-Pha-Centella-Asiatica-30-Days-Miracle-Serum-50-Ml-i.28781862.1530586232")</f>
        <v>https://shopee.co.id/Beautybarme-Somebymi-Aha-Bha-Pha-Centella-Asiatica-30-Days-Miracle-Serum-50-Ml-i.28781862.1530586232</v>
      </c>
      <c r="C2213" s="8" t="s">
        <v>213</v>
      </c>
      <c r="D2213" s="8" t="s">
        <v>1189</v>
      </c>
      <c r="E2213" s="8" t="s">
        <v>12</v>
      </c>
      <c r="F2213" s="8" t="s">
        <v>13</v>
      </c>
      <c r="G2213" s="8" t="s">
        <v>1190</v>
      </c>
      <c r="H2213" s="16">
        <v>2.0</v>
      </c>
      <c r="I2213" s="15" t="str">
        <f>SUBSTITUTE(Sheet1!K2213, "Rp", "")</f>
        <v>338000</v>
      </c>
    </row>
    <row r="2214">
      <c r="A2214" s="8" t="s">
        <v>3371</v>
      </c>
      <c r="B2214" s="13" t="str">
        <f>HYPERLINK("https://shopee.co.id/Beautybarme-The-Ordinary-Caffeine-Solution-5-Egcg-i.28781862.6217076809", "https://shopee.co.id/Beautybarme-The-Ordinary-Caffeine-Solution-5-Egcg-i.28781862.6217076809")</f>
        <v>https://shopee.co.id/Beautybarme-The-Ordinary-Caffeine-Solution-5-Egcg-i.28781862.6217076809</v>
      </c>
      <c r="C2214" s="8" t="s">
        <v>1245</v>
      </c>
      <c r="D2214" s="8" t="s">
        <v>1189</v>
      </c>
      <c r="E2214" s="8" t="s">
        <v>12</v>
      </c>
      <c r="F2214" s="8" t="s">
        <v>13</v>
      </c>
      <c r="G2214" s="8" t="s">
        <v>1190</v>
      </c>
      <c r="H2214" s="16">
        <v>2.0</v>
      </c>
      <c r="I2214" s="15" t="str">
        <f>SUBSTITUTE(Sheet1!K2214, "Rp", "")</f>
        <v>378000</v>
      </c>
    </row>
    <row r="2215">
      <c r="A2215" s="8" t="s">
        <v>3521</v>
      </c>
      <c r="B2215" s="13" t="str">
        <f>HYPERLINK("https://shopee.co.id/Benton-Tea-Tree-Serum-30-ml-i.125116082.8612197289", "https://shopee.co.id/Benton-Tea-Tree-Serum-30-ml-i.125116082.8612197289")</f>
        <v>https://shopee.co.id/Benton-Tea-Tree-Serum-30-ml-i.125116082.8612197289</v>
      </c>
      <c r="C2215" s="8" t="s">
        <v>456</v>
      </c>
      <c r="D2215" s="8" t="s">
        <v>713</v>
      </c>
      <c r="E2215" s="8" t="s">
        <v>12</v>
      </c>
      <c r="F2215" s="8" t="s">
        <v>13</v>
      </c>
      <c r="G2215" s="8" t="s">
        <v>61</v>
      </c>
      <c r="H2215" s="16">
        <v>2.0</v>
      </c>
      <c r="I2215" s="15" t="str">
        <f>SUBSTITUTE(Sheet1!K2215, "Rp", "")</f>
        <v>270000</v>
      </c>
    </row>
    <row r="2216">
      <c r="A2216" s="8" t="s">
        <v>3185</v>
      </c>
      <c r="B2216" s="13" t="str">
        <f>HYPERLINK("https://shopee.co.id/Bhumi-Acid-Complex-Clearing-Serum-30ml-i.825870.6903974687", "https://shopee.co.id/Bhumi-Acid-Complex-Clearing-Serum-30ml-i.825870.6903974687")</f>
        <v>https://shopee.co.id/Bhumi-Acid-Complex-Clearing-Serum-30ml-i.825870.6903974687</v>
      </c>
      <c r="C2216" s="8" t="s">
        <v>753</v>
      </c>
      <c r="D2216" s="8" t="s">
        <v>1184</v>
      </c>
      <c r="E2216" s="8" t="s">
        <v>12</v>
      </c>
      <c r="F2216" s="8" t="s">
        <v>13</v>
      </c>
      <c r="G2216" s="8" t="s">
        <v>21</v>
      </c>
      <c r="H2216" s="16">
        <v>2.0</v>
      </c>
      <c r="I2216" s="15" t="str">
        <f>SUBSTITUTE(Sheet1!K2216, "Rp", "")</f>
        <v>534000</v>
      </c>
    </row>
    <row r="2217">
      <c r="A2217" s="8" t="s">
        <v>3152</v>
      </c>
      <c r="B2217" s="13" t="str">
        <f>HYPERLINK("https://shopee.co.id/Bhumi-Acid-Complex-Clearing-Serum-30ml-i.10689.3516162795", "https://shopee.co.id/Bhumi-Acid-Complex-Clearing-Serum-30ml-i.10689.3516162795")</f>
        <v>https://shopee.co.id/Bhumi-Acid-Complex-Clearing-Serum-30ml-i.10689.3516162795</v>
      </c>
      <c r="C2217" s="8" t="s">
        <v>753</v>
      </c>
      <c r="D2217" s="8" t="s">
        <v>745</v>
      </c>
      <c r="E2217" s="8" t="s">
        <v>12</v>
      </c>
      <c r="F2217" s="8" t="s">
        <v>13</v>
      </c>
      <c r="G2217" s="8" t="s">
        <v>61</v>
      </c>
      <c r="H2217" s="16">
        <v>2.0</v>
      </c>
      <c r="I2217" s="15" t="str">
        <f>SUBSTITUTE(Sheet1!K2217, "Rp", "")</f>
        <v>562000</v>
      </c>
    </row>
    <row r="2218">
      <c r="A2218" s="8" t="s">
        <v>3210</v>
      </c>
      <c r="B2218" s="13" t="str">
        <f>HYPERLINK("https://shopee.co.id/Bhumi-G-Alpine-Brightening-Serum-i.68111.7720384331", "https://shopee.co.id/Bhumi-G-Alpine-Brightening-Serum-i.68111.7720384331")</f>
        <v>https://shopee.co.id/Bhumi-G-Alpine-Brightening-Serum-i.68111.7720384331</v>
      </c>
      <c r="C2218" s="8" t="s">
        <v>753</v>
      </c>
      <c r="D2218" s="8" t="s">
        <v>441</v>
      </c>
      <c r="E2218" s="8" t="s">
        <v>12</v>
      </c>
      <c r="F2218" s="8" t="s">
        <v>13</v>
      </c>
      <c r="G2218" s="8" t="s">
        <v>130</v>
      </c>
      <c r="H2218" s="16">
        <v>2.0</v>
      </c>
      <c r="I2218" s="15" t="str">
        <f>SUBSTITUTE(Sheet1!K2218, "Rp", "")</f>
        <v>510428</v>
      </c>
    </row>
    <row r="2219">
      <c r="A2219" s="8" t="s">
        <v>3133</v>
      </c>
      <c r="B2219" s="13" t="str">
        <f>HYPERLINK("https://shopee.co.id/Bhumi-HPR-Retinol-Serum-30ml-i.825870.4469556831", "https://shopee.co.id/Bhumi-HPR-Retinol-Serum-30ml-i.825870.4469556831")</f>
        <v>https://shopee.co.id/Bhumi-HPR-Retinol-Serum-30ml-i.825870.4469556831</v>
      </c>
      <c r="C2219" s="8" t="s">
        <v>753</v>
      </c>
      <c r="D2219" s="8" t="s">
        <v>1184</v>
      </c>
      <c r="E2219" s="8" t="s">
        <v>12</v>
      </c>
      <c r="F2219" s="8" t="s">
        <v>13</v>
      </c>
      <c r="G2219" s="8" t="s">
        <v>21</v>
      </c>
      <c r="H2219" s="16">
        <v>2.0</v>
      </c>
      <c r="I2219" s="15" t="str">
        <f>SUBSTITUTE(Sheet1!K2219, "Rp", "")</f>
        <v>590000</v>
      </c>
    </row>
    <row r="2220">
      <c r="A2220" s="8" t="s">
        <v>3156</v>
      </c>
      <c r="B2220" s="13" t="str">
        <f>HYPERLINK("https://shopee.co.id/Bio-Beauty-Lab-Phyto-Power-Essence-50ml-i.825870.9083577136", "https://shopee.co.id/Bio-Beauty-Lab-Phyto-Power-Essence-50ml-i.825870.9083577136")</f>
        <v>https://shopee.co.id/Bio-Beauty-Lab-Phyto-Power-Essence-50ml-i.825870.9083577136</v>
      </c>
      <c r="C2220" s="8" t="s">
        <v>120</v>
      </c>
      <c r="D2220" s="8" t="s">
        <v>1184</v>
      </c>
      <c r="E2220" s="8" t="s">
        <v>12</v>
      </c>
      <c r="F2220" s="8" t="s">
        <v>13</v>
      </c>
      <c r="G2220" s="8" t="s">
        <v>21</v>
      </c>
      <c r="H2220" s="16">
        <v>2.0</v>
      </c>
      <c r="I2220" s="15" t="str">
        <f>SUBSTITUTE(Sheet1!K2220, "Rp", "")</f>
        <v>560000</v>
      </c>
    </row>
    <row r="2221">
      <c r="A2221" s="8" t="s">
        <v>3187</v>
      </c>
      <c r="B2221" s="13" t="str">
        <f>HYPERLINK("https://shopee.co.id/Bio-Beauty-Lab-Phyto-Power-Essence-50ml-i.136011044.10501202112", "https://shopee.co.id/Bio-Beauty-Lab-Phyto-Power-Essence-50ml-i.136011044.10501202112")</f>
        <v>https://shopee.co.id/Bio-Beauty-Lab-Phyto-Power-Essence-50ml-i.136011044.10501202112</v>
      </c>
      <c r="C2221" s="8" t="s">
        <v>120</v>
      </c>
      <c r="D2221" s="8" t="s">
        <v>632</v>
      </c>
      <c r="E2221" s="8" t="s">
        <v>12</v>
      </c>
      <c r="F2221" s="8" t="s">
        <v>13</v>
      </c>
      <c r="G2221" s="8" t="s">
        <v>21</v>
      </c>
      <c r="H2221" s="16">
        <v>2.0</v>
      </c>
      <c r="I2221" s="15" t="str">
        <f>SUBSTITUTE(Sheet1!K2221, "Rp", "")</f>
        <v>532000</v>
      </c>
    </row>
    <row r="2222">
      <c r="A2222" s="8" t="s">
        <v>3661</v>
      </c>
      <c r="B2222" s="13" t="str">
        <f>HYPERLINK("https://shopee.co.id/Bio-Essence-24K-Bio-Gold-Gold-Water-i.68111.2025815029", "https://shopee.co.id/Bio-Essence-24K-Bio-Gold-Gold-Water-i.68111.2025815029")</f>
        <v>https://shopee.co.id/Bio-Essence-24K-Bio-Gold-Gold-Water-i.68111.2025815029</v>
      </c>
      <c r="C2222" s="8" t="s">
        <v>834</v>
      </c>
      <c r="D2222" s="8" t="s">
        <v>441</v>
      </c>
      <c r="E2222" s="8" t="s">
        <v>12</v>
      </c>
      <c r="F2222" s="8" t="s">
        <v>13</v>
      </c>
      <c r="G2222" s="8" t="s">
        <v>130</v>
      </c>
      <c r="H2222" s="16">
        <v>2.0</v>
      </c>
      <c r="I2222" s="15" t="str">
        <f>SUBSTITUTE(Sheet1!K2222, "Rp", "")</f>
        <v>198000</v>
      </c>
    </row>
    <row r="2223">
      <c r="A2223" s="8" t="s">
        <v>3029</v>
      </c>
      <c r="B2223" s="13" t="str">
        <f>HYPERLINK("https://shopee.co.id/Bio-Essence-Bio-Gold-Night-Cream-40-gr-Radiant-Cleanser-100-gr-i.63822287.6032961718", "https://shopee.co.id/Bio-Essence-Bio-Gold-Night-Cream-40-gr-Radiant-Cleanser-100-gr-i.63822287.6032961718")</f>
        <v>https://shopee.co.id/Bio-Essence-Bio-Gold-Night-Cream-40-gr-Radiant-Cleanser-100-gr-i.63822287.6032961718</v>
      </c>
      <c r="C2223" s="8" t="s">
        <v>834</v>
      </c>
      <c r="D2223" s="8" t="s">
        <v>835</v>
      </c>
      <c r="E2223" s="8" t="s">
        <v>12</v>
      </c>
      <c r="F2223" s="8" t="s">
        <v>13</v>
      </c>
      <c r="G2223" s="8" t="s">
        <v>61</v>
      </c>
      <c r="H2223" s="16">
        <v>2.0</v>
      </c>
      <c r="I2223" s="15" t="str">
        <f>SUBSTITUTE(Sheet1!K2223, "Rp", "")</f>
        <v>708000</v>
      </c>
    </row>
    <row r="2224">
      <c r="A2224" s="8" t="s">
        <v>2783</v>
      </c>
      <c r="B2224" s="13" t="str">
        <f>HYPERLINK("https://shopee.co.id/Bio-Essence-Bio-Vlift-Face-Lifting-Cream-45-gr-Twinpack-Special-i.63822287.6384988685", "https://shopee.co.id/Bio-Essence-Bio-Vlift-Face-Lifting-Cream-45-gr-Twinpack-Special-i.63822287.6384988685")</f>
        <v>https://shopee.co.id/Bio-Essence-Bio-Vlift-Face-Lifting-Cream-45-gr-Twinpack-Special-i.63822287.6384988685</v>
      </c>
      <c r="C2224" s="8" t="s">
        <v>1254</v>
      </c>
      <c r="D2224" s="8" t="s">
        <v>835</v>
      </c>
      <c r="E2224" s="8" t="s">
        <v>12</v>
      </c>
      <c r="F2224" s="8" t="s">
        <v>13</v>
      </c>
      <c r="G2224" s="8" t="s">
        <v>61</v>
      </c>
      <c r="H2224" s="16">
        <v>2.0</v>
      </c>
      <c r="I2224" s="15" t="str">
        <f>SUBSTITUTE(Sheet1!K2224, "Rp", "")</f>
        <v>1086400</v>
      </c>
    </row>
    <row r="2225">
      <c r="A2225" s="8" t="s">
        <v>3495</v>
      </c>
      <c r="B2225" s="13" t="str">
        <f>HYPERLINK("https://shopee.co.id/Bio-Essence-Bio-Water-Moist-in-Water-Lotion-150ml-i.186214521.6131717150", "https://shopee.co.id/Bio-Essence-Bio-Water-Moist-in-Water-Lotion-150ml-i.186214521.6131717150")</f>
        <v>https://shopee.co.id/Bio-Essence-Bio-Water-Moist-in-Water-Lotion-150ml-i.186214521.6131717150</v>
      </c>
      <c r="C2225" s="8" t="s">
        <v>2240</v>
      </c>
      <c r="D2225" s="8" t="s">
        <v>2293</v>
      </c>
      <c r="E2225" s="8" t="s">
        <v>12</v>
      </c>
      <c r="F2225" s="8" t="s">
        <v>13</v>
      </c>
      <c r="G2225" s="8" t="s">
        <v>61</v>
      </c>
      <c r="H2225" s="16">
        <v>2.0</v>
      </c>
      <c r="I2225" s="15" t="str">
        <f>SUBSTITUTE(Sheet1!K2225, "Rp", "")</f>
        <v>287000</v>
      </c>
    </row>
    <row r="2226">
      <c r="A2226" s="8" t="s">
        <v>3783</v>
      </c>
      <c r="B2226" s="13" t="str">
        <f>HYPERLINK("https://shopee.co.id/Bloomka-Calendula-Poria-Cocos-Facial-Calming-Serum-20ml-i.10689.6571567094", "https://shopee.co.id/Bloomka-Calendula-Poria-Cocos-Facial-Calming-Serum-20ml-i.10689.6571567094")</f>
        <v>https://shopee.co.id/Bloomka-Calendula-Poria-Cocos-Facial-Calming-Serum-20ml-i.10689.6571567094</v>
      </c>
      <c r="C2226" s="8" t="s">
        <v>375</v>
      </c>
      <c r="D2226" s="8" t="s">
        <v>745</v>
      </c>
      <c r="E2226" s="8" t="s">
        <v>12</v>
      </c>
      <c r="F2226" s="8" t="s">
        <v>13</v>
      </c>
      <c r="G2226" s="8" t="s">
        <v>61</v>
      </c>
      <c r="H2226" s="16">
        <v>2.0</v>
      </c>
      <c r="I2226" s="15" t="str">
        <f>SUBSTITUTE(Sheet1!K2226, "Rp", "")</f>
        <v>134400</v>
      </c>
    </row>
    <row r="2227">
      <c r="A2227" s="8" t="s">
        <v>3740</v>
      </c>
      <c r="B2227" s="13" t="str">
        <f>HYPERLINK("https://shopee.co.id/BLOOMKA-Kombucha-Brown-Algae-Facial-Antioxidant-Serum-20ml-i.68111.3880073472", "https://shopee.co.id/BLOOMKA-Kombucha-Brown-Algae-Facial-Antioxidant-Serum-20ml-i.68111.3880073472")</f>
        <v>https://shopee.co.id/BLOOMKA-Kombucha-Brown-Algae-Facial-Antioxidant-Serum-20ml-i.68111.3880073472</v>
      </c>
      <c r="C2227" s="8" t="s">
        <v>375</v>
      </c>
      <c r="D2227" s="8" t="s">
        <v>441</v>
      </c>
      <c r="E2227" s="8" t="s">
        <v>12</v>
      </c>
      <c r="F2227" s="8" t="s">
        <v>13</v>
      </c>
      <c r="G2227" s="8" t="s">
        <v>130</v>
      </c>
      <c r="H2227" s="16">
        <v>2.0</v>
      </c>
      <c r="I2227" s="15" t="str">
        <f>SUBSTITUTE(Sheet1!K2227, "Rp", "")</f>
        <v>155250</v>
      </c>
    </row>
    <row r="2228">
      <c r="A2228" s="8" t="s">
        <v>3280</v>
      </c>
      <c r="B2228" s="13" t="str">
        <f>HYPERLINK("https://shopee.co.id/Botanity-Flavon-Booster-i.203141970.6021716498", "https://shopee.co.id/Botanity-Flavon-Booster-i.203141970.6021716498")</f>
        <v>https://shopee.co.id/Botanity-Flavon-Booster-i.203141970.6021716498</v>
      </c>
      <c r="C2228" s="8" t="s">
        <v>1459</v>
      </c>
      <c r="D2228" s="8" t="s">
        <v>1460</v>
      </c>
      <c r="E2228" s="8" t="s">
        <v>12</v>
      </c>
      <c r="F2228" s="8" t="s">
        <v>13</v>
      </c>
      <c r="G2228" s="8" t="s">
        <v>21</v>
      </c>
      <c r="H2228" s="16">
        <v>2.0</v>
      </c>
      <c r="I2228" s="15" t="str">
        <f>SUBSTITUTE(Sheet1!K2228, "Rp", "")</f>
        <v>449000</v>
      </c>
    </row>
    <row r="2229">
      <c r="A2229" s="8" t="s">
        <v>3803</v>
      </c>
      <c r="B2229" s="13" t="str">
        <f>HYPERLINK("https://shopee.co.id/BRASOV-Serum-Mencerahkan-Kulit-Wajah-30ML-Le-Docteur-Whitening-Vitamin-C-Face-Serum-BPOM-Halal-XX-CT-i.168925122.9927453020", "https://shopee.co.id/BRASOV-Serum-Mencerahkan-Kulit-Wajah-30ML-Le-Docteur-Whitening-Vitamin-C-Face-Serum-BPOM-Halal-XX-CT-i.168925122.9927453020")</f>
        <v>https://shopee.co.id/BRASOV-Serum-Mencerahkan-Kulit-Wajah-30ML-Le-Docteur-Whitening-Vitamin-C-Face-Serum-BPOM-Halal-XX-CT-i.168925122.9927453020</v>
      </c>
      <c r="C2229" s="8" t="s">
        <v>3278</v>
      </c>
      <c r="D2229" s="8" t="s">
        <v>3279</v>
      </c>
      <c r="E2229" s="8" t="s">
        <v>12</v>
      </c>
      <c r="F2229" s="8" t="s">
        <v>13</v>
      </c>
      <c r="G2229" s="8" t="s">
        <v>21</v>
      </c>
      <c r="H2229" s="16">
        <v>2.0</v>
      </c>
      <c r="I2229" s="15" t="str">
        <f>SUBSTITUTE(Sheet1!K2229, "Rp", "")</f>
        <v>121600</v>
      </c>
    </row>
    <row r="2230">
      <c r="A2230" s="8" t="s">
        <v>3787</v>
      </c>
      <c r="B2230" s="13" t="str">
        <f>HYPERLINK("https://shopee.co.id/BUNDLING-Pure-Essence-Purifying-Series-i.18856010.5114630230", "https://shopee.co.id/BUNDLING-Pure-Essence-Purifying-Series-i.18856010.5114630230")</f>
        <v>https://shopee.co.id/BUNDLING-Pure-Essence-Purifying-Series-i.18856010.5114630230</v>
      </c>
      <c r="C2230" s="8" t="s">
        <v>2265</v>
      </c>
      <c r="D2230" s="8" t="s">
        <v>2266</v>
      </c>
      <c r="E2230" s="8" t="s">
        <v>12</v>
      </c>
      <c r="F2230" s="8" t="s">
        <v>13</v>
      </c>
      <c r="G2230" s="8" t="s">
        <v>21</v>
      </c>
      <c r="H2230" s="16">
        <v>2.0</v>
      </c>
      <c r="I2230" s="15" t="str">
        <f>SUBSTITUTE(Sheet1!K2230, "Rp", "")</f>
        <v>130000</v>
      </c>
    </row>
    <row r="2231">
      <c r="A2231" s="8" t="s">
        <v>3517</v>
      </c>
      <c r="B2231" s="13" t="str">
        <f>HYPERLINK("https://shopee.co.id/Byecom-Honey-Glow-Ampoule-30ml-i.825870.4546824242", "https://shopee.co.id/Byecom-Honey-Glow-Ampoule-30ml-i.825870.4546824242")</f>
        <v>https://shopee.co.id/Byecom-Honey-Glow-Ampoule-30ml-i.825870.4546824242</v>
      </c>
      <c r="C2231" s="8" t="s">
        <v>3461</v>
      </c>
      <c r="D2231" s="8" t="s">
        <v>1184</v>
      </c>
      <c r="E2231" s="8" t="s">
        <v>12</v>
      </c>
      <c r="F2231" s="8" t="s">
        <v>13</v>
      </c>
      <c r="G2231" s="8" t="s">
        <v>21</v>
      </c>
      <c r="H2231" s="16">
        <v>2.0</v>
      </c>
      <c r="I2231" s="15" t="str">
        <f>SUBSTITUTE(Sheet1!K2231, "Rp", "")</f>
        <v>278850</v>
      </c>
    </row>
    <row r="2232">
      <c r="A2232" s="8" t="s">
        <v>3403</v>
      </c>
      <c r="B2232" s="13" t="str">
        <f>HYPERLINK("https://shopee.co.id/Calmedi-7-in-1-Cica-Essence-for-Skin-Barrier-i.129229117.4193943838", "https://shopee.co.id/Calmedi-7-in-1-Cica-Essence-for-Skin-Barrier-i.129229117.4193943838")</f>
        <v>https://shopee.co.id/Calmedi-7-in-1-Cica-Essence-for-Skin-Barrier-i.129229117.4193943838</v>
      </c>
      <c r="C2232" s="8" t="s">
        <v>2931</v>
      </c>
      <c r="D2232" s="8" t="s">
        <v>2932</v>
      </c>
      <c r="E2232" s="8" t="s">
        <v>12</v>
      </c>
      <c r="F2232" s="8" t="s">
        <v>13</v>
      </c>
      <c r="G2232" s="8" t="s">
        <v>98</v>
      </c>
      <c r="H2232" s="16">
        <v>2.0</v>
      </c>
      <c r="I2232" s="15" t="str">
        <f>SUBSTITUTE(Sheet1!K2232, "Rp", "")</f>
        <v>360000</v>
      </c>
    </row>
    <row r="2233">
      <c r="A2233" s="8" t="s">
        <v>3522</v>
      </c>
      <c r="B2233" s="13" t="str">
        <f>HYPERLINK("https://shopee.co.id/Calmedi-Serum-Luminous-3-in-1-10ml-Serum-Pencerah-Wajah-i.129229117.2605859267", "https://shopee.co.id/Calmedi-Serum-Luminous-3-in-1-10ml-Serum-Pencerah-Wajah-i.129229117.2605859267")</f>
        <v>https://shopee.co.id/Calmedi-Serum-Luminous-3-in-1-10ml-Serum-Pencerah-Wajah-i.129229117.2605859267</v>
      </c>
      <c r="C2233" s="8" t="s">
        <v>2931</v>
      </c>
      <c r="D2233" s="8" t="s">
        <v>2932</v>
      </c>
      <c r="E2233" s="8" t="s">
        <v>12</v>
      </c>
      <c r="F2233" s="8" t="s">
        <v>13</v>
      </c>
      <c r="G2233" s="8" t="s">
        <v>98</v>
      </c>
      <c r="H2233" s="16">
        <v>2.0</v>
      </c>
      <c r="I2233" s="15" t="str">
        <f>SUBSTITUTE(Sheet1!K2233, "Rp", "")</f>
        <v>270000</v>
      </c>
    </row>
    <row r="2234">
      <c r="A2234" s="8" t="s">
        <v>3704</v>
      </c>
      <c r="B2234" s="13" t="str">
        <f>HYPERLINK("https://shopee.co.id/Claresta-Lightening-Anti-Aging-Serum-Skin-Lightener-20ml-i.369944111.4175416440", "https://shopee.co.id/Claresta-Lightening-Anti-Aging-Serum-Skin-Lightener-20ml-i.369944111.4175416440")</f>
        <v>https://shopee.co.id/Claresta-Lightening-Anti-Aging-Serum-Skin-Lightener-20ml-i.369944111.4175416440</v>
      </c>
      <c r="C2234" s="8" t="s">
        <v>3705</v>
      </c>
      <c r="D2234" s="8" t="s">
        <v>3706</v>
      </c>
      <c r="E2234" s="8" t="s">
        <v>12</v>
      </c>
      <c r="F2234" s="8" t="s">
        <v>13</v>
      </c>
      <c r="G2234" s="8" t="s">
        <v>296</v>
      </c>
      <c r="H2234" s="16">
        <v>2.0</v>
      </c>
      <c r="I2234" s="15" t="str">
        <f>SUBSTITUTE(Sheet1!K2234, "Rp", "")</f>
        <v>177650</v>
      </c>
    </row>
    <row r="2235">
      <c r="A2235" s="8" t="s">
        <v>2975</v>
      </c>
      <c r="B2235" s="13" t="str">
        <f>HYPERLINK("https://shopee.co.id/CLINELLE-Age-Revive-Lifting-Youth-Essence-20-mL-Essense-Wajah-Kulit-Normal-Kering-i.173963911.5855848448", "https://shopee.co.id/CLINELLE-Age-Revive-Lifting-Youth-Essence-20-mL-Essense-Wajah-Kulit-Normal-Kering-i.173963911.5855848448")</f>
        <v>https://shopee.co.id/CLINELLE-Age-Revive-Lifting-Youth-Essence-20-mL-Essense-Wajah-Kulit-Normal-Kering-i.173963911.5855848448</v>
      </c>
      <c r="C2235" s="8" t="s">
        <v>1456</v>
      </c>
      <c r="D2235" s="8" t="s">
        <v>1457</v>
      </c>
      <c r="E2235" s="8" t="s">
        <v>12</v>
      </c>
      <c r="F2235" s="8" t="s">
        <v>13</v>
      </c>
      <c r="G2235" s="8" t="s">
        <v>21</v>
      </c>
      <c r="H2235" s="16">
        <v>2.0</v>
      </c>
      <c r="I2235" s="15" t="str">
        <f>SUBSTITUTE(Sheet1!K2235, "Rp", "")</f>
        <v>798000</v>
      </c>
    </row>
    <row r="2236">
      <c r="A2236" s="8" t="s">
        <v>3308</v>
      </c>
      <c r="B2236" s="13" t="str">
        <f>HYPERLINK("https://shopee.co.id/Clinelle-Whitenup-Brightening-Spot-Corector-Essence-15ml-i.186214521.6733299050", "https://shopee.co.id/Clinelle-Whitenup-Brightening-Spot-Corector-Essence-15ml-i.186214521.6733299050")</f>
        <v>https://shopee.co.id/Clinelle-Whitenup-Brightening-Spot-Corector-Essence-15ml-i.186214521.6733299050</v>
      </c>
      <c r="C2236" s="8" t="s">
        <v>1456</v>
      </c>
      <c r="D2236" s="8" t="s">
        <v>2293</v>
      </c>
      <c r="E2236" s="8" t="s">
        <v>12</v>
      </c>
      <c r="F2236" s="8" t="s">
        <v>13</v>
      </c>
      <c r="G2236" s="8" t="s">
        <v>61</v>
      </c>
      <c r="H2236" s="16">
        <v>2.0</v>
      </c>
      <c r="I2236" s="15" t="str">
        <f>SUBSTITUTE(Sheet1!K2236, "Rp", "")</f>
        <v>428900</v>
      </c>
    </row>
    <row r="2237">
      <c r="A2237" s="8" t="s">
        <v>3586</v>
      </c>
      <c r="B2237" s="13" t="str">
        <f>HYPERLINK("https://shopee.co.id/Colus-Facial-Essence-Serum-100ml-i.27587544.2176032996", "https://shopee.co.id/Colus-Facial-Essence-Serum-100ml-i.27587544.2176032996")</f>
        <v>https://shopee.co.id/Colus-Facial-Essence-Serum-100ml-i.27587544.2176032996</v>
      </c>
      <c r="C2237" s="8" t="s">
        <v>3587</v>
      </c>
      <c r="D2237" s="8" t="s">
        <v>3588</v>
      </c>
      <c r="E2237" s="8" t="s">
        <v>12</v>
      </c>
      <c r="F2237" s="8" t="s">
        <v>13</v>
      </c>
      <c r="G2237" s="8" t="s">
        <v>2690</v>
      </c>
      <c r="H2237" s="16">
        <v>2.0</v>
      </c>
      <c r="I2237" s="15" t="str">
        <f>SUBSTITUTE(Sheet1!K2237, "Rp", "")</f>
        <v>236000</v>
      </c>
    </row>
    <row r="2238">
      <c r="A2238" s="8" t="s">
        <v>3737</v>
      </c>
      <c r="B2238" s="13" t="str">
        <f>HYPERLINK("https://shopee.co.id/Control-Zero-C-The-Sun-Serum-i.10689.12006010412", "https://shopee.co.id/Control-Zero-C-The-Sun-Serum-i.10689.12006010412")</f>
        <v>https://shopee.co.id/Control-Zero-C-The-Sun-Serum-i.10689.12006010412</v>
      </c>
      <c r="C2238" s="8" t="s">
        <v>3738</v>
      </c>
      <c r="D2238" s="8" t="s">
        <v>745</v>
      </c>
      <c r="E2238" s="8" t="s">
        <v>12</v>
      </c>
      <c r="F2238" s="8" t="s">
        <v>13</v>
      </c>
      <c r="G2238" s="8" t="s">
        <v>61</v>
      </c>
      <c r="H2238" s="16">
        <v>2.0</v>
      </c>
      <c r="I2238" s="15" t="str">
        <f>SUBSTITUTE(Sheet1!K2238, "Rp", "")</f>
        <v>158000</v>
      </c>
    </row>
    <row r="2239">
      <c r="A2239" s="8" t="s">
        <v>3146</v>
      </c>
      <c r="B2239" s="13" t="str">
        <f>HYPERLINK("https://shopee.co.id/Cosrx-Advanced-Snail-96-Mucin-Power-Essence-100ml-i.30736001.13910241006", "https://shopee.co.id/Cosrx-Advanced-Snail-96-Mucin-Power-Essence-100ml-i.30736001.13910241006")</f>
        <v>https://shopee.co.id/Cosrx-Advanced-Snail-96-Mucin-Power-Essence-100ml-i.30736001.13910241006</v>
      </c>
      <c r="C2239" s="8" t="s">
        <v>305</v>
      </c>
      <c r="D2239" s="8" t="s">
        <v>335</v>
      </c>
      <c r="E2239" s="8" t="s">
        <v>12</v>
      </c>
      <c r="F2239" s="8" t="s">
        <v>13</v>
      </c>
      <c r="G2239" s="8" t="s">
        <v>36</v>
      </c>
      <c r="H2239" s="16">
        <v>2.0</v>
      </c>
      <c r="I2239" s="15" t="str">
        <f>SUBSTITUTE(Sheet1!K2239, "Rp", "")</f>
        <v>570000</v>
      </c>
    </row>
    <row r="2240">
      <c r="A2240" s="8" t="s">
        <v>2397</v>
      </c>
      <c r="B2240" s="13" t="str">
        <f>HYPERLINK("https://shopee.co.id/COSRX-Galactomyces-95-Tone-Balancing-Essence-100ml-i.270965687.6349216040", "https://shopee.co.id/COSRX-Galactomyces-95-Tone-Balancing-Essence-100ml-i.270965687.6349216040")</f>
        <v>https://shopee.co.id/COSRX-Galactomyces-95-Tone-Balancing-Essence-100ml-i.270965687.6349216040</v>
      </c>
      <c r="C2240" s="8" t="s">
        <v>305</v>
      </c>
      <c r="D2240" s="8" t="s">
        <v>379</v>
      </c>
      <c r="E2240" s="8" t="s">
        <v>12</v>
      </c>
      <c r="F2240" s="8" t="s">
        <v>13</v>
      </c>
      <c r="G2240" s="8" t="s">
        <v>380</v>
      </c>
      <c r="H2240" s="16">
        <v>2.0</v>
      </c>
      <c r="I2240" s="15" t="str">
        <f>SUBSTITUTE(Sheet1!K2240, "Rp", "")</f>
        <v>392000</v>
      </c>
    </row>
    <row r="2241">
      <c r="A2241" s="8" t="s">
        <v>2856</v>
      </c>
      <c r="B2241" s="13" t="str">
        <f>HYPERLINK("https://shopee.co.id/Daeng-Gi-Meo-Ri-Paket-Vitalizing-Shampoo-Serum-dan-Essence-i.69409544.4914517109", "https://shopee.co.id/Daeng-Gi-Meo-Ri-Paket-Vitalizing-Shampoo-Serum-dan-Essence-i.69409544.4914517109")</f>
        <v>https://shopee.co.id/Daeng-Gi-Meo-Ri-Paket-Vitalizing-Shampoo-Serum-dan-Essence-i.69409544.4914517109</v>
      </c>
      <c r="C2241" s="8" t="s">
        <v>2857</v>
      </c>
      <c r="D2241" s="8" t="s">
        <v>2314</v>
      </c>
      <c r="E2241" s="8" t="s">
        <v>12</v>
      </c>
      <c r="F2241" s="8" t="s">
        <v>13</v>
      </c>
      <c r="G2241" s="8" t="s">
        <v>98</v>
      </c>
      <c r="H2241" s="16">
        <v>2.0</v>
      </c>
      <c r="I2241" s="15" t="str">
        <f>SUBSTITUTE(Sheet1!K2241, "Rp", "")</f>
        <v>960000</v>
      </c>
    </row>
    <row r="2242">
      <c r="A2242" s="8" t="s">
        <v>3708</v>
      </c>
      <c r="B2242" s="13" t="str">
        <f>HYPERLINK("https://shopee.co.id/Daffania-Skincare-Serum-Brightening-20-Ml-i.378849141.4878313838", "https://shopee.co.id/Daffania-Skincare-Serum-Brightening-20-Ml-i.378849141.4878313838")</f>
        <v>https://shopee.co.id/Daffania-Skincare-Serum-Brightening-20-Ml-i.378849141.4878313838</v>
      </c>
      <c r="C2242" s="8" t="s">
        <v>2745</v>
      </c>
      <c r="D2242" s="8" t="s">
        <v>2746</v>
      </c>
      <c r="E2242" s="8" t="s">
        <v>12</v>
      </c>
      <c r="F2242" s="8" t="s">
        <v>13</v>
      </c>
      <c r="G2242" s="8" t="s">
        <v>80</v>
      </c>
      <c r="H2242" s="16">
        <v>2.0</v>
      </c>
      <c r="I2242" s="15" t="str">
        <f>SUBSTITUTE(Sheet1!K2242, "Rp", "")</f>
        <v>175000</v>
      </c>
    </row>
    <row r="2243">
      <c r="A2243" s="8" t="s">
        <v>3613</v>
      </c>
      <c r="B2243" s="13" t="str">
        <f>HYPERLINK("https://shopee.co.id/DEAR-ME-BEAUTY-Perfect-Conceal-Serum-Skin-Corrector-i.68111.7879919639", "https://shopee.co.id/DEAR-ME-BEAUTY-Perfect-Conceal-Serum-Skin-Corrector-i.68111.7879919639")</f>
        <v>https://shopee.co.id/DEAR-ME-BEAUTY-Perfect-Conceal-Serum-Skin-Corrector-i.68111.7879919639</v>
      </c>
      <c r="C2243" s="8" t="s">
        <v>70</v>
      </c>
      <c r="D2243" s="8" t="s">
        <v>441</v>
      </c>
      <c r="E2243" s="8" t="s">
        <v>12</v>
      </c>
      <c r="F2243" s="8" t="s">
        <v>13</v>
      </c>
      <c r="G2243" s="8" t="s">
        <v>130</v>
      </c>
      <c r="H2243" s="16">
        <v>2.0</v>
      </c>
      <c r="I2243" s="15" t="str">
        <f>SUBSTITUTE(Sheet1!K2243, "Rp", "")</f>
        <v>219300</v>
      </c>
    </row>
    <row r="2244">
      <c r="A2244" s="8" t="s">
        <v>3515</v>
      </c>
      <c r="B2244" s="13" t="str">
        <f>HYPERLINK("https://shopee.co.id/DeBiuryn-Glow-9-9-SUPER-SERUM-20ml-Spot-Hitam-dan-Kulit-Kusam-i.231437504.5966591417", "https://shopee.co.id/DeBiuryn-Glow-9-9-SUPER-SERUM-20ml-Spot-Hitam-dan-Kulit-Kusam-i.231437504.5966591417")</f>
        <v>https://shopee.co.id/DeBiuryn-Glow-9-9-SUPER-SERUM-20ml-Spot-Hitam-dan-Kulit-Kusam-i.231437504.5966591417</v>
      </c>
      <c r="C2244" s="8" t="s">
        <v>3484</v>
      </c>
      <c r="D2244" s="8" t="s">
        <v>3485</v>
      </c>
      <c r="E2244" s="8" t="s">
        <v>12</v>
      </c>
      <c r="F2244" s="8" t="s">
        <v>13</v>
      </c>
      <c r="G2244" s="8" t="s">
        <v>1480</v>
      </c>
      <c r="H2244" s="16">
        <v>2.0</v>
      </c>
      <c r="I2244" s="15" t="str">
        <f>SUBSTITUTE(Sheet1!K2244, "Rp", "")</f>
        <v>280000</v>
      </c>
    </row>
    <row r="2245">
      <c r="A2245" s="8" t="s">
        <v>3811</v>
      </c>
      <c r="B2245" s="13" t="str">
        <f>HYPERLINK("https://shopee.co.id/DeBiuryn-Sense-Hydra-Oxy-Serum-10ml-i.231437504.9865840860", "https://shopee.co.id/DeBiuryn-Sense-Hydra-Oxy-Serum-10ml-i.231437504.9865840860")</f>
        <v>https://shopee.co.id/DeBiuryn-Sense-Hydra-Oxy-Serum-10ml-i.231437504.9865840860</v>
      </c>
      <c r="C2245" s="8" t="s">
        <v>3484</v>
      </c>
      <c r="D2245" s="8" t="s">
        <v>3485</v>
      </c>
      <c r="E2245" s="8" t="s">
        <v>12</v>
      </c>
      <c r="F2245" s="8" t="s">
        <v>13</v>
      </c>
      <c r="G2245" s="8" t="s">
        <v>1480</v>
      </c>
      <c r="H2245" s="16">
        <v>2.0</v>
      </c>
      <c r="I2245" s="15" t="str">
        <f>SUBSTITUTE(Sheet1!K2245, "Rp", "")</f>
        <v>119300</v>
      </c>
    </row>
    <row r="2246">
      <c r="A2246" s="8" t="s">
        <v>3178</v>
      </c>
      <c r="B2246" s="13" t="str">
        <f>HYPERLINK("https://shopee.co.id/Dermacept-RX-VC-15-Serum-10ml-i.10689.1098359204", "https://shopee.co.id/Dermacept-RX-VC-15-Serum-10ml-i.10689.1098359204")</f>
        <v>https://shopee.co.id/Dermacept-RX-VC-15-Serum-10ml-i.10689.1098359204</v>
      </c>
      <c r="C2246" s="8" t="s">
        <v>2279</v>
      </c>
      <c r="D2246" s="8" t="s">
        <v>745</v>
      </c>
      <c r="E2246" s="8" t="s">
        <v>12</v>
      </c>
      <c r="F2246" s="8" t="s">
        <v>13</v>
      </c>
      <c r="G2246" s="8" t="s">
        <v>61</v>
      </c>
      <c r="H2246" s="16">
        <v>2.0</v>
      </c>
      <c r="I2246" s="15" t="str">
        <f>SUBSTITUTE(Sheet1!K2246, "Rp", "")</f>
        <v>540000</v>
      </c>
    </row>
    <row r="2247">
      <c r="A2247" s="8" t="s">
        <v>1902</v>
      </c>
      <c r="B2247" s="13" t="str">
        <f>HYPERLINK("https://shopee.co.id/DERMALOGICA-Biolumin-C-Serum-30ml-Face-Serum-Wajah-Vitamin-C-i.230946408.6624816214", "https://shopee.co.id/DERMALOGICA-Biolumin-C-Serum-30ml-Face-Serum-Wajah-Vitamin-C-i.230946408.6624816214")</f>
        <v>https://shopee.co.id/DERMALOGICA-Biolumin-C-Serum-30ml-Face-Serum-Wajah-Vitamin-C-i.230946408.6624816214</v>
      </c>
      <c r="C2247" s="8" t="s">
        <v>1903</v>
      </c>
      <c r="D2247" s="8" t="s">
        <v>1904</v>
      </c>
      <c r="E2247" s="8" t="s">
        <v>12</v>
      </c>
      <c r="F2247" s="8" t="s">
        <v>13</v>
      </c>
      <c r="G2247" s="8" t="s">
        <v>21</v>
      </c>
      <c r="H2247" s="16">
        <v>2.0</v>
      </c>
      <c r="I2247" s="15" t="str">
        <f>SUBSTITUTE(Sheet1!K2247, "Rp", "")</f>
        <v>3998000</v>
      </c>
    </row>
    <row r="2248">
      <c r="A2248" s="8" t="s">
        <v>3179</v>
      </c>
      <c r="B2248" s="13" t="str">
        <f>HYPERLINK("https://shopee.co.id/dr-Ekle-s-Skincare-Vitamin-C-Serum-i.294944553.4146379012", "https://shopee.co.id/dr-Ekle-s-Skincare-Vitamin-C-Serum-i.294944553.4146379012")</f>
        <v>https://shopee.co.id/dr-Ekle-s-Skincare-Vitamin-C-Serum-i.294944553.4146379012</v>
      </c>
      <c r="C2248" s="8" t="s">
        <v>1487</v>
      </c>
      <c r="D2248" s="8" t="s">
        <v>1488</v>
      </c>
      <c r="E2248" s="8" t="s">
        <v>12</v>
      </c>
      <c r="F2248" s="8" t="s">
        <v>13</v>
      </c>
      <c r="G2248" s="8" t="s">
        <v>61</v>
      </c>
      <c r="H2248" s="16">
        <v>2.0</v>
      </c>
      <c r="I2248" s="15" t="str">
        <f>SUBSTITUTE(Sheet1!K2248, "Rp", "")</f>
        <v>540000</v>
      </c>
    </row>
    <row r="2249">
      <c r="A2249" s="8" t="s">
        <v>3455</v>
      </c>
      <c r="B2249" s="13" t="str">
        <f>HYPERLINK("https://shopee.co.id/Dr-Jart-V7-Serum-Original-Tanpa-Box--i.79492424.5317344002", "https://shopee.co.id/Dr-Jart-V7-Serum-Original-Tanpa-Box--i.79492424.5317344002")</f>
        <v>https://shopee.co.id/Dr-Jart-V7-Serum-Original-Tanpa-Box--i.79492424.5317344002</v>
      </c>
      <c r="C2249" s="8" t="s">
        <v>639</v>
      </c>
      <c r="D2249" s="8" t="s">
        <v>3456</v>
      </c>
      <c r="E2249" s="8" t="s">
        <v>12</v>
      </c>
      <c r="F2249" s="8" t="s">
        <v>13</v>
      </c>
      <c r="G2249" s="8" t="s">
        <v>469</v>
      </c>
      <c r="H2249" s="16">
        <v>2.0</v>
      </c>
      <c r="I2249" s="15" t="str">
        <f>SUBSTITUTE(Sheet1!K2249, "Rp", "")</f>
        <v>317500</v>
      </c>
    </row>
    <row r="2250">
      <c r="A2250" s="8" t="s">
        <v>3625</v>
      </c>
      <c r="B2250" s="13" t="str">
        <f>HYPERLINK("https://shopee.co.id/ECLA-C-Lite-Brightening-Serum-i.14403453.115602482", "https://shopee.co.id/ECLA-C-Lite-Brightening-Serum-i.14403453.115602482")</f>
        <v>https://shopee.co.id/ECLA-C-Lite-Brightening-Serum-i.14403453.115602482</v>
      </c>
      <c r="C2250" s="8" t="s">
        <v>3626</v>
      </c>
      <c r="D2250" s="8" t="s">
        <v>3627</v>
      </c>
      <c r="E2250" s="8" t="s">
        <v>12</v>
      </c>
      <c r="F2250" s="8" t="s">
        <v>13</v>
      </c>
      <c r="G2250" s="8" t="s">
        <v>469</v>
      </c>
      <c r="H2250" s="16">
        <v>2.0</v>
      </c>
      <c r="I2250" s="15" t="str">
        <f>SUBSTITUTE(Sheet1!K2250, "Rp", "")</f>
        <v>214600</v>
      </c>
    </row>
    <row r="2251">
      <c r="A2251" s="8" t="s">
        <v>3331</v>
      </c>
      <c r="B2251" s="13" t="str">
        <f>HYPERLINK("https://shopee.co.id/ElsheSkin-5-in-1-Eyessential-Night-Serum-18ml-i.825870.5188279383", "https://shopee.co.id/ElsheSkin-5-in-1-Eyessential-Night-Serum-18ml-i.825870.5188279383")</f>
        <v>https://shopee.co.id/ElsheSkin-5-in-1-Eyessential-Night-Serum-18ml-i.825870.5188279383</v>
      </c>
      <c r="C2251" s="8" t="s">
        <v>135</v>
      </c>
      <c r="D2251" s="8" t="s">
        <v>1184</v>
      </c>
      <c r="E2251" s="8" t="s">
        <v>12</v>
      </c>
      <c r="F2251" s="8" t="s">
        <v>13</v>
      </c>
      <c r="G2251" s="8" t="s">
        <v>21</v>
      </c>
      <c r="H2251" s="16">
        <v>2.0</v>
      </c>
      <c r="I2251" s="15" t="str">
        <f>SUBSTITUTE(Sheet1!K2251, "Rp", "")</f>
        <v>398000</v>
      </c>
    </row>
    <row r="2252">
      <c r="A2252" s="8" t="s">
        <v>3302</v>
      </c>
      <c r="B2252" s="13" t="str">
        <f>HYPERLINK("https://shopee.co.id/ElsheSkin-Radiant-Skin-Serum-20ml-i.825870.1923897080", "https://shopee.co.id/ElsheSkin-Radiant-Skin-Serum-20ml-i.825870.1923897080")</f>
        <v>https://shopee.co.id/ElsheSkin-Radiant-Skin-Serum-20ml-i.825870.1923897080</v>
      </c>
      <c r="C2252" s="8" t="s">
        <v>135</v>
      </c>
      <c r="D2252" s="8" t="s">
        <v>1184</v>
      </c>
      <c r="E2252" s="8" t="s">
        <v>12</v>
      </c>
      <c r="F2252" s="8" t="s">
        <v>13</v>
      </c>
      <c r="G2252" s="8" t="s">
        <v>21</v>
      </c>
      <c r="H2252" s="16">
        <v>2.0</v>
      </c>
      <c r="I2252" s="15" t="str">
        <f>SUBSTITUTE(Sheet1!K2252, "Rp", "")</f>
        <v>430000</v>
      </c>
    </row>
    <row r="2253">
      <c r="A2253" s="8" t="s">
        <v>3900</v>
      </c>
      <c r="B2253" s="13" t="str">
        <f>HYPERLINK("https://shopee.co.id/Emina-Bright-Stuff-Face-Serum-30Ml-i.186214521.10306956743", "https://shopee.co.id/Emina-Bright-Stuff-Face-Serum-30Ml-i.186214521.10306956743")</f>
        <v>https://shopee.co.id/Emina-Bright-Stuff-Face-Serum-30Ml-i.186214521.10306956743</v>
      </c>
      <c r="C2253" s="8" t="s">
        <v>209</v>
      </c>
      <c r="D2253" s="8" t="s">
        <v>2293</v>
      </c>
      <c r="E2253" s="8" t="s">
        <v>12</v>
      </c>
      <c r="F2253" s="8" t="s">
        <v>13</v>
      </c>
      <c r="G2253" s="8" t="s">
        <v>3901</v>
      </c>
      <c r="H2253" s="16">
        <v>2.0</v>
      </c>
      <c r="I2253" s="15" t="str">
        <f>SUBSTITUTE(Sheet1!K2253, "Rp", "")</f>
        <v>83000</v>
      </c>
    </row>
    <row r="2254">
      <c r="A2254" s="8" t="s">
        <v>3648</v>
      </c>
      <c r="B2254" s="13" t="str">
        <f>HYPERLINK("https://shopee.co.id/ERHA-hiserha-booster-essence-all-in-one-60ml-i.187117294.9326858906", "https://shopee.co.id/ERHA-hiserha-booster-essence-all-in-one-60ml-i.187117294.9326858906")</f>
        <v>https://shopee.co.id/ERHA-hiserha-booster-essence-all-in-one-60ml-i.187117294.9326858906</v>
      </c>
      <c r="C2254" s="8" t="s">
        <v>1952</v>
      </c>
      <c r="D2254" s="8" t="s">
        <v>2366</v>
      </c>
      <c r="E2254" s="8" t="s">
        <v>12</v>
      </c>
      <c r="F2254" s="8" t="s">
        <v>13</v>
      </c>
      <c r="G2254" s="8" t="s">
        <v>469</v>
      </c>
      <c r="H2254" s="16">
        <v>2.0</v>
      </c>
      <c r="I2254" s="15" t="str">
        <f>SUBSTITUTE(Sheet1!K2254, "Rp", "")</f>
        <v>203000</v>
      </c>
    </row>
    <row r="2255">
      <c r="A2255" s="8" t="s">
        <v>3368</v>
      </c>
      <c r="B2255" s="13" t="str">
        <f>HYPERLINK("https://shopee.co.id/ERHA-Truwhite-Vit-C-Peptides-Brightening-Serum-20-ml-Serum-Pencerah-Wajah-i.187117294.6649952447", "https://shopee.co.id/ERHA-Truwhite-Vit-C-Peptides-Brightening-Serum-20-ml-Serum-Pencerah-Wajah-i.187117294.6649952447")</f>
        <v>https://shopee.co.id/ERHA-Truwhite-Vit-C-Peptides-Brightening-Serum-20-ml-Serum-Pencerah-Wajah-i.187117294.6649952447</v>
      </c>
      <c r="C2255" s="8" t="s">
        <v>181</v>
      </c>
      <c r="D2255" s="8" t="s">
        <v>2366</v>
      </c>
      <c r="E2255" s="8" t="s">
        <v>12</v>
      </c>
      <c r="F2255" s="8" t="s">
        <v>13</v>
      </c>
      <c r="G2255" s="8" t="s">
        <v>469</v>
      </c>
      <c r="H2255" s="16">
        <v>2.0</v>
      </c>
      <c r="I2255" s="15" t="str">
        <f>SUBSTITUTE(Sheet1!K2255, "Rp", "")</f>
        <v>382000</v>
      </c>
    </row>
    <row r="2256">
      <c r="A2256" s="8" t="s">
        <v>3397</v>
      </c>
      <c r="B2256" s="13" t="str">
        <f>HYPERLINK("https://shopee.co.id/Esther-Derma-Bright-Serum-i.258793984.5779446036", "https://shopee.co.id/Esther-Derma-Bright-Serum-i.258793984.5779446036")</f>
        <v>https://shopee.co.id/Esther-Derma-Bright-Serum-i.258793984.5779446036</v>
      </c>
      <c r="C2256" s="8" t="s">
        <v>3398</v>
      </c>
      <c r="D2256" s="8" t="s">
        <v>3399</v>
      </c>
      <c r="E2256" s="8" t="s">
        <v>12</v>
      </c>
      <c r="F2256" s="8" t="s">
        <v>13</v>
      </c>
      <c r="G2256" s="8" t="s">
        <v>350</v>
      </c>
      <c r="H2256" s="16">
        <v>2.0</v>
      </c>
      <c r="I2256" s="15" t="str">
        <f>SUBSTITUTE(Sheet1!K2256, "Rp", "")</f>
        <v>364000</v>
      </c>
    </row>
    <row r="2257">
      <c r="A2257" s="8" t="s">
        <v>3570</v>
      </c>
      <c r="B2257" s="13" t="str">
        <f>HYPERLINK("https://shopee.co.id/Esther-Tea-Tree-Serum-i.258793984.5732823852", "https://shopee.co.id/Esther-Tea-Tree-Serum-i.258793984.5732823852")</f>
        <v>https://shopee.co.id/Esther-Tea-Tree-Serum-i.258793984.5732823852</v>
      </c>
      <c r="C2257" s="8" t="s">
        <v>3398</v>
      </c>
      <c r="D2257" s="8" t="s">
        <v>3399</v>
      </c>
      <c r="E2257" s="8" t="s">
        <v>12</v>
      </c>
      <c r="F2257" s="8" t="s">
        <v>13</v>
      </c>
      <c r="G2257" s="8" t="s">
        <v>350</v>
      </c>
      <c r="H2257" s="16">
        <v>2.0</v>
      </c>
      <c r="I2257" s="15" t="str">
        <f>SUBSTITUTE(Sheet1!K2257, "Rp", "")</f>
        <v>240000</v>
      </c>
    </row>
    <row r="2258">
      <c r="A2258" s="8" t="s">
        <v>3558</v>
      </c>
      <c r="B2258" s="13" t="str">
        <f>HYPERLINK("https://shopee.co.id/Everwhite-Chromabright-Brightening-Serum-15ml-i.136011044.9142151511", "https://shopee.co.id/Everwhite-Chromabright-Brightening-Serum-15ml-i.136011044.9142151511")</f>
        <v>https://shopee.co.id/Everwhite-Chromabright-Brightening-Serum-15ml-i.136011044.9142151511</v>
      </c>
      <c r="C2258" s="8" t="s">
        <v>157</v>
      </c>
      <c r="D2258" s="8" t="s">
        <v>632</v>
      </c>
      <c r="E2258" s="8" t="s">
        <v>12</v>
      </c>
      <c r="F2258" s="8" t="s">
        <v>13</v>
      </c>
      <c r="G2258" s="8" t="s">
        <v>21</v>
      </c>
      <c r="H2258" s="16">
        <v>2.0</v>
      </c>
      <c r="I2258" s="15" t="str">
        <f>SUBSTITUTE(Sheet1!K2258, "Rp", "")</f>
        <v>247500</v>
      </c>
    </row>
    <row r="2259">
      <c r="A2259" s="8" t="s">
        <v>3511</v>
      </c>
      <c r="B2259" s="13" t="str">
        <f>HYPERLINK("https://shopee.co.id/FABIL-Plumping-Acne-Care-Serum-20ml-i.3990192.6341599860", "https://shopee.co.id/FABIL-Plumping-Acne-Care-Serum-20ml-i.3990192.6341599860")</f>
        <v>https://shopee.co.id/FABIL-Plumping-Acne-Care-Serum-20ml-i.3990192.6341599860</v>
      </c>
      <c r="C2259" s="8" t="s">
        <v>2579</v>
      </c>
      <c r="D2259" s="8" t="s">
        <v>2580</v>
      </c>
      <c r="E2259" s="8" t="s">
        <v>12</v>
      </c>
      <c r="F2259" s="8" t="s">
        <v>13</v>
      </c>
      <c r="G2259" s="8" t="s">
        <v>1085</v>
      </c>
      <c r="H2259" s="16">
        <v>2.0</v>
      </c>
      <c r="I2259" s="15" t="str">
        <f>SUBSTITUTE(Sheet1!K2259, "Rp", "")</f>
        <v>282000</v>
      </c>
    </row>
    <row r="2260">
      <c r="A2260" s="8" t="s">
        <v>3684</v>
      </c>
      <c r="B2260" s="13" t="str">
        <f>HYPERLINK("https://shopee.co.id/FIRM-AND-YOUTHFULL-SKIN-ADVANCED-TREATMENT-SERUM-i.231467354.11606416806", "https://shopee.co.id/FIRM-AND-YOUTHFULL-SKIN-ADVANCED-TREATMENT-SERUM-i.231467354.11606416806")</f>
        <v>https://shopee.co.id/FIRM-AND-YOUTHFULL-SKIN-ADVANCED-TREATMENT-SERUM-i.231467354.11606416806</v>
      </c>
      <c r="C2260" s="8" t="s">
        <v>2878</v>
      </c>
      <c r="D2260" s="8" t="s">
        <v>2879</v>
      </c>
      <c r="E2260" s="8" t="s">
        <v>12</v>
      </c>
      <c r="F2260" s="8" t="s">
        <v>13</v>
      </c>
      <c r="G2260" s="8" t="s">
        <v>532</v>
      </c>
      <c r="H2260" s="16">
        <v>2.0</v>
      </c>
      <c r="I2260" s="15" t="str">
        <f>SUBSTITUTE(Sheet1!K2260, "Rp", "")</f>
        <v>187500</v>
      </c>
    </row>
    <row r="2261">
      <c r="A2261" s="8" t="s">
        <v>3930</v>
      </c>
      <c r="B2261" s="13" t="str">
        <f>HYPERLINK("https://shopee.co.id/Garnier-Bright-Complete-White-Speed-Day-Serum-Cream-Skin-Care-2-x-20-mL-i.65323877.9479913929", "https://shopee.co.id/Garnier-Bright-Complete-White-Speed-Day-Serum-Cream-Skin-Care-2-x-20-mL-i.65323877.9479913929")</f>
        <v>https://shopee.co.id/Garnier-Bright-Complete-White-Speed-Day-Serum-Cream-Skin-Care-2-x-20-mL-i.65323877.9479913929</v>
      </c>
      <c r="C2261" s="8" t="s">
        <v>74</v>
      </c>
      <c r="D2261" s="8" t="s">
        <v>1600</v>
      </c>
      <c r="E2261" s="8" t="s">
        <v>12</v>
      </c>
      <c r="F2261" s="8" t="s">
        <v>13</v>
      </c>
      <c r="G2261" s="8" t="s">
        <v>296</v>
      </c>
      <c r="H2261" s="16">
        <v>2.0</v>
      </c>
      <c r="I2261" s="15" t="str">
        <f>SUBSTITUTE(Sheet1!K2261, "Rp", "")</f>
        <v>65600</v>
      </c>
    </row>
    <row r="2262">
      <c r="A2262" s="8" t="s">
        <v>3790</v>
      </c>
      <c r="B2262" s="13" t="str">
        <f>HYPERLINK("https://shopee.co.id/Garnier-Bright-Complete-White-Speed-Serum-Day-Cream-Extra-SPF-36-50-mL-i.65323877.10819057178", "https://shopee.co.id/Garnier-Bright-Complete-White-Speed-Serum-Day-Cream-Extra-SPF-36-50-mL-i.65323877.10819057178")</f>
        <v>https://shopee.co.id/Garnier-Bright-Complete-White-Speed-Serum-Day-Cream-Extra-SPF-36-50-mL-i.65323877.10819057178</v>
      </c>
      <c r="C2262" s="8" t="s">
        <v>74</v>
      </c>
      <c r="D2262" s="8" t="s">
        <v>1600</v>
      </c>
      <c r="E2262" s="8" t="s">
        <v>12</v>
      </c>
      <c r="F2262" s="8" t="s">
        <v>13</v>
      </c>
      <c r="G2262" s="8" t="s">
        <v>296</v>
      </c>
      <c r="H2262" s="16">
        <v>2.0</v>
      </c>
      <c r="I2262" s="15" t="str">
        <f>SUBSTITUTE(Sheet1!K2262, "Rp", "")</f>
        <v>128800</v>
      </c>
    </row>
    <row r="2263">
      <c r="A2263" s="8" t="s">
        <v>3969</v>
      </c>
      <c r="B2263" s="13" t="str">
        <f>HYPERLINK("https://shopee.co.id/Garnier-Light-Complete-Vitamin-C-30x-Booster-Serum-Skin-Care-Sachet-Cepat-Cerahkan-Noda-Hitam--i.65323877.13602810423", "https://shopee.co.id/Garnier-Light-Complete-Vitamin-C-30x-Booster-Serum-Skin-Care-Sachet-Cepat-Cerahkan-Noda-Hitam--i.65323877.13602810423")</f>
        <v>https://shopee.co.id/Garnier-Light-Complete-Vitamin-C-30x-Booster-Serum-Skin-Care-Sachet-Cepat-Cerahkan-Noda-Hitam--i.65323877.13602810423</v>
      </c>
      <c r="C2263" s="8" t="s">
        <v>74</v>
      </c>
      <c r="D2263" s="8" t="s">
        <v>1600</v>
      </c>
      <c r="E2263" s="8" t="s">
        <v>12</v>
      </c>
      <c r="F2263" s="8" t="s">
        <v>13</v>
      </c>
      <c r="G2263" s="8" t="s">
        <v>296</v>
      </c>
      <c r="H2263" s="16">
        <v>2.0</v>
      </c>
      <c r="I2263" s="15" t="str">
        <f>SUBSTITUTE(Sheet1!K2263, "Rp", "")</f>
        <v>39000</v>
      </c>
    </row>
    <row r="2264">
      <c r="A2264" s="8" t="s">
        <v>3274</v>
      </c>
      <c r="B2264" s="13" t="str">
        <f>HYPERLINK("https://shopee.co.id/Garnier-Sakura-White-Booster-Serum-30-ml-x-2-Pcs--i.186214521.8647119541", "https://shopee.co.id/Garnier-Sakura-White-Booster-Serum-30-ml-x-2-Pcs--i.186214521.8647119541")</f>
        <v>https://shopee.co.id/Garnier-Sakura-White-Booster-Serum-30-ml-x-2-Pcs--i.186214521.8647119541</v>
      </c>
      <c r="C2264" s="8" t="s">
        <v>74</v>
      </c>
      <c r="D2264" s="8" t="s">
        <v>2293</v>
      </c>
      <c r="E2264" s="8" t="s">
        <v>12</v>
      </c>
      <c r="F2264" s="8" t="s">
        <v>13</v>
      </c>
      <c r="G2264" s="8" t="s">
        <v>61</v>
      </c>
      <c r="H2264" s="16">
        <v>2.0</v>
      </c>
      <c r="I2264" s="15" t="str">
        <f>SUBSTITUTE(Sheet1!K2264, "Rp", "")</f>
        <v>453900</v>
      </c>
    </row>
    <row r="2265">
      <c r="A2265" s="8" t="s">
        <v>2987</v>
      </c>
      <c r="B2265" s="13" t="str">
        <f>HYPERLINK("https://shopee.co.id/GEN-Anti-Aging-Complete-Serum-For-All-Skin-Types-20ml-BPOM-NA18192005115-i.188839838.3310175274", "https://shopee.co.id/GEN-Anti-Aging-Complete-Serum-For-All-Skin-Types-20ml-BPOM-NA18192005115-i.188839838.3310175274")</f>
        <v>https://shopee.co.id/GEN-Anti-Aging-Complete-Serum-For-All-Skin-Types-20ml-BPOM-NA18192005115-i.188839838.3310175274</v>
      </c>
      <c r="C2265" s="8" t="s">
        <v>2988</v>
      </c>
      <c r="D2265" s="8" t="s">
        <v>2989</v>
      </c>
      <c r="E2265" s="8" t="s">
        <v>12</v>
      </c>
      <c r="F2265" s="8" t="s">
        <v>13</v>
      </c>
      <c r="G2265" s="8" t="s">
        <v>532</v>
      </c>
      <c r="H2265" s="16">
        <v>2.0</v>
      </c>
      <c r="I2265" s="15" t="str">
        <f>SUBSTITUTE(Sheet1!K2265, "Rp", "")</f>
        <v>766400</v>
      </c>
    </row>
    <row r="2266">
      <c r="A2266" s="8" t="s">
        <v>2598</v>
      </c>
      <c r="B2266" s="13" t="str">
        <f>HYPERLINK("https://shopee.co.id/GEUT-BY-DR-T-GEUT-EVENING-PM-Set-i.430986274.9184424701", "https://shopee.co.id/GEUT-BY-DR-T-GEUT-EVENING-PM-Set-i.430986274.9184424701")</f>
        <v>https://shopee.co.id/GEUT-BY-DR-T-GEUT-EVENING-PM-Set-i.430986274.9184424701</v>
      </c>
      <c r="C2266" s="8" t="s">
        <v>2599</v>
      </c>
      <c r="D2266" s="8" t="s">
        <v>1168</v>
      </c>
      <c r="E2266" s="8" t="s">
        <v>12</v>
      </c>
      <c r="F2266" s="8" t="s">
        <v>13</v>
      </c>
      <c r="G2266" s="8" t="s">
        <v>21</v>
      </c>
      <c r="H2266" s="16">
        <v>2.0</v>
      </c>
      <c r="I2266" s="15" t="str">
        <f>SUBSTITUTE(Sheet1!K2266, "Rp", "")</f>
        <v>1462500</v>
      </c>
    </row>
    <row r="2267">
      <c r="A2267" s="8" t="s">
        <v>2155</v>
      </c>
      <c r="B2267" s="13" t="str">
        <f>HYPERLINK("https://shopee.co.id/GLAMGLOW-SUPERSERUM-6-Acid-Refining-Treatment-i.37242565.2255171914", "https://shopee.co.id/GLAMGLOW-SUPERSERUM-6-Acid-Refining-Treatment-i.37242565.2255171914")</f>
        <v>https://shopee.co.id/GLAMGLOW-SUPERSERUM-6-Acid-Refining-Treatment-i.37242565.2255171914</v>
      </c>
      <c r="C2267" s="8" t="s">
        <v>2156</v>
      </c>
      <c r="D2267" s="8" t="s">
        <v>2157</v>
      </c>
      <c r="E2267" s="8" t="s">
        <v>12</v>
      </c>
      <c r="F2267" s="8" t="s">
        <v>13</v>
      </c>
      <c r="G2267" s="8" t="s">
        <v>98</v>
      </c>
      <c r="H2267" s="16">
        <v>2.0</v>
      </c>
      <c r="I2267" s="15" t="str">
        <f>SUBSTITUTE(Sheet1!K2267, "Rp", "")</f>
        <v>2700000</v>
      </c>
    </row>
    <row r="2268">
      <c r="A2268" s="8" t="s">
        <v>3055</v>
      </c>
      <c r="B2268" s="13" t="str">
        <f>HYPERLINK("https://shopee.co.id/Glowlabs-New-Game-Squad-HPR-Night-Serum-Gentle-Exfoliator-Essence-Acne-Prone-Moisturizer--i.336869851.3006395414", "https://shopee.co.id/Glowlabs-New-Game-Squad-HPR-Night-Serum-Gentle-Exfoliator-Essence-Acne-Prone-Moisturizer--i.336869851.3006395414")</f>
        <v>https://shopee.co.id/Glowlabs-New-Game-Squad-HPR-Night-Serum-Gentle-Exfoliator-Essence-Acne-Prone-Moisturizer--i.336869851.3006395414</v>
      </c>
      <c r="C2268" s="8" t="s">
        <v>407</v>
      </c>
      <c r="D2268" s="8" t="s">
        <v>408</v>
      </c>
      <c r="E2268" s="8" t="s">
        <v>12</v>
      </c>
      <c r="F2268" s="8" t="s">
        <v>13</v>
      </c>
      <c r="G2268" s="8" t="s">
        <v>409</v>
      </c>
      <c r="H2268" s="16">
        <v>2.0</v>
      </c>
      <c r="I2268" s="15" t="str">
        <f>SUBSTITUTE(Sheet1!K2268, "Rp", "")</f>
        <v>673200</v>
      </c>
    </row>
    <row r="2269">
      <c r="A2269" s="8" t="s">
        <v>3523</v>
      </c>
      <c r="B2269" s="13" t="str">
        <f>HYPERLINK("https://shopee.co.id/HADA-LABO-Gokujyun-Alpha-Essence-30gr-i.68111.9649802405", "https://shopee.co.id/HADA-LABO-Gokujyun-Alpha-Essence-30gr-i.68111.9649802405")</f>
        <v>https://shopee.co.id/HADA-LABO-Gokujyun-Alpha-Essence-30gr-i.68111.9649802405</v>
      </c>
      <c r="C2269" s="8" t="s">
        <v>2090</v>
      </c>
      <c r="D2269" s="8" t="s">
        <v>441</v>
      </c>
      <c r="E2269" s="8" t="s">
        <v>12</v>
      </c>
      <c r="F2269" s="8" t="s">
        <v>13</v>
      </c>
      <c r="G2269" s="8" t="s">
        <v>130</v>
      </c>
      <c r="H2269" s="16">
        <v>2.0</v>
      </c>
      <c r="I2269" s="15" t="str">
        <f>SUBSTITUTE(Sheet1!K2269, "Rp", "")</f>
        <v>270000</v>
      </c>
    </row>
    <row r="2270">
      <c r="A2270" s="8" t="s">
        <v>3519</v>
      </c>
      <c r="B2270" s="13" t="str">
        <f>HYPERLINK("https://shopee.co.id/HADA-LABO-SHIROJ-W-ESSENCE-30GR-i.186214521.4148057216", "https://shopee.co.id/HADA-LABO-SHIROJ-W-ESSENCE-30GR-i.186214521.4148057216")</f>
        <v>https://shopee.co.id/HADA-LABO-SHIROJ-W-ESSENCE-30GR-i.186214521.4148057216</v>
      </c>
      <c r="C2270" s="8" t="s">
        <v>2090</v>
      </c>
      <c r="D2270" s="8" t="s">
        <v>2293</v>
      </c>
      <c r="E2270" s="8" t="s">
        <v>12</v>
      </c>
      <c r="F2270" s="8" t="s">
        <v>13</v>
      </c>
      <c r="G2270" s="8" t="s">
        <v>61</v>
      </c>
      <c r="H2270" s="16">
        <v>2.0</v>
      </c>
      <c r="I2270" s="15" t="str">
        <f>SUBSTITUTE(Sheet1!K2270, "Rp", "")</f>
        <v>273000</v>
      </c>
    </row>
    <row r="2271">
      <c r="A2271" s="8" t="s">
        <v>3565</v>
      </c>
      <c r="B2271" s="13" t="str">
        <f>HYPERLINK("https://shopee.co.id/Hada-Labo-Shirojyun-Ultimate-Whitening-Essence-30-ml-i.270965687.4741190130", "https://shopee.co.id/Hada-Labo-Shirojyun-Ultimate-Whitening-Essence-30-ml-i.270965687.4741190130")</f>
        <v>https://shopee.co.id/Hada-Labo-Shirojyun-Ultimate-Whitening-Essence-30-ml-i.270965687.4741190130</v>
      </c>
      <c r="C2271" s="8" t="s">
        <v>2090</v>
      </c>
      <c r="D2271" s="8" t="s">
        <v>379</v>
      </c>
      <c r="E2271" s="8" t="s">
        <v>12</v>
      </c>
      <c r="F2271" s="8" t="s">
        <v>13</v>
      </c>
      <c r="G2271" s="8" t="s">
        <v>380</v>
      </c>
      <c r="H2271" s="16">
        <v>2.0</v>
      </c>
      <c r="I2271" s="15" t="str">
        <f>SUBSTITUTE(Sheet1!K2271, "Rp", "")</f>
        <v>242000</v>
      </c>
    </row>
    <row r="2272">
      <c r="A2272" s="8" t="s">
        <v>3902</v>
      </c>
      <c r="B2272" s="13" t="str">
        <f>HYPERLINK("https://shopee.co.id/Hanasui-Anti-Acne-Serum-20Ml-Serum-Wajah-Pelembab-Wajah-Vitamin-Wajah-Obat-Jerawat-Isi-2--i.175375997.4600248293", "https://shopee.co.id/Hanasui-Anti-Acne-Serum-20Ml-Serum-Wajah-Pelembab-Wajah-Vitamin-Wajah-Obat-Jerawat-Isi-2--i.175375997.4600248293")</f>
        <v>https://shopee.co.id/Hanasui-Anti-Acne-Serum-20Ml-Serum-Wajah-Pelembab-Wajah-Vitamin-Wajah-Obat-Jerawat-Isi-2--i.175375997.4600248293</v>
      </c>
      <c r="C2272" s="8" t="s">
        <v>784</v>
      </c>
      <c r="D2272" s="8" t="s">
        <v>2123</v>
      </c>
      <c r="E2272" s="8" t="s">
        <v>12</v>
      </c>
      <c r="F2272" s="8" t="s">
        <v>13</v>
      </c>
      <c r="G2272" s="8" t="s">
        <v>36</v>
      </c>
      <c r="H2272" s="16">
        <v>2.0</v>
      </c>
      <c r="I2272" s="15" t="str">
        <f>SUBSTITUTE(Sheet1!K2272, "Rp", "")</f>
        <v>81529</v>
      </c>
    </row>
    <row r="2273">
      <c r="A2273" s="8" t="s">
        <v>3955</v>
      </c>
      <c r="B2273" s="13" t="str">
        <f>HYPERLINK("https://shopee.co.id/HANASUI-Serum-Vitamin-C-i.68111.11732658563", "https://shopee.co.id/HANASUI-Serum-Vitamin-C-i.68111.11732658563")</f>
        <v>https://shopee.co.id/HANASUI-Serum-Vitamin-C-i.68111.11732658563</v>
      </c>
      <c r="C2273" s="8" t="s">
        <v>784</v>
      </c>
      <c r="D2273" s="8" t="s">
        <v>441</v>
      </c>
      <c r="E2273" s="8" t="s">
        <v>12</v>
      </c>
      <c r="F2273" s="8" t="s">
        <v>13</v>
      </c>
      <c r="G2273" s="8" t="s">
        <v>130</v>
      </c>
      <c r="H2273" s="16">
        <v>2.0</v>
      </c>
      <c r="I2273" s="15" t="str">
        <f>SUBSTITUTE(Sheet1!K2273, "Rp", "")</f>
        <v>47500</v>
      </c>
    </row>
    <row r="2274">
      <c r="A2274" s="8" t="s">
        <v>3963</v>
      </c>
      <c r="B2274" s="13" t="str">
        <f>HYPERLINK("https://shopee.co.id/Hanasui-Vitamin-C-Body-Serum-Gel-200ml-i.277377659.6540029900", "https://shopee.co.id/Hanasui-Vitamin-C-Body-Serum-Gel-200ml-i.277377659.6540029900")</f>
        <v>https://shopee.co.id/Hanasui-Vitamin-C-Body-Serum-Gel-200ml-i.277377659.6540029900</v>
      </c>
      <c r="C2274" s="8" t="s">
        <v>784</v>
      </c>
      <c r="D2274" s="8" t="s">
        <v>2549</v>
      </c>
      <c r="E2274" s="8" t="s">
        <v>12</v>
      </c>
      <c r="F2274" s="8" t="s">
        <v>13</v>
      </c>
      <c r="G2274" s="8" t="s">
        <v>532</v>
      </c>
      <c r="H2274" s="16">
        <v>2.0</v>
      </c>
      <c r="I2274" s="15" t="str">
        <f>SUBSTITUTE(Sheet1!K2274, "Rp", "")</f>
        <v>42000</v>
      </c>
    </row>
    <row r="2275">
      <c r="A2275" s="8" t="s">
        <v>3703</v>
      </c>
      <c r="B2275" s="13" t="str">
        <f>HYPERLINK("https://shopee.co.id/Haple-Centella-Cloud-Glow-Booster-30ml-i.825870.2797887293", "https://shopee.co.id/Haple-Centella-Cloud-Glow-Booster-30ml-i.825870.2797887293")</f>
        <v>https://shopee.co.id/Haple-Centella-Cloud-Glow-Booster-30ml-i.825870.2797887293</v>
      </c>
      <c r="C2275" s="8" t="s">
        <v>1415</v>
      </c>
      <c r="D2275" s="8" t="s">
        <v>1184</v>
      </c>
      <c r="E2275" s="8" t="s">
        <v>12</v>
      </c>
      <c r="F2275" s="8" t="s">
        <v>13</v>
      </c>
      <c r="G2275" s="8" t="s">
        <v>21</v>
      </c>
      <c r="H2275" s="16">
        <v>2.0</v>
      </c>
      <c r="I2275" s="15" t="str">
        <f>SUBSTITUTE(Sheet1!K2275, "Rp", "")</f>
        <v>178000</v>
      </c>
    </row>
    <row r="2276">
      <c r="A2276" s="8" t="s">
        <v>3105</v>
      </c>
      <c r="B2276" s="13" t="str">
        <f>HYPERLINK("https://shopee.co.id/HAUM-BUNDLING-C-LCID-i.344731863.6282375378", "https://shopee.co.id/HAUM-BUNDLING-C-LCID-i.344731863.6282375378")</f>
        <v>https://shopee.co.id/HAUM-BUNDLING-C-LCID-i.344731863.6282375378</v>
      </c>
      <c r="C2276" s="8" t="s">
        <v>1144</v>
      </c>
      <c r="D2276" s="8" t="s">
        <v>1145</v>
      </c>
      <c r="E2276" s="8" t="s">
        <v>12</v>
      </c>
      <c r="F2276" s="8" t="s">
        <v>13</v>
      </c>
      <c r="G2276" s="8" t="s">
        <v>98</v>
      </c>
      <c r="H2276" s="16">
        <v>2.0</v>
      </c>
      <c r="I2276" s="15" t="str">
        <f>SUBSTITUTE(Sheet1!K2276, "Rp", "")</f>
        <v>620400</v>
      </c>
    </row>
    <row r="2277">
      <c r="A2277" s="8" t="s">
        <v>3312</v>
      </c>
      <c r="B2277" s="13" t="str">
        <f>HYPERLINK("https://shopee.co.id/Heimish-Bulgarian-Rose-Mist-Serum-i.125116082.2753012293", "https://shopee.co.id/Heimish-Bulgarian-Rose-Mist-Serum-i.125116082.2753012293")</f>
        <v>https://shopee.co.id/Heimish-Bulgarian-Rose-Mist-Serum-i.125116082.2753012293</v>
      </c>
      <c r="C2277" s="8" t="s">
        <v>3313</v>
      </c>
      <c r="D2277" s="8" t="s">
        <v>713</v>
      </c>
      <c r="E2277" s="8" t="s">
        <v>12</v>
      </c>
      <c r="F2277" s="8" t="s">
        <v>13</v>
      </c>
      <c r="G2277" s="8" t="s">
        <v>61</v>
      </c>
      <c r="H2277" s="16">
        <v>2.0</v>
      </c>
      <c r="I2277" s="15" t="str">
        <f>SUBSTITUTE(Sheet1!K2277, "Rp", "")</f>
        <v>425600</v>
      </c>
    </row>
    <row r="2278">
      <c r="A2278" s="8" t="s">
        <v>3259</v>
      </c>
      <c r="B2278" s="13" t="str">
        <f>HYPERLINK("https://shopee.co.id/Hiqween-10-00pm-Advanced-serum-dan-Nourishing-Smoothie-Cream-i.481417149.3895461047", "https://shopee.co.id/Hiqween-10-00pm-Advanced-serum-dan-Nourishing-Smoothie-Cream-i.481417149.3895461047")</f>
        <v>https://shopee.co.id/Hiqween-10-00pm-Advanced-serum-dan-Nourishing-Smoothie-Cream-i.481417149.3895461047</v>
      </c>
      <c r="C2278" s="8" t="s">
        <v>2270</v>
      </c>
      <c r="D2278" s="8" t="s">
        <v>2271</v>
      </c>
      <c r="E2278" s="8" t="s">
        <v>12</v>
      </c>
      <c r="F2278" s="8" t="s">
        <v>13</v>
      </c>
      <c r="G2278" s="8" t="s">
        <v>350</v>
      </c>
      <c r="H2278" s="16">
        <v>2.0</v>
      </c>
      <c r="I2278" s="15" t="str">
        <f>SUBSTITUTE(Sheet1!K2278, "Rp", "")</f>
        <v>470000</v>
      </c>
    </row>
    <row r="2279">
      <c r="A2279" s="8" t="s">
        <v>3061</v>
      </c>
      <c r="B2279" s="13" t="str">
        <f>HYPERLINK("https://shopee.co.id/Hiqween-Bundling-Basic-Skincare-i.481417149.9177571005", "https://shopee.co.id/Hiqween-Bundling-Basic-Skincare-i.481417149.9177571005")</f>
        <v>https://shopee.co.id/Hiqween-Bundling-Basic-Skincare-i.481417149.9177571005</v>
      </c>
      <c r="C2279" s="8" t="s">
        <v>2270</v>
      </c>
      <c r="D2279" s="8" t="s">
        <v>2271</v>
      </c>
      <c r="E2279" s="8" t="s">
        <v>12</v>
      </c>
      <c r="F2279" s="8" t="s">
        <v>13</v>
      </c>
      <c r="G2279" s="8" t="s">
        <v>350</v>
      </c>
      <c r="H2279" s="16">
        <v>2.0</v>
      </c>
      <c r="I2279" s="15" t="str">
        <f>SUBSTITUTE(Sheet1!K2279, "Rp", "")</f>
        <v>669800</v>
      </c>
    </row>
    <row r="2280">
      <c r="A2280" s="8" t="s">
        <v>2264</v>
      </c>
      <c r="B2280" s="13" t="str">
        <f>HYPERLINK("https://shopee.co.id/Holika-Holika-Prime-Youth-24K-Gold-Repair-Ampoule-i.18856010.1645478477", "https://shopee.co.id/Holika-Holika-Prime-Youth-24K-Gold-Repair-Ampoule-i.18856010.1645478477")</f>
        <v>https://shopee.co.id/Holika-Holika-Prime-Youth-24K-Gold-Repair-Ampoule-i.18856010.1645478477</v>
      </c>
      <c r="C2280" s="8" t="s">
        <v>2265</v>
      </c>
      <c r="D2280" s="8" t="s">
        <v>2266</v>
      </c>
      <c r="E2280" s="8" t="s">
        <v>12</v>
      </c>
      <c r="F2280" s="8" t="s">
        <v>13</v>
      </c>
      <c r="G2280" s="8" t="s">
        <v>21</v>
      </c>
      <c r="H2280" s="16">
        <v>2.0</v>
      </c>
      <c r="I2280" s="15" t="str">
        <f>SUBSTITUTE(Sheet1!K2280, "Rp", "")</f>
        <v>2382000</v>
      </c>
    </row>
    <row r="2281">
      <c r="A2281" s="8" t="s">
        <v>3418</v>
      </c>
      <c r="B2281" s="13" t="str">
        <f>HYPERLINK("https://shopee.co.id/Humphrey-Spot-Serum-White-Bright-20ml-i.121791179.3817885273", "https://shopee.co.id/Humphrey-Spot-Serum-White-Bright-20ml-i.121791179.3817885273")</f>
        <v>https://shopee.co.id/Humphrey-Spot-Serum-White-Bright-20ml-i.121791179.3817885273</v>
      </c>
      <c r="C2281" s="8" t="s">
        <v>1832</v>
      </c>
      <c r="D2281" s="8" t="s">
        <v>1733</v>
      </c>
      <c r="E2281" s="8" t="s">
        <v>12</v>
      </c>
      <c r="F2281" s="8" t="s">
        <v>13</v>
      </c>
      <c r="G2281" s="8" t="s">
        <v>36</v>
      </c>
      <c r="H2281" s="16">
        <v>2.0</v>
      </c>
      <c r="I2281" s="15" t="str">
        <f>SUBSTITUTE(Sheet1!K2281, "Rp", "")</f>
        <v>345950</v>
      </c>
    </row>
    <row r="2282">
      <c r="A2282" s="8" t="s">
        <v>3323</v>
      </c>
      <c r="B2282" s="13" t="str">
        <f>HYPERLINK("https://shopee.co.id/I-Trust-Nature-Licorice-Serum-30ml-i.10689.3652465204", "https://shopee.co.id/I-Trust-Nature-Licorice-Serum-30ml-i.10689.3652465204")</f>
        <v>https://shopee.co.id/I-Trust-Nature-Licorice-Serum-30ml-i.10689.3652465204</v>
      </c>
      <c r="C2282" s="8" t="s">
        <v>1650</v>
      </c>
      <c r="D2282" s="8" t="s">
        <v>745</v>
      </c>
      <c r="E2282" s="8" t="s">
        <v>12</v>
      </c>
      <c r="F2282" s="8" t="s">
        <v>13</v>
      </c>
      <c r="G2282" s="8" t="s">
        <v>61</v>
      </c>
      <c r="H2282" s="16">
        <v>2.0</v>
      </c>
      <c r="I2282" s="15" t="str">
        <f>SUBSTITUTE(Sheet1!K2282, "Rp", "")</f>
        <v>405000</v>
      </c>
    </row>
    <row r="2283">
      <c r="A2283" s="8" t="s">
        <v>3591</v>
      </c>
      <c r="B2283" s="13" t="str">
        <f>HYPERLINK("https://shopee.co.id/Illuminare-Pore-Serum-30ml-Serum-Wajah-i.204185841.3619399357", "https://shopee.co.id/Illuminare-Pore-Serum-30ml-Serum-Wajah-i.204185841.3619399357")</f>
        <v>https://shopee.co.id/Illuminare-Pore-Serum-30ml-Serum-Wajah-i.204185841.3619399357</v>
      </c>
      <c r="C2283" s="8" t="s">
        <v>1750</v>
      </c>
      <c r="D2283" s="8" t="s">
        <v>2568</v>
      </c>
      <c r="E2283" s="8" t="s">
        <v>12</v>
      </c>
      <c r="F2283" s="8" t="s">
        <v>13</v>
      </c>
      <c r="G2283" s="8" t="s">
        <v>36</v>
      </c>
      <c r="H2283" s="16">
        <v>2.0</v>
      </c>
      <c r="I2283" s="15" t="str">
        <f>SUBSTITUTE(Sheet1!K2283, "Rp", "")</f>
        <v>232000</v>
      </c>
    </row>
    <row r="2284">
      <c r="A2284" s="8" t="s">
        <v>3335</v>
      </c>
      <c r="B2284" s="13" t="str">
        <f>HYPERLINK("https://shopee.co.id/Indoganic-Beauty-Brightening-Vitamin-C-Serum-15ml-i.10689.4735712471", "https://shopee.co.id/Indoganic-Beauty-Brightening-Vitamin-C-Serum-15ml-i.10689.4735712471")</f>
        <v>https://shopee.co.id/Indoganic-Beauty-Brightening-Vitamin-C-Serum-15ml-i.10689.4735712471</v>
      </c>
      <c r="C2284" s="8" t="s">
        <v>995</v>
      </c>
      <c r="D2284" s="8" t="s">
        <v>745</v>
      </c>
      <c r="E2284" s="8" t="s">
        <v>12</v>
      </c>
      <c r="F2284" s="8" t="s">
        <v>13</v>
      </c>
      <c r="G2284" s="8" t="s">
        <v>61</v>
      </c>
      <c r="H2284" s="16">
        <v>2.0</v>
      </c>
      <c r="I2284" s="15" t="str">
        <f>SUBSTITUTE(Sheet1!K2284, "Rp", "")</f>
        <v>397100</v>
      </c>
    </row>
    <row r="2285">
      <c r="A2285" s="8" t="s">
        <v>3554</v>
      </c>
      <c r="B2285" s="13" t="str">
        <f>HYPERLINK("https://shopee.co.id/J-GLOW-Luminous-Boost-SERUM-GEL-Memudarkan-Bekas-Jerawat-Memerah-10g-i.165212611.7817838747", "https://shopee.co.id/J-GLOW-Luminous-Boost-SERUM-GEL-Memudarkan-Bekas-Jerawat-Memerah-10g-i.165212611.7817838747")</f>
        <v>https://shopee.co.id/J-GLOW-Luminous-Boost-SERUM-GEL-Memudarkan-Bekas-Jerawat-Memerah-10g-i.165212611.7817838747</v>
      </c>
      <c r="C2285" s="8" t="s">
        <v>1553</v>
      </c>
      <c r="D2285" s="8" t="s">
        <v>1554</v>
      </c>
      <c r="E2285" s="8" t="s">
        <v>12</v>
      </c>
      <c r="F2285" s="8" t="s">
        <v>13</v>
      </c>
      <c r="G2285" s="8" t="s">
        <v>241</v>
      </c>
      <c r="H2285" s="16">
        <v>2.0</v>
      </c>
      <c r="I2285" s="15" t="str">
        <f>SUBSTITUTE(Sheet1!K2285, "Rp", "")</f>
        <v>250000</v>
      </c>
    </row>
    <row r="2286">
      <c r="A2286" s="8" t="s">
        <v>3696</v>
      </c>
      <c r="B2286" s="13" t="str">
        <f>HYPERLINK("https://shopee.co.id/J-GLOW-Spot-Serum-15-ml-i.165212611.5197851354", "https://shopee.co.id/J-GLOW-Spot-Serum-15-ml-i.165212611.5197851354")</f>
        <v>https://shopee.co.id/J-GLOW-Spot-Serum-15-ml-i.165212611.5197851354</v>
      </c>
      <c r="C2286" s="8" t="s">
        <v>1553</v>
      </c>
      <c r="D2286" s="8" t="s">
        <v>1554</v>
      </c>
      <c r="E2286" s="8" t="s">
        <v>12</v>
      </c>
      <c r="F2286" s="8" t="s">
        <v>13</v>
      </c>
      <c r="G2286" s="8" t="s">
        <v>241</v>
      </c>
      <c r="H2286" s="16">
        <v>2.0</v>
      </c>
      <c r="I2286" s="15" t="str">
        <f>SUBSTITUTE(Sheet1!K2286, "Rp", "")</f>
        <v>180000</v>
      </c>
    </row>
    <row r="2287">
      <c r="A2287" s="8" t="s">
        <v>3579</v>
      </c>
      <c r="B2287" s="13" t="str">
        <f>HYPERLINK("https://shopee.co.id/JARTE-Beauty-CICA-Care-Ampoule-i.68111.9113600017", "https://shopee.co.id/JARTE-Beauty-CICA-Care-Ampoule-i.68111.9113600017")</f>
        <v>https://shopee.co.id/JARTE-Beauty-CICA-Care-Ampoule-i.68111.9113600017</v>
      </c>
      <c r="C2287" s="8" t="s">
        <v>3219</v>
      </c>
      <c r="D2287" s="8" t="s">
        <v>441</v>
      </c>
      <c r="E2287" s="8" t="s">
        <v>12</v>
      </c>
      <c r="F2287" s="8" t="s">
        <v>13</v>
      </c>
      <c r="G2287" s="8" t="s">
        <v>130</v>
      </c>
      <c r="H2287" s="16">
        <v>2.0</v>
      </c>
      <c r="I2287" s="15" t="str">
        <f>SUBSTITUTE(Sheet1!K2287, "Rp", "")</f>
        <v>238000</v>
      </c>
    </row>
    <row r="2288">
      <c r="A2288" s="8" t="s">
        <v>3855</v>
      </c>
      <c r="B2288" s="13" t="str">
        <f>HYPERLINK("https://shopee.co.id/Jehan-AHA-8-8-dan-BHA-0-8-Peeling-Serum-10-ml-i.120913943.7851896821", "https://shopee.co.id/Jehan-AHA-8-8-dan-BHA-0-8-Peeling-Serum-10-ml-i.120913943.7851896821")</f>
        <v>https://shopee.co.id/Jehan-AHA-8-8-dan-BHA-0-8-Peeling-Serum-10-ml-i.120913943.7851896821</v>
      </c>
      <c r="C2288" s="8" t="s">
        <v>3856</v>
      </c>
      <c r="D2288" s="8" t="s">
        <v>3857</v>
      </c>
      <c r="E2288" s="8" t="s">
        <v>12</v>
      </c>
      <c r="F2288" s="8" t="s">
        <v>13</v>
      </c>
      <c r="G2288" s="8" t="s">
        <v>1085</v>
      </c>
      <c r="H2288" s="16">
        <v>2.0</v>
      </c>
      <c r="I2288" s="15" t="str">
        <f>SUBSTITUTE(Sheet1!K2288, "Rp", "")</f>
        <v>100000</v>
      </c>
    </row>
    <row r="2289">
      <c r="A2289" s="8" t="s">
        <v>1712</v>
      </c>
      <c r="B2289" s="13" t="str">
        <f>HYPERLINK("https://shopee.co.id/KANEBO-Lift-Serum-50ML-i.169111593.4701801423", "https://shopee.co.id/KANEBO-Lift-Serum-50ML-i.169111593.4701801423")</f>
        <v>https://shopee.co.id/KANEBO-Lift-Serum-50ML-i.169111593.4701801423</v>
      </c>
      <c r="C2289" s="8" t="s">
        <v>1473</v>
      </c>
      <c r="D2289" s="8" t="s">
        <v>1474</v>
      </c>
      <c r="E2289" s="8" t="s">
        <v>12</v>
      </c>
      <c r="F2289" s="8" t="s">
        <v>13</v>
      </c>
      <c r="G2289" s="8" t="s">
        <v>532</v>
      </c>
      <c r="H2289" s="16">
        <v>2.0</v>
      </c>
      <c r="I2289" s="15" t="str">
        <f>SUBSTITUTE(Sheet1!K2289, "Rp", "")</f>
        <v>5300000</v>
      </c>
    </row>
    <row r="2290">
      <c r="A2290" s="8" t="s">
        <v>2777</v>
      </c>
      <c r="B2290" s="13" t="str">
        <f>HYPERLINK("https://shopee.co.id/Kerastase-Serum-Fortifiant-90ml-Serum-Harian-Anti-Rontok-Patah-i.252376370.9710610106", "https://shopee.co.id/Kerastase-Serum-Fortifiant-90ml-Serum-Harian-Anti-Rontok-Patah-i.252376370.9710610106")</f>
        <v>https://shopee.co.id/Kerastase-Serum-Fortifiant-90ml-Serum-Harian-Anti-Rontok-Patah-i.252376370.9710610106</v>
      </c>
      <c r="C2290" s="8" t="s">
        <v>2560</v>
      </c>
      <c r="D2290" s="8" t="s">
        <v>2561</v>
      </c>
      <c r="E2290" s="8" t="s">
        <v>12</v>
      </c>
      <c r="F2290" s="8" t="s">
        <v>13</v>
      </c>
      <c r="G2290" s="8" t="s">
        <v>1480</v>
      </c>
      <c r="H2290" s="16">
        <v>2.0</v>
      </c>
      <c r="I2290" s="15" t="str">
        <f>SUBSTITUTE(Sheet1!K2290, "Rp", "")</f>
        <v>1100000</v>
      </c>
    </row>
    <row r="2291">
      <c r="A2291" s="8" t="s">
        <v>3749</v>
      </c>
      <c r="B2291" s="13" t="str">
        <f>HYPERLINK("https://shopee.co.id/Kezia-Acne-Serum-i.232415847.4318676077", "https://shopee.co.id/Kezia-Acne-Serum-i.232415847.4318676077")</f>
        <v>https://shopee.co.id/Kezia-Acne-Serum-i.232415847.4318676077</v>
      </c>
      <c r="C2291" s="8" t="s">
        <v>3734</v>
      </c>
      <c r="D2291" s="8" t="s">
        <v>3735</v>
      </c>
      <c r="E2291" s="8" t="s">
        <v>12</v>
      </c>
      <c r="F2291" s="8" t="s">
        <v>13</v>
      </c>
      <c r="G2291" s="8" t="s">
        <v>532</v>
      </c>
      <c r="H2291" s="16">
        <v>2.0</v>
      </c>
      <c r="I2291" s="15" t="str">
        <f>SUBSTITUTE(Sheet1!K2291, "Rp", "")</f>
        <v>150000</v>
      </c>
    </row>
    <row r="2292">
      <c r="A2292" s="8" t="s">
        <v>3733</v>
      </c>
      <c r="B2292" s="13" t="str">
        <f>HYPERLINK("https://shopee.co.id/Kezia-Darkspot-Serum-i.232415847.5918735104", "https://shopee.co.id/Kezia-Darkspot-Serum-i.232415847.5918735104")</f>
        <v>https://shopee.co.id/Kezia-Darkspot-Serum-i.232415847.5918735104</v>
      </c>
      <c r="C2292" s="8" t="s">
        <v>3734</v>
      </c>
      <c r="D2292" s="8" t="s">
        <v>3735</v>
      </c>
      <c r="E2292" s="8" t="s">
        <v>12</v>
      </c>
      <c r="F2292" s="8" t="s">
        <v>13</v>
      </c>
      <c r="G2292" s="8" t="s">
        <v>532</v>
      </c>
      <c r="H2292" s="16">
        <v>2.0</v>
      </c>
      <c r="I2292" s="15" t="str">
        <f>SUBSTITUTE(Sheet1!K2292, "Rp", "")</f>
        <v>159000</v>
      </c>
    </row>
    <row r="2293">
      <c r="A2293" s="8" t="s">
        <v>3750</v>
      </c>
      <c r="B2293" s="13" t="str">
        <f>HYPERLINK("https://shopee.co.id/Kezia-Whitening-Serum-i.232415847.5718673624", "https://shopee.co.id/Kezia-Whitening-Serum-i.232415847.5718673624")</f>
        <v>https://shopee.co.id/Kezia-Whitening-Serum-i.232415847.5718673624</v>
      </c>
      <c r="C2293" s="8" t="s">
        <v>3734</v>
      </c>
      <c r="D2293" s="8" t="s">
        <v>3735</v>
      </c>
      <c r="E2293" s="8" t="s">
        <v>12</v>
      </c>
      <c r="F2293" s="8" t="s">
        <v>13</v>
      </c>
      <c r="G2293" s="8" t="s">
        <v>532</v>
      </c>
      <c r="H2293" s="16">
        <v>2.0</v>
      </c>
      <c r="I2293" s="15" t="str">
        <f>SUBSTITUTE(Sheet1!K2293, "Rp", "")</f>
        <v>150000</v>
      </c>
    </row>
    <row r="2294">
      <c r="A2294" s="8" t="s">
        <v>2963</v>
      </c>
      <c r="B2294" s="13" t="str">
        <f>HYPERLINK("https://shopee.co.id/Kiehl-s-Midnight-Recovery-Concentrate-15ml-i.825870.1429670610", "https://shopee.co.id/Kiehl-s-Midnight-Recovery-Concentrate-15ml-i.825870.1429670610")</f>
        <v>https://shopee.co.id/Kiehl-s-Midnight-Recovery-Concentrate-15ml-i.825870.1429670610</v>
      </c>
      <c r="C2294" s="8" t="s">
        <v>2964</v>
      </c>
      <c r="D2294" s="8" t="s">
        <v>1184</v>
      </c>
      <c r="E2294" s="8" t="s">
        <v>12</v>
      </c>
      <c r="F2294" s="8" t="s">
        <v>13</v>
      </c>
      <c r="G2294" s="8" t="s">
        <v>21</v>
      </c>
      <c r="H2294" s="16">
        <v>2.0</v>
      </c>
      <c r="I2294" s="15" t="str">
        <f>SUBSTITUTE(Sheet1!K2294, "Rp", "")</f>
        <v>810000</v>
      </c>
    </row>
    <row r="2295">
      <c r="A2295" s="8" t="s">
        <v>3618</v>
      </c>
      <c r="B2295" s="13" t="str">
        <f>HYPERLINK("https://shopee.co.id/KKV-Everwhite-Cica-Soothing-Serum-30ml-i.261911729.9056116454", "https://shopee.co.id/KKV-Everwhite-Cica-Soothing-Serum-30ml-i.261911729.9056116454")</f>
        <v>https://shopee.co.id/KKV-Everwhite-Cica-Soothing-Serum-30ml-i.261911729.9056116454</v>
      </c>
      <c r="C2295" s="8" t="s">
        <v>157</v>
      </c>
      <c r="D2295" s="8" t="s">
        <v>1485</v>
      </c>
      <c r="E2295" s="8" t="s">
        <v>12</v>
      </c>
      <c r="F2295" s="8" t="s">
        <v>13</v>
      </c>
      <c r="G2295" s="8" t="s">
        <v>61</v>
      </c>
      <c r="H2295" s="16">
        <v>2.0</v>
      </c>
      <c r="I2295" s="15" t="str">
        <f>SUBSTITUTE(Sheet1!K2295, "Rp", "")</f>
        <v>218000</v>
      </c>
    </row>
    <row r="2296">
      <c r="A2296" s="8" t="s">
        <v>3129</v>
      </c>
      <c r="B2296" s="13" t="str">
        <f>HYPERLINK("https://shopee.co.id/L-Oreal-Paris-Revitalift-Crystal-Micro-Essence-Water-Serum-Skin-Care-22-ml-x-6-pcs-LEBIH-HEMAT--i.62579622.11402994178", "https://shopee.co.id/L-Oreal-Paris-Revitalift-Crystal-Micro-Essence-Water-Serum-Skin-Care-22-ml-x-6-pcs-LEBIH-HEMAT--i.62579622.11402994178")</f>
        <v>https://shopee.co.id/L-Oreal-Paris-Revitalift-Crystal-Micro-Essence-Water-Serum-Skin-Care-22-ml-x-6-pcs-LEBIH-HEMAT--i.62579622.11402994178</v>
      </c>
      <c r="C2296" s="8" t="s">
        <v>105</v>
      </c>
      <c r="D2296" s="8" t="s">
        <v>106</v>
      </c>
      <c r="E2296" s="8" t="s">
        <v>12</v>
      </c>
      <c r="F2296" s="8" t="s">
        <v>13</v>
      </c>
      <c r="G2296" s="8" t="s">
        <v>61</v>
      </c>
      <c r="H2296" s="16">
        <v>2.0</v>
      </c>
      <c r="I2296" s="15" t="str">
        <f>SUBSTITUTE(Sheet1!K2296, "Rp", "")</f>
        <v>594200</v>
      </c>
    </row>
    <row r="2297">
      <c r="A2297" s="8" t="s">
        <v>3342</v>
      </c>
      <c r="B2297" s="13" t="str">
        <f>HYPERLINK("https://shopee.co.id/Loreal-Dex-Rev-Crystal-Micro-Essen-65-ml-i.186214521.4916797548", "https://shopee.co.id/Loreal-Dex-Rev-Crystal-Micro-Essen-65-ml-i.186214521.4916797548")</f>
        <v>https://shopee.co.id/Loreal-Dex-Rev-Crystal-Micro-Essen-65-ml-i.186214521.4916797548</v>
      </c>
      <c r="C2297" s="8" t="s">
        <v>105</v>
      </c>
      <c r="D2297" s="8" t="s">
        <v>2293</v>
      </c>
      <c r="E2297" s="8" t="s">
        <v>12</v>
      </c>
      <c r="F2297" s="8" t="s">
        <v>13</v>
      </c>
      <c r="G2297" s="8" t="s">
        <v>61</v>
      </c>
      <c r="H2297" s="16">
        <v>2.0</v>
      </c>
      <c r="I2297" s="15" t="str">
        <f>SUBSTITUTE(Sheet1!K2297, "Rp", "")</f>
        <v>395000</v>
      </c>
    </row>
    <row r="2298">
      <c r="A2298" s="8" t="s">
        <v>3332</v>
      </c>
      <c r="B2298" s="13" t="str">
        <f>HYPERLINK("https://shopee.co.id/Loreal-Dex-Revitalift-H-A-Serum-30Ml-i.186214521.7588597537", "https://shopee.co.id/Loreal-Dex-Revitalift-H-A-Serum-30Ml-i.186214521.7588597537")</f>
        <v>https://shopee.co.id/Loreal-Dex-Revitalift-H-A-Serum-30Ml-i.186214521.7588597537</v>
      </c>
      <c r="C2298" s="8" t="s">
        <v>105</v>
      </c>
      <c r="D2298" s="8" t="s">
        <v>2293</v>
      </c>
      <c r="E2298" s="8" t="s">
        <v>12</v>
      </c>
      <c r="F2298" s="8" t="s">
        <v>13</v>
      </c>
      <c r="G2298" s="8" t="s">
        <v>61</v>
      </c>
      <c r="H2298" s="16">
        <v>2.0</v>
      </c>
      <c r="I2298" s="15" t="str">
        <f>SUBSTITUTE(Sheet1!K2298, "Rp", "")</f>
        <v>398000</v>
      </c>
    </row>
    <row r="2299">
      <c r="A2299" s="8" t="s">
        <v>3157</v>
      </c>
      <c r="B2299" s="13" t="str">
        <f>HYPERLINK("https://shopee.co.id/LOREAL-DEX-WP-ESSENCE-LOT-175M-i.30736001.5437711752", "https://shopee.co.id/LOREAL-DEX-WP-ESSENCE-LOT-175M-i.30736001.5437711752")</f>
        <v>https://shopee.co.id/LOREAL-DEX-WP-ESSENCE-LOT-175M-i.30736001.5437711752</v>
      </c>
      <c r="C2299" s="8" t="s">
        <v>105</v>
      </c>
      <c r="D2299" s="8" t="s">
        <v>335</v>
      </c>
      <c r="E2299" s="8" t="s">
        <v>12</v>
      </c>
      <c r="F2299" s="8" t="s">
        <v>13</v>
      </c>
      <c r="G2299" s="8" t="s">
        <v>36</v>
      </c>
      <c r="H2299" s="16">
        <v>2.0</v>
      </c>
      <c r="I2299" s="15" t="str">
        <f>SUBSTITUTE(Sheet1!K2299, "Rp", "")</f>
        <v>560000</v>
      </c>
    </row>
    <row r="2300">
      <c r="A2300" s="8" t="s">
        <v>3833</v>
      </c>
      <c r="B2300" s="13" t="str">
        <f>HYPERLINK("https://shopee.co.id/LUMIER-100-YUJA-EXTRACT-ADVANCED-SKIN-BOOSTER-i.231467354.9822854992", "https://shopee.co.id/LUMIER-100-YUJA-EXTRACT-ADVANCED-SKIN-BOOSTER-i.231467354.9822854992")</f>
        <v>https://shopee.co.id/LUMIER-100-YUJA-EXTRACT-ADVANCED-SKIN-BOOSTER-i.231467354.9822854992</v>
      </c>
      <c r="C2300" s="8" t="s">
        <v>2878</v>
      </c>
      <c r="D2300" s="8" t="s">
        <v>2879</v>
      </c>
      <c r="E2300" s="8" t="s">
        <v>12</v>
      </c>
      <c r="F2300" s="8" t="s">
        <v>13</v>
      </c>
      <c r="G2300" s="8" t="s">
        <v>532</v>
      </c>
      <c r="H2300" s="16">
        <v>2.0</v>
      </c>
      <c r="I2300" s="15" t="str">
        <f>SUBSTITUTE(Sheet1!K2300, "Rp", "")</f>
        <v>112000</v>
      </c>
    </row>
    <row r="2301">
      <c r="A2301" s="8" t="s">
        <v>3630</v>
      </c>
      <c r="B2301" s="13" t="str">
        <f>HYPERLINK("https://shopee.co.id/LUMIER-Advanced-Brightening-Oil-Control-Serum-i.231467354.8658639687", "https://shopee.co.id/LUMIER-Advanced-Brightening-Oil-Control-Serum-i.231467354.8658639687")</f>
        <v>https://shopee.co.id/LUMIER-Advanced-Brightening-Oil-Control-Serum-i.231467354.8658639687</v>
      </c>
      <c r="C2301" s="8" t="s">
        <v>2878</v>
      </c>
      <c r="D2301" s="8" t="s">
        <v>2879</v>
      </c>
      <c r="E2301" s="8" t="s">
        <v>12</v>
      </c>
      <c r="F2301" s="8" t="s">
        <v>13</v>
      </c>
      <c r="G2301" s="8" t="s">
        <v>532</v>
      </c>
      <c r="H2301" s="16">
        <v>2.0</v>
      </c>
      <c r="I2301" s="15" t="str">
        <f>SUBSTITUTE(Sheet1!K2301, "Rp", "")</f>
        <v>212500</v>
      </c>
    </row>
    <row r="2302">
      <c r="A2302" s="8" t="s">
        <v>3619</v>
      </c>
      <c r="B2302" s="13" t="str">
        <f>HYPERLINK("https://shopee.co.id/Mad-For-Makeup-Pore-Clarifying-Treatment-Essence-60ml-i.825870.6035012943", "https://shopee.co.id/Mad-For-Makeup-Pore-Clarifying-Treatment-Essence-60ml-i.825870.6035012943")</f>
        <v>https://shopee.co.id/Mad-For-Makeup-Pore-Clarifying-Treatment-Essence-60ml-i.825870.6035012943</v>
      </c>
      <c r="C2302" s="8" t="s">
        <v>627</v>
      </c>
      <c r="D2302" s="8" t="s">
        <v>1184</v>
      </c>
      <c r="E2302" s="8" t="s">
        <v>12</v>
      </c>
      <c r="F2302" s="8" t="s">
        <v>13</v>
      </c>
      <c r="G2302" s="8" t="s">
        <v>21</v>
      </c>
      <c r="H2302" s="16">
        <v>2.0</v>
      </c>
      <c r="I2302" s="15" t="str">
        <f>SUBSTITUTE(Sheet1!K2302, "Rp", "")</f>
        <v>218000</v>
      </c>
    </row>
    <row r="2303">
      <c r="A2303" s="8" t="s">
        <v>3642</v>
      </c>
      <c r="B2303" s="13" t="str">
        <f>HYPERLINK("https://shopee.co.id/Man-Made-All-in-One-Essence-50ml-i.373494324.3776409123", "https://shopee.co.id/Man-Made-All-in-One-Essence-50ml-i.373494324.3776409123")</f>
        <v>https://shopee.co.id/Man-Made-All-in-One-Essence-50ml-i.373494324.3776409123</v>
      </c>
      <c r="C2303" s="8" t="s">
        <v>3643</v>
      </c>
      <c r="D2303" s="8" t="s">
        <v>3644</v>
      </c>
      <c r="E2303" s="8" t="s">
        <v>12</v>
      </c>
      <c r="F2303" s="8" t="s">
        <v>13</v>
      </c>
      <c r="G2303" s="8" t="s">
        <v>98</v>
      </c>
      <c r="H2303" s="16">
        <v>2.0</v>
      </c>
      <c r="I2303" s="15" t="str">
        <f>SUBSTITUTE(Sheet1!K2303, "Rp", "")</f>
        <v>206250</v>
      </c>
    </row>
    <row r="2304">
      <c r="A2304" s="8" t="s">
        <v>3343</v>
      </c>
      <c r="B2304" s="13" t="str">
        <f>HYPERLINK("https://shopee.co.id/Melanox-Premium-Serum-15-ml-i.30736001.739185603", "https://shopee.co.id/Melanox-Premium-Serum-15-ml-i.30736001.739185603")</f>
        <v>https://shopee.co.id/Melanox-Premium-Serum-15-ml-i.30736001.739185603</v>
      </c>
      <c r="C2304" s="8" t="s">
        <v>1606</v>
      </c>
      <c r="D2304" s="8" t="s">
        <v>335</v>
      </c>
      <c r="E2304" s="8" t="s">
        <v>12</v>
      </c>
      <c r="F2304" s="8" t="s">
        <v>13</v>
      </c>
      <c r="G2304" s="8" t="s">
        <v>36</v>
      </c>
      <c r="H2304" s="16">
        <v>2.0</v>
      </c>
      <c r="I2304" s="15" t="str">
        <f>SUBSTITUTE(Sheet1!K2304, "Rp", "")</f>
        <v>395000</v>
      </c>
    </row>
    <row r="2305">
      <c r="A2305" s="8" t="s">
        <v>2811</v>
      </c>
      <c r="B2305" s="13" t="str">
        <f>HYPERLINK("https://shopee.co.id/Mila-D-opiz-White-Shade-Ampoule-Miladopiz-i.322619273.3758003166", "https://shopee.co.id/Mila-D-opiz-White-Shade-Ampoule-Miladopiz-i.322619273.3758003166")</f>
        <v>https://shopee.co.id/Mila-D-opiz-White-Shade-Ampoule-Miladopiz-i.322619273.3758003166</v>
      </c>
      <c r="C2305" s="8" t="s">
        <v>2182</v>
      </c>
      <c r="D2305" s="8" t="s">
        <v>2183</v>
      </c>
      <c r="E2305" s="8" t="s">
        <v>12</v>
      </c>
      <c r="F2305" s="8" t="s">
        <v>13</v>
      </c>
      <c r="G2305" s="8" t="s">
        <v>469</v>
      </c>
      <c r="H2305" s="16">
        <v>2.0</v>
      </c>
      <c r="I2305" s="15" t="str">
        <f>SUBSTITUTE(Sheet1!K2305, "Rp", "")</f>
        <v>1040000</v>
      </c>
    </row>
    <row r="2306">
      <c r="A2306" s="8" t="s">
        <v>3249</v>
      </c>
      <c r="B2306" s="13" t="str">
        <f>HYPERLINK("https://shopee.co.id/MSBB-Elsheskin-Vitamin-C-Serum-i.288588702.7667975190", "https://shopee.co.id/MSBB-Elsheskin-Vitamin-C-Serum-i.288588702.7667975190")</f>
        <v>https://shopee.co.id/MSBB-Elsheskin-Vitamin-C-Serum-i.288588702.7667975190</v>
      </c>
      <c r="C2306" s="8" t="s">
        <v>135</v>
      </c>
      <c r="D2306" s="8" t="s">
        <v>79</v>
      </c>
      <c r="E2306" s="8" t="s">
        <v>12</v>
      </c>
      <c r="F2306" s="8" t="s">
        <v>13</v>
      </c>
      <c r="G2306" s="8" t="s">
        <v>80</v>
      </c>
      <c r="H2306" s="16">
        <v>2.0</v>
      </c>
      <c r="I2306" s="15" t="str">
        <f>SUBSTITUTE(Sheet1!K2306, "Rp", "")</f>
        <v>484000</v>
      </c>
    </row>
    <row r="2307">
      <c r="A2307" s="8" t="s">
        <v>3477</v>
      </c>
      <c r="B2307" s="13" t="str">
        <f>HYPERLINK("https://shopee.co.id/MSBB-Haple-La-Luna-Anti-Aging-Serum-30ml-i.288588702.4176961014", "https://shopee.co.id/MSBB-Haple-La-Luna-Anti-Aging-Serum-30ml-i.288588702.4176961014")</f>
        <v>https://shopee.co.id/MSBB-Haple-La-Luna-Anti-Aging-Serum-30ml-i.288588702.4176961014</v>
      </c>
      <c r="C2307" s="8" t="s">
        <v>1415</v>
      </c>
      <c r="D2307" s="8" t="s">
        <v>79</v>
      </c>
      <c r="E2307" s="8" t="s">
        <v>12</v>
      </c>
      <c r="F2307" s="8" t="s">
        <v>13</v>
      </c>
      <c r="G2307" s="8" t="s">
        <v>80</v>
      </c>
      <c r="H2307" s="16">
        <v>2.0</v>
      </c>
      <c r="I2307" s="15" t="str">
        <f>SUBSTITUTE(Sheet1!K2307, "Rp", "")</f>
        <v>298000</v>
      </c>
    </row>
    <row r="2308">
      <c r="A2308" s="8" t="s">
        <v>3364</v>
      </c>
      <c r="B2308" s="13" t="str">
        <f>HYPERLINK("https://shopee.co.id/MSBB-N-Pure-Face-Serum-Marigold-15-ml-i.288588702.5763307851", "https://shopee.co.id/MSBB-N-Pure-Face-Serum-Marigold-15-ml-i.288588702.5763307851")</f>
        <v>https://shopee.co.id/MSBB-N-Pure-Face-Serum-Marigold-15-ml-i.288588702.5763307851</v>
      </c>
      <c r="C2308" s="8" t="s">
        <v>78</v>
      </c>
      <c r="D2308" s="8" t="s">
        <v>79</v>
      </c>
      <c r="E2308" s="8" t="s">
        <v>12</v>
      </c>
      <c r="F2308" s="8" t="s">
        <v>13</v>
      </c>
      <c r="G2308" s="8" t="s">
        <v>80</v>
      </c>
      <c r="H2308" s="16">
        <v>2.0</v>
      </c>
      <c r="I2308" s="15" t="str">
        <f>SUBSTITUTE(Sheet1!K2308, "Rp", "")</f>
        <v>386060</v>
      </c>
    </row>
    <row r="2309">
      <c r="A2309" s="8" t="s">
        <v>3571</v>
      </c>
      <c r="B2309" s="13" t="str">
        <f>HYPERLINK("https://shopee.co.id/MSBB-Purivera-Everlasting-Tamanu-Serum-Oil-Scar-Repair-Bopeng-Truecica-Snail-Cica-i.288588702.9973533846", "https://shopee.co.id/MSBB-Purivera-Everlasting-Tamanu-Serum-Oil-Scar-Repair-Bopeng-Truecica-Snail-Cica-i.288588702.9973533846")</f>
        <v>https://shopee.co.id/MSBB-Purivera-Everlasting-Tamanu-Serum-Oil-Scar-Repair-Bopeng-Truecica-Snail-Cica-i.288588702.9973533846</v>
      </c>
      <c r="C2309" s="8" t="s">
        <v>940</v>
      </c>
      <c r="D2309" s="8" t="s">
        <v>79</v>
      </c>
      <c r="E2309" s="8" t="s">
        <v>12</v>
      </c>
      <c r="F2309" s="8" t="s">
        <v>13</v>
      </c>
      <c r="G2309" s="8" t="s">
        <v>80</v>
      </c>
      <c r="H2309" s="16">
        <v>2.0</v>
      </c>
      <c r="I2309" s="15" t="str">
        <f>SUBSTITUTE(Sheet1!K2309, "Rp", "")</f>
        <v>240000</v>
      </c>
    </row>
    <row r="2310">
      <c r="A2310" s="8" t="s">
        <v>3489</v>
      </c>
      <c r="B2310" s="13" t="str">
        <f>HYPERLINK("https://shopee.co.id/MSBB-Skin-Game-Skin-Barricade-Serum-30-gr-i.288588702.8442648256", "https://shopee.co.id/MSBB-Skin-Game-Skin-Barricade-Serum-30-gr-i.288588702.8442648256")</f>
        <v>https://shopee.co.id/MSBB-Skin-Game-Skin-Barricade-Serum-30-gr-i.288588702.8442648256</v>
      </c>
      <c r="C2310" s="8" t="s">
        <v>523</v>
      </c>
      <c r="D2310" s="8" t="s">
        <v>79</v>
      </c>
      <c r="E2310" s="8" t="s">
        <v>12</v>
      </c>
      <c r="F2310" s="8" t="s">
        <v>13</v>
      </c>
      <c r="G2310" s="8" t="s">
        <v>80</v>
      </c>
      <c r="H2310" s="16">
        <v>2.0</v>
      </c>
      <c r="I2310" s="15" t="str">
        <f>SUBSTITUTE(Sheet1!K2310, "Rp", "")</f>
        <v>293530</v>
      </c>
    </row>
    <row r="2311">
      <c r="A2311" s="8" t="s">
        <v>3195</v>
      </c>
      <c r="B2311" s="13" t="str">
        <f>HYPERLINK("https://shopee.co.id/MSBB-Votre-Peau-Skin-Care-Vitamin-C-Serum-30ml-i.288588702.8420376324", "https://shopee.co.id/MSBB-Votre-Peau-Skin-Care-Vitamin-C-Serum-30ml-i.288588702.8420376324")</f>
        <v>https://shopee.co.id/MSBB-Votre-Peau-Skin-Care-Vitamin-C-Serum-30ml-i.288588702.8420376324</v>
      </c>
      <c r="C2311" s="8" t="s">
        <v>999</v>
      </c>
      <c r="D2311" s="8" t="s">
        <v>79</v>
      </c>
      <c r="E2311" s="8" t="s">
        <v>12</v>
      </c>
      <c r="F2311" s="8" t="s">
        <v>13</v>
      </c>
      <c r="G2311" s="8" t="s">
        <v>80</v>
      </c>
      <c r="H2311" s="16">
        <v>2.0</v>
      </c>
      <c r="I2311" s="15" t="str">
        <f>SUBSTITUTE(Sheet1!K2311, "Rp", "")</f>
        <v>522050</v>
      </c>
    </row>
    <row r="2312">
      <c r="A2312" s="8" t="s">
        <v>3037</v>
      </c>
      <c r="B2312" s="13" t="str">
        <f>HYPERLINK("https://shopee.co.id/NACIFIC-Fresh-Herb-Origin-Simple-Set-i.125116082.8842447439", "https://shopee.co.id/NACIFIC-Fresh-Herb-Origin-Simple-Set-i.125116082.8842447439")</f>
        <v>https://shopee.co.id/NACIFIC-Fresh-Herb-Origin-Simple-Set-i.125116082.8842447439</v>
      </c>
      <c r="C2312" s="8" t="s">
        <v>344</v>
      </c>
      <c r="D2312" s="8" t="s">
        <v>713</v>
      </c>
      <c r="E2312" s="8" t="s">
        <v>12</v>
      </c>
      <c r="F2312" s="8" t="s">
        <v>13</v>
      </c>
      <c r="G2312" s="8" t="s">
        <v>61</v>
      </c>
      <c r="H2312" s="16">
        <v>2.0</v>
      </c>
      <c r="I2312" s="15" t="str">
        <f>SUBSTITUTE(Sheet1!K2312, "Rp", "")</f>
        <v>690000</v>
      </c>
    </row>
    <row r="2313">
      <c r="A2313" s="8" t="s">
        <v>3524</v>
      </c>
      <c r="B2313" s="13" t="str">
        <f>HYPERLINK("https://shopee.co.id/Naminara-Facial-Serum-Gold-24k-i.225829153.3516951373", "https://shopee.co.id/Naminara-Facial-Serum-Gold-24k-i.225829153.3516951373")</f>
        <v>https://shopee.co.id/Naminara-Facial-Serum-Gold-24k-i.225829153.3516951373</v>
      </c>
      <c r="C2313" s="8" t="s">
        <v>3525</v>
      </c>
      <c r="D2313" s="8" t="s">
        <v>3526</v>
      </c>
      <c r="E2313" s="8" t="s">
        <v>12</v>
      </c>
      <c r="F2313" s="8" t="s">
        <v>13</v>
      </c>
      <c r="G2313" s="8" t="s">
        <v>469</v>
      </c>
      <c r="H2313" s="16">
        <v>2.0</v>
      </c>
      <c r="I2313" s="15" t="str">
        <f>SUBSTITUTE(Sheet1!K2313, "Rp", "")</f>
        <v>270000</v>
      </c>
    </row>
    <row r="2314">
      <c r="A2314" s="8" t="s">
        <v>3717</v>
      </c>
      <c r="B2314" s="13" t="str">
        <f>HYPERLINK("https://shopee.co.id/Natur-E-Advance-Serum-15-ml-i.186214521.5863034812", "https://shopee.co.id/Natur-E-Advance-Serum-15-ml-i.186214521.5863034812")</f>
        <v>https://shopee.co.id/Natur-E-Advance-Serum-15-ml-i.186214521.5863034812</v>
      </c>
      <c r="C2314" s="8" t="s">
        <v>849</v>
      </c>
      <c r="D2314" s="8" t="s">
        <v>2293</v>
      </c>
      <c r="E2314" s="8" t="s">
        <v>12</v>
      </c>
      <c r="F2314" s="8" t="s">
        <v>13</v>
      </c>
      <c r="G2314" s="8" t="s">
        <v>61</v>
      </c>
      <c r="H2314" s="16">
        <v>2.0</v>
      </c>
      <c r="I2314" s="15" t="str">
        <f>SUBSTITUTE(Sheet1!K2314, "Rp", "")</f>
        <v>169600</v>
      </c>
    </row>
    <row r="2315">
      <c r="A2315" s="8" t="s">
        <v>2158</v>
      </c>
      <c r="B2315" s="13" t="str">
        <f>HYPERLINK("https://shopee.co.id/NATURE-REPUBLIC-Ginseng-Royal-Silk-Ampoule-Effector-4-Weeks-Program-i.78838801.7343829132", "https://shopee.co.id/NATURE-REPUBLIC-Ginseng-Royal-Silk-Ampoule-Effector-4-Weeks-Program-i.78838801.7343829132")</f>
        <v>https://shopee.co.id/NATURE-REPUBLIC-Ginseng-Royal-Silk-Ampoule-Effector-4-Weeks-Program-i.78838801.7343829132</v>
      </c>
      <c r="C2315" s="8" t="s">
        <v>1079</v>
      </c>
      <c r="D2315" s="8" t="s">
        <v>1080</v>
      </c>
      <c r="E2315" s="8" t="s">
        <v>12</v>
      </c>
      <c r="F2315" s="8" t="s">
        <v>13</v>
      </c>
      <c r="G2315" s="8" t="s">
        <v>532</v>
      </c>
      <c r="H2315" s="16">
        <v>2.0</v>
      </c>
      <c r="I2315" s="15" t="str">
        <f>SUBSTITUTE(Sheet1!K2315, "Rp", "")</f>
        <v>2700000</v>
      </c>
    </row>
    <row r="2316">
      <c r="A2316" s="8" t="s">
        <v>3239</v>
      </c>
      <c r="B2316" s="13" t="str">
        <f>HYPERLINK("https://shopee.co.id/Neutrogena-Hydro-Boost-Capsule-in-Serum-Perawatan-Wajah-30-mL-i.65323877.8378897389", "https://shopee.co.id/Neutrogena-Hydro-Boost-Capsule-in-Serum-Perawatan-Wajah-30-mL-i.65323877.8378897389")</f>
        <v>https://shopee.co.id/Neutrogena-Hydro-Boost-Capsule-in-Serum-Perawatan-Wajah-30-mL-i.65323877.8378897389</v>
      </c>
      <c r="C2316" s="8" t="s">
        <v>1499</v>
      </c>
      <c r="D2316" s="8" t="s">
        <v>1600</v>
      </c>
      <c r="E2316" s="8" t="s">
        <v>12</v>
      </c>
      <c r="F2316" s="8" t="s">
        <v>13</v>
      </c>
      <c r="G2316" s="8" t="s">
        <v>296</v>
      </c>
      <c r="H2316" s="16">
        <v>2.0</v>
      </c>
      <c r="I2316" s="15" t="str">
        <f>SUBSTITUTE(Sheet1!K2316, "Rp", "")</f>
        <v>494400</v>
      </c>
    </row>
    <row r="2317">
      <c r="A2317" s="8" t="s">
        <v>2922</v>
      </c>
      <c r="B2317" s="13" t="str">
        <f>HYPERLINK("https://shopee.co.id/Neutrogena-Hydroboost-Series-i.65323877.10719474086", "https://shopee.co.id/Neutrogena-Hydroboost-Series-i.65323877.10719474086")</f>
        <v>https://shopee.co.id/Neutrogena-Hydroboost-Series-i.65323877.10719474086</v>
      </c>
      <c r="C2317" s="8" t="s">
        <v>1499</v>
      </c>
      <c r="D2317" s="8" t="s">
        <v>1600</v>
      </c>
      <c r="E2317" s="8" t="s">
        <v>12</v>
      </c>
      <c r="F2317" s="8" t="s">
        <v>13</v>
      </c>
      <c r="G2317" s="8" t="s">
        <v>296</v>
      </c>
      <c r="H2317" s="16">
        <v>2.0</v>
      </c>
      <c r="I2317" s="15" t="str">
        <f>SUBSTITUTE(Sheet1!K2317, "Rp", "")</f>
        <v>863600</v>
      </c>
    </row>
    <row r="2318">
      <c r="A2318" s="8" t="s">
        <v>3809</v>
      </c>
      <c r="B2318" s="13" t="str">
        <f>HYPERLINK("https://shopee.co.id/Nivea-MakeUp-Starter-Serum-Spf33-30ml-i.30736001.1043897220", "https://shopee.co.id/Nivea-MakeUp-Starter-Serum-Spf33-30ml-i.30736001.1043897220")</f>
        <v>https://shopee.co.id/Nivea-MakeUp-Starter-Serum-Spf33-30ml-i.30736001.1043897220</v>
      </c>
      <c r="C2318" s="8" t="s">
        <v>1571</v>
      </c>
      <c r="D2318" s="8" t="s">
        <v>335</v>
      </c>
      <c r="E2318" s="8" t="s">
        <v>12</v>
      </c>
      <c r="F2318" s="8" t="s">
        <v>13</v>
      </c>
      <c r="G2318" s="8" t="s">
        <v>36</v>
      </c>
      <c r="H2318" s="16">
        <v>2.0</v>
      </c>
      <c r="I2318" s="15" t="str">
        <f>SUBSTITUTE(Sheet1!K2318, "Rp", "")</f>
        <v>119600</v>
      </c>
    </row>
    <row r="2319">
      <c r="A2319" s="8" t="s">
        <v>3702</v>
      </c>
      <c r="B2319" s="13" t="str">
        <f>HYPERLINK("https://shopee.co.id/Noola-Breezy-Willow-Moist-Serum-30ml-i.136011044.9186228006", "https://shopee.co.id/Noola-Breezy-Willow-Moist-Serum-30ml-i.136011044.9186228006")</f>
        <v>https://shopee.co.id/Noola-Breezy-Willow-Moist-Serum-30ml-i.136011044.9186228006</v>
      </c>
      <c r="C2319" s="8" t="s">
        <v>2794</v>
      </c>
      <c r="D2319" s="8" t="s">
        <v>632</v>
      </c>
      <c r="E2319" s="8" t="s">
        <v>12</v>
      </c>
      <c r="F2319" s="8" t="s">
        <v>13</v>
      </c>
      <c r="G2319" s="8" t="s">
        <v>21</v>
      </c>
      <c r="H2319" s="16">
        <v>2.0</v>
      </c>
      <c r="I2319" s="15" t="str">
        <f>SUBSTITUTE(Sheet1!K2319, "Rp", "")</f>
        <v>178200</v>
      </c>
    </row>
    <row r="2320">
      <c r="A2320" s="8" t="s">
        <v>3527</v>
      </c>
      <c r="B2320" s="13" t="str">
        <f>HYPERLINK("https://shopee.co.id/Npure-Centella-Asiatica-Essence-20ml-i.10689.5452372839", "https://shopee.co.id/Npure-Centella-Asiatica-Essence-20ml-i.10689.5452372839")</f>
        <v>https://shopee.co.id/Npure-Centella-Asiatica-Essence-20ml-i.10689.5452372839</v>
      </c>
      <c r="C2320" s="8" t="s">
        <v>266</v>
      </c>
      <c r="D2320" s="8" t="s">
        <v>745</v>
      </c>
      <c r="E2320" s="8" t="s">
        <v>12</v>
      </c>
      <c r="F2320" s="8" t="s">
        <v>13</v>
      </c>
      <c r="G2320" s="8" t="s">
        <v>61</v>
      </c>
      <c r="H2320" s="16">
        <v>2.0</v>
      </c>
      <c r="I2320" s="15" t="str">
        <f>SUBSTITUTE(Sheet1!K2320, "Rp", "")</f>
        <v>270000</v>
      </c>
    </row>
    <row r="2321">
      <c r="A2321" s="8" t="s">
        <v>3425</v>
      </c>
      <c r="B2321" s="13" t="str">
        <f>HYPERLINK("https://shopee.co.id/Olay-Wr-W-Essence-Serum-30-ml-i.186214521.3149041216", "https://shopee.co.id/Olay-Wr-W-Essence-Serum-30-ml-i.186214521.3149041216")</f>
        <v>https://shopee.co.id/Olay-Wr-W-Essence-Serum-30-ml-i.186214521.3149041216</v>
      </c>
      <c r="C2321" s="8" t="s">
        <v>317</v>
      </c>
      <c r="D2321" s="8" t="s">
        <v>2293</v>
      </c>
      <c r="E2321" s="8" t="s">
        <v>12</v>
      </c>
      <c r="F2321" s="8" t="s">
        <v>13</v>
      </c>
      <c r="G2321" s="8" t="s">
        <v>61</v>
      </c>
      <c r="H2321" s="16">
        <v>2.0</v>
      </c>
      <c r="I2321" s="15" t="str">
        <f>SUBSTITUTE(Sheet1!K2321, "Rp", "")</f>
        <v>341000</v>
      </c>
    </row>
    <row r="2322">
      <c r="A2322" s="8" t="s">
        <v>2924</v>
      </c>
      <c r="B2322" s="13" t="str">
        <f>HYPERLINK("https://shopee.co.id/Phyto-Niacin-Whitening-Essence-Mask-Pack-3pcs-i.238604292.8719365058", "https://shopee.co.id/Phyto-Niacin-Whitening-Essence-Mask-Pack-3pcs-i.238604292.8719365058")</f>
        <v>https://shopee.co.id/Phyto-Niacin-Whitening-Essence-Mask-Pack-3pcs-i.238604292.8719365058</v>
      </c>
      <c r="C2322" s="8" t="s">
        <v>344</v>
      </c>
      <c r="D2322" s="8" t="s">
        <v>918</v>
      </c>
      <c r="E2322" s="8" t="s">
        <v>12</v>
      </c>
      <c r="F2322" s="8" t="s">
        <v>13</v>
      </c>
      <c r="G2322" s="8" t="s">
        <v>80</v>
      </c>
      <c r="H2322" s="16">
        <v>2.0</v>
      </c>
      <c r="I2322" s="15" t="str">
        <f>SUBSTITUTE(Sheet1!K2322, "Rp", "")</f>
        <v>862500</v>
      </c>
    </row>
    <row r="2323">
      <c r="A2323" s="8" t="s">
        <v>3333</v>
      </c>
      <c r="B2323" s="13" t="str">
        <f>HYPERLINK("https://shopee.co.id/PLACENTOR-Regenerating-Serum-10ml-Serum-Wajah-Pertama-Yang-Mampu-Menyamakan-Jam-Biologis-Kulit-i.304477244.10936615455", "https://shopee.co.id/PLACENTOR-Regenerating-Serum-10ml-Serum-Wajah-Pertama-Yang-Mampu-Menyamakan-Jam-Biologis-Kulit-i.304477244.10936615455")</f>
        <v>https://shopee.co.id/PLACENTOR-Regenerating-Serum-10ml-Serum-Wajah-Pertama-Yang-Mampu-Menyamakan-Jam-Biologis-Kulit-i.304477244.10936615455</v>
      </c>
      <c r="C2323" s="8" t="s">
        <v>2346</v>
      </c>
      <c r="D2323" s="8" t="s">
        <v>2347</v>
      </c>
      <c r="E2323" s="8" t="s">
        <v>12</v>
      </c>
      <c r="F2323" s="8" t="s">
        <v>13</v>
      </c>
      <c r="G2323" s="8" t="s">
        <v>532</v>
      </c>
      <c r="H2323" s="16">
        <v>2.0</v>
      </c>
      <c r="I2323" s="15" t="str">
        <f>SUBSTITUTE(Sheet1!K2323, "Rp", "")</f>
        <v>398000</v>
      </c>
    </row>
    <row r="2324">
      <c r="A2324" s="8" t="s">
        <v>3082</v>
      </c>
      <c r="B2324" s="13" t="str">
        <f>HYPERLINK("https://shopee.co.id/POB-Serum-Vitamin-C-Serum-Lifting-Dan-Serum-Blemish-Wajah-Lebih-Glowing-Terawat-i.495355925.10437470028", "https://shopee.co.id/POB-Serum-Vitamin-C-Serum-Lifting-Dan-Serum-Blemish-Wajah-Lebih-Glowing-Terawat-i.495355925.10437470028")</f>
        <v>https://shopee.co.id/POB-Serum-Vitamin-C-Serum-Lifting-Dan-Serum-Blemish-Wajah-Lebih-Glowing-Terawat-i.495355925.10437470028</v>
      </c>
      <c r="C2324" s="8" t="s">
        <v>2719</v>
      </c>
      <c r="D2324" s="8" t="s">
        <v>2720</v>
      </c>
      <c r="E2324" s="8" t="s">
        <v>12</v>
      </c>
      <c r="F2324" s="8" t="s">
        <v>13</v>
      </c>
      <c r="G2324" s="8" t="s">
        <v>532</v>
      </c>
      <c r="H2324" s="16">
        <v>2.0</v>
      </c>
      <c r="I2324" s="15" t="str">
        <f>SUBSTITUTE(Sheet1!K2324, "Rp", "")</f>
        <v>644444</v>
      </c>
    </row>
    <row r="2325">
      <c r="A2325" s="8" t="s">
        <v>3319</v>
      </c>
      <c r="B2325" s="13" t="str">
        <f>HYPERLINK("https://shopee.co.id/Pyunkang-Yul-Moisture-Serum-100ml-i.136011044.4441651859", "https://shopee.co.id/Pyunkang-Yul-Moisture-Serum-100ml-i.136011044.4441651859")</f>
        <v>https://shopee.co.id/Pyunkang-Yul-Moisture-Serum-100ml-i.136011044.4441651859</v>
      </c>
      <c r="C2325" s="8" t="s">
        <v>475</v>
      </c>
      <c r="D2325" s="8" t="s">
        <v>632</v>
      </c>
      <c r="E2325" s="8" t="s">
        <v>12</v>
      </c>
      <c r="F2325" s="8" t="s">
        <v>13</v>
      </c>
      <c r="G2325" s="8" t="s">
        <v>21</v>
      </c>
      <c r="H2325" s="16">
        <v>2.0</v>
      </c>
      <c r="I2325" s="15" t="str">
        <f>SUBSTITUTE(Sheet1!K2325, "Rp", "")</f>
        <v>420000</v>
      </c>
    </row>
    <row r="2326">
      <c r="A2326" s="8" t="s">
        <v>3563</v>
      </c>
      <c r="B2326" s="13" t="str">
        <f>HYPERLINK("https://shopee.co.id/Raiku-Antioxidant-Serum-30-ml--i.82041605.6954933982", "https://shopee.co.id/Raiku-Antioxidant-Serum-30-ml--i.82041605.6954933982")</f>
        <v>https://shopee.co.id/Raiku-Antioxidant-Serum-30-ml--i.82041605.6954933982</v>
      </c>
      <c r="C2326" s="8" t="s">
        <v>2281</v>
      </c>
      <c r="D2326" s="8" t="s">
        <v>2282</v>
      </c>
      <c r="E2326" s="8" t="s">
        <v>12</v>
      </c>
      <c r="F2326" s="8" t="s">
        <v>13</v>
      </c>
      <c r="G2326" s="8" t="s">
        <v>21</v>
      </c>
      <c r="H2326" s="16">
        <v>2.0</v>
      </c>
      <c r="I2326" s="15" t="str">
        <f>SUBSTITUTE(Sheet1!K2326, "Rp", "")</f>
        <v>243600</v>
      </c>
    </row>
    <row r="2327">
      <c r="A2327" s="8" t="s">
        <v>3132</v>
      </c>
      <c r="B2327" s="13" t="str">
        <f>HYPERLINK("https://shopee.co.id/Raiku-Water-Essence-30ml-2Pcs--i.82041605.8623292704", "https://shopee.co.id/Raiku-Water-Essence-30ml-2Pcs--i.82041605.8623292704")</f>
        <v>https://shopee.co.id/Raiku-Water-Essence-30ml-2Pcs--i.82041605.8623292704</v>
      </c>
      <c r="C2327" s="8" t="s">
        <v>2281</v>
      </c>
      <c r="D2327" s="8" t="s">
        <v>2282</v>
      </c>
      <c r="E2327" s="8" t="s">
        <v>12</v>
      </c>
      <c r="F2327" s="8" t="s">
        <v>13</v>
      </c>
      <c r="G2327" s="8" t="s">
        <v>21</v>
      </c>
      <c r="H2327" s="16">
        <v>2.0</v>
      </c>
      <c r="I2327" s="15" t="str">
        <f>SUBSTITUTE(Sheet1!K2327, "Rp", "")</f>
        <v>592000</v>
      </c>
    </row>
    <row r="2328">
      <c r="A2328" s="8" t="s">
        <v>3151</v>
      </c>
      <c r="B2328" s="13" t="str">
        <f>HYPERLINK("https://shopee.co.id/Revlon-Night-Routine-Evivesse-Package-i.167409897.8477470898", "https://shopee.co.id/Revlon-Night-Routine-Evivesse-Package-i.167409897.8477470898")</f>
        <v>https://shopee.co.id/Revlon-Night-Routine-Evivesse-Package-i.167409897.8477470898</v>
      </c>
      <c r="C2328" s="8" t="s">
        <v>1819</v>
      </c>
      <c r="D2328" s="8" t="s">
        <v>1820</v>
      </c>
      <c r="E2328" s="8" t="s">
        <v>12</v>
      </c>
      <c r="F2328" s="8" t="s">
        <v>13</v>
      </c>
      <c r="G2328" s="8" t="s">
        <v>469</v>
      </c>
      <c r="H2328" s="16">
        <v>2.0</v>
      </c>
      <c r="I2328" s="15" t="str">
        <f>SUBSTITUTE(Sheet1!K2328, "Rp", "")</f>
        <v>565500</v>
      </c>
    </row>
    <row r="2329">
      <c r="A2329" s="8" t="s">
        <v>3728</v>
      </c>
      <c r="B2329" s="13" t="str">
        <f>HYPERLINK("https://shopee.co.id/RK-Cosmetics-RK-Glow-Serum-Premium-i.369839488.11727115532", "https://shopee.co.id/RK-Cosmetics-RK-Glow-Serum-Premium-i.369839488.11727115532")</f>
        <v>https://shopee.co.id/RK-Cosmetics-RK-Glow-Serum-Premium-i.369839488.11727115532</v>
      </c>
      <c r="C2329" s="8" t="s">
        <v>3729</v>
      </c>
      <c r="D2329" s="8" t="s">
        <v>3730</v>
      </c>
      <c r="E2329" s="8" t="s">
        <v>12</v>
      </c>
      <c r="F2329" s="8" t="s">
        <v>13</v>
      </c>
      <c r="G2329" s="8" t="s">
        <v>3731</v>
      </c>
      <c r="H2329" s="16">
        <v>2.0</v>
      </c>
      <c r="I2329" s="15" t="str">
        <f>SUBSTITUTE(Sheet1!K2329, "Rp", "")</f>
        <v>160000</v>
      </c>
    </row>
    <row r="2330">
      <c r="A2330" s="8" t="s">
        <v>3846</v>
      </c>
      <c r="B2330" s="13" t="str">
        <f>HYPERLINK("https://shopee.co.id/Roro-Mendut-Glowing-Skincare-Booster-Green-Jelly-Centella-Asiatica-15gr-i.277377659.9223510259", "https://shopee.co.id/Roro-Mendut-Glowing-Skincare-Booster-Green-Jelly-Centella-Asiatica-15gr-i.277377659.9223510259")</f>
        <v>https://shopee.co.id/Roro-Mendut-Glowing-Skincare-Booster-Green-Jelly-Centella-Asiatica-15gr-i.277377659.9223510259</v>
      </c>
      <c r="C2330" s="8" t="s">
        <v>1526</v>
      </c>
      <c r="D2330" s="8" t="s">
        <v>2549</v>
      </c>
      <c r="E2330" s="8" t="s">
        <v>12</v>
      </c>
      <c r="F2330" s="8" t="s">
        <v>13</v>
      </c>
      <c r="G2330" s="8" t="s">
        <v>532</v>
      </c>
      <c r="H2330" s="16">
        <v>2.0</v>
      </c>
      <c r="I2330" s="15" t="str">
        <f>SUBSTITUTE(Sheet1!K2330, "Rp", "")</f>
        <v>105000</v>
      </c>
    </row>
    <row r="2331">
      <c r="A2331" s="8" t="s">
        <v>3745</v>
      </c>
      <c r="B2331" s="13" t="str">
        <f>HYPERLINK("https://shopee.co.id/RORO-MENDUT-Papaya-Glutathione-Serum-i.87869551.9925253360", "https://shopee.co.id/RORO-MENDUT-Papaya-Glutathione-Serum-i.87869551.9925253360")</f>
        <v>https://shopee.co.id/RORO-MENDUT-Papaya-Glutathione-Serum-i.87869551.9925253360</v>
      </c>
      <c r="C2331" s="8" t="s">
        <v>1526</v>
      </c>
      <c r="D2331" s="8" t="s">
        <v>1527</v>
      </c>
      <c r="E2331" s="8" t="s">
        <v>12</v>
      </c>
      <c r="F2331" s="8" t="s">
        <v>13</v>
      </c>
      <c r="G2331" s="8" t="s">
        <v>380</v>
      </c>
      <c r="H2331" s="16">
        <v>2.0</v>
      </c>
      <c r="I2331" s="15" t="str">
        <f>SUBSTITUTE(Sheet1!K2331, "Rp", "")</f>
        <v>152368</v>
      </c>
    </row>
    <row r="2332">
      <c r="A2332" s="8" t="s">
        <v>3062</v>
      </c>
      <c r="B2332" s="13" t="str">
        <f>HYPERLINK("https://shopee.co.id/Rovectin-Skin-Essentials-Aqua-Activating-Serum-i.125116082.4019170523", "https://shopee.co.id/Rovectin-Skin-Essentials-Aqua-Activating-Serum-i.125116082.4019170523")</f>
        <v>https://shopee.co.id/Rovectin-Skin-Essentials-Aqua-Activating-Serum-i.125116082.4019170523</v>
      </c>
      <c r="C2332" s="8" t="s">
        <v>3063</v>
      </c>
      <c r="D2332" s="8" t="s">
        <v>713</v>
      </c>
      <c r="E2332" s="8" t="s">
        <v>12</v>
      </c>
      <c r="F2332" s="8" t="s">
        <v>13</v>
      </c>
      <c r="G2332" s="8" t="s">
        <v>61</v>
      </c>
      <c r="H2332" s="16">
        <v>2.0</v>
      </c>
      <c r="I2332" s="15" t="str">
        <f>SUBSTITUTE(Sheet1!K2332, "Rp", "")</f>
        <v>669600</v>
      </c>
    </row>
    <row r="2333">
      <c r="A2333" s="8" t="s">
        <v>3666</v>
      </c>
      <c r="B2333" s="13" t="str">
        <f>HYPERLINK("https://shopee.co.id/Rubiena-Brightening-Serum-i.191323030.5504509162", "https://shopee.co.id/Rubiena-Brightening-Serum-i.191323030.5504509162")</f>
        <v>https://shopee.co.id/Rubiena-Brightening-Serum-i.191323030.5504509162</v>
      </c>
      <c r="C2333" s="8" t="s">
        <v>3667</v>
      </c>
      <c r="D2333" s="8" t="s">
        <v>3668</v>
      </c>
      <c r="E2333" s="8" t="s">
        <v>12</v>
      </c>
      <c r="F2333" s="8" t="s">
        <v>13</v>
      </c>
      <c r="G2333" s="8" t="s">
        <v>61</v>
      </c>
      <c r="H2333" s="16">
        <v>2.0</v>
      </c>
      <c r="I2333" s="15" t="str">
        <f>SUBSTITUTE(Sheet1!K2333, "Rp", "")</f>
        <v>195000</v>
      </c>
    </row>
    <row r="2334">
      <c r="A2334" s="8" t="s">
        <v>3582</v>
      </c>
      <c r="B2334" s="13" t="str">
        <f>HYPERLINK("https://shopee.co.id/Safi-Age-Defy-Concentrated-Serum-20-ml-i.186214521.5804533578", "https://shopee.co.id/Safi-Age-Defy-Concentrated-Serum-20-ml-i.186214521.5804533578")</f>
        <v>https://shopee.co.id/Safi-Age-Defy-Concentrated-Serum-20-ml-i.186214521.5804533578</v>
      </c>
      <c r="C2334" s="8" t="s">
        <v>278</v>
      </c>
      <c r="D2334" s="8" t="s">
        <v>2293</v>
      </c>
      <c r="E2334" s="8" t="s">
        <v>12</v>
      </c>
      <c r="F2334" s="8" t="s">
        <v>13</v>
      </c>
      <c r="G2334" s="8" t="s">
        <v>61</v>
      </c>
      <c r="H2334" s="16">
        <v>2.0</v>
      </c>
      <c r="I2334" s="15" t="str">
        <f>SUBSTITUTE(Sheet1!K2334, "Rp", "")</f>
        <v>236900</v>
      </c>
    </row>
    <row r="2335">
      <c r="A2335" s="8" t="s">
        <v>3539</v>
      </c>
      <c r="B2335" s="13" t="str">
        <f>HYPERLINK("https://shopee.co.id/Safi-Age-Defy-Concentrated-Serum-20ml-i.30736001.1016544150", "https://shopee.co.id/Safi-Age-Defy-Concentrated-Serum-20ml-i.30736001.1016544150")</f>
        <v>https://shopee.co.id/Safi-Age-Defy-Concentrated-Serum-20ml-i.30736001.1016544150</v>
      </c>
      <c r="C2335" s="8" t="s">
        <v>278</v>
      </c>
      <c r="D2335" s="8" t="s">
        <v>335</v>
      </c>
      <c r="E2335" s="8" t="s">
        <v>12</v>
      </c>
      <c r="F2335" s="8" t="s">
        <v>13</v>
      </c>
      <c r="G2335" s="8" t="s">
        <v>36</v>
      </c>
      <c r="H2335" s="16">
        <v>2.0</v>
      </c>
      <c r="I2335" s="15" t="str">
        <f>SUBSTITUTE(Sheet1!K2335, "Rp", "")</f>
        <v>265800</v>
      </c>
    </row>
    <row r="2336">
      <c r="A2336" s="8" t="s">
        <v>3576</v>
      </c>
      <c r="B2336" s="13" t="str">
        <f>HYPERLINK("https://shopee.co.id/Safi-Age-Defy-Gold-Water-Essence-Gold-Extract-And-Silk-Protein-100-Ml-Esens-Perawatan-Kulit-Wajah-i.50972887.4005455393", "https://shopee.co.id/Safi-Age-Defy-Gold-Water-Essence-Gold-Extract-And-Silk-Protein-100-Ml-Esens-Perawatan-Kulit-Wajah-i.50972887.4005455393")</f>
        <v>https://shopee.co.id/Safi-Age-Defy-Gold-Water-Essence-Gold-Extract-And-Silk-Protein-100-Ml-Esens-Perawatan-Kulit-Wajah-i.50972887.4005455393</v>
      </c>
      <c r="C2336" s="8" t="s">
        <v>278</v>
      </c>
      <c r="D2336" s="8" t="s">
        <v>552</v>
      </c>
      <c r="E2336" s="8" t="s">
        <v>12</v>
      </c>
      <c r="F2336" s="8" t="s">
        <v>13</v>
      </c>
      <c r="G2336" s="8" t="s">
        <v>61</v>
      </c>
      <c r="H2336" s="16">
        <v>2.0</v>
      </c>
      <c r="I2336" s="15" t="str">
        <f>SUBSTITUTE(Sheet1!K2336, "Rp", "")</f>
        <v>239513</v>
      </c>
    </row>
    <row r="2337">
      <c r="A2337" s="8" t="s">
        <v>3732</v>
      </c>
      <c r="B2337" s="13" t="str">
        <f>HYPERLINK("https://shopee.co.id/Safi-White-Expert-Ultimate-Essence-20-ml-i.186214521.7904532694", "https://shopee.co.id/Safi-White-Expert-Ultimate-Essence-20-ml-i.186214521.7904532694")</f>
        <v>https://shopee.co.id/Safi-White-Expert-Ultimate-Essence-20-ml-i.186214521.7904532694</v>
      </c>
      <c r="C2337" s="8" t="s">
        <v>278</v>
      </c>
      <c r="D2337" s="8" t="s">
        <v>2293</v>
      </c>
      <c r="E2337" s="8" t="s">
        <v>12</v>
      </c>
      <c r="F2337" s="8" t="s">
        <v>13</v>
      </c>
      <c r="G2337" s="8" t="s">
        <v>61</v>
      </c>
      <c r="H2337" s="16">
        <v>2.0</v>
      </c>
      <c r="I2337" s="15" t="str">
        <f>SUBSTITUTE(Sheet1!K2337, "Rp", "")</f>
        <v>159900</v>
      </c>
    </row>
    <row r="2338">
      <c r="A2338" s="8" t="s">
        <v>3736</v>
      </c>
      <c r="B2338" s="13" t="str">
        <f>HYPERLINK("https://shopee.co.id/SALSA-Acne-Purifying-Serum-i.17318245.7219135777", "https://shopee.co.id/SALSA-Acne-Purifying-Serum-i.17318245.7219135777")</f>
        <v>https://shopee.co.id/SALSA-Acne-Purifying-Serum-i.17318245.7219135777</v>
      </c>
      <c r="C2338" s="8" t="s">
        <v>2788</v>
      </c>
      <c r="D2338" s="8" t="s">
        <v>2789</v>
      </c>
      <c r="E2338" s="8" t="s">
        <v>12</v>
      </c>
      <c r="F2338" s="8" t="s">
        <v>13</v>
      </c>
      <c r="G2338" s="8" t="s">
        <v>350</v>
      </c>
      <c r="H2338" s="16">
        <v>2.0</v>
      </c>
      <c r="I2338" s="15" t="str">
        <f>SUBSTITUTE(Sheet1!K2338, "Rp", "")</f>
        <v>158140</v>
      </c>
    </row>
    <row r="2339">
      <c r="A2339" s="8" t="s">
        <v>3723</v>
      </c>
      <c r="B2339" s="13" t="str">
        <f>HYPERLINK("https://shopee.co.id/Sarae-Hydra-Glow-Micellar-Water-Glowing-Essence-with-CICA-i.20723335.8683479691", "https://shopee.co.id/Sarae-Hydra-Glow-Micellar-Water-Glowing-Essence-with-CICA-i.20723335.8683479691")</f>
        <v>https://shopee.co.id/Sarae-Hydra-Glow-Micellar-Water-Glowing-Essence-with-CICA-i.20723335.8683479691</v>
      </c>
      <c r="C2339" s="8" t="s">
        <v>1814</v>
      </c>
      <c r="D2339" s="8" t="s">
        <v>2043</v>
      </c>
      <c r="E2339" s="8" t="s">
        <v>12</v>
      </c>
      <c r="F2339" s="8" t="s">
        <v>13</v>
      </c>
      <c r="G2339" s="8" t="s">
        <v>241</v>
      </c>
      <c r="H2339" s="16">
        <v>2.0</v>
      </c>
      <c r="I2339" s="15" t="str">
        <f>SUBSTITUTE(Sheet1!K2339, "Rp", "")</f>
        <v>164600</v>
      </c>
    </row>
    <row r="2340">
      <c r="A2340" s="8" t="s">
        <v>3001</v>
      </c>
      <c r="B2340" s="13" t="str">
        <f>HYPERLINK("https://shopee.co.id/Sbcskin-Bundling-Sunscreen-Normal-Serum-Vit-C-i.229435322.4347396511", "https://shopee.co.id/Sbcskin-Bundling-Sunscreen-Normal-Serum-Vit-C-i.229435322.4347396511")</f>
        <v>https://shopee.co.id/Sbcskin-Bundling-Sunscreen-Normal-Serum-Vit-C-i.229435322.4347396511</v>
      </c>
      <c r="C2340" s="8" t="s">
        <v>1775</v>
      </c>
      <c r="D2340" s="8" t="s">
        <v>1776</v>
      </c>
      <c r="E2340" s="8" t="s">
        <v>12</v>
      </c>
      <c r="F2340" s="8" t="s">
        <v>13</v>
      </c>
      <c r="G2340" s="8" t="s">
        <v>1777</v>
      </c>
      <c r="H2340" s="16">
        <v>2.0</v>
      </c>
      <c r="I2340" s="15" t="str">
        <f>SUBSTITUTE(Sheet1!K2340, "Rp", "")</f>
        <v>744450</v>
      </c>
    </row>
    <row r="2341">
      <c r="A2341" s="8" t="s">
        <v>3263</v>
      </c>
      <c r="B2341" s="13" t="str">
        <f>HYPERLINK("https://shopee.co.id/SECA-Intense-Glowing-Bundle-Alpha-Arbutin-Vitamin-C--i.373749700.9887245276", "https://shopee.co.id/SECA-Intense-Glowing-Bundle-Alpha-Arbutin-Vitamin-C--i.373749700.9887245276")</f>
        <v>https://shopee.co.id/SECA-Intense-Glowing-Bundle-Alpha-Arbutin-Vitamin-C--i.373749700.9887245276</v>
      </c>
      <c r="C2341" s="8" t="s">
        <v>1359</v>
      </c>
      <c r="D2341" s="8" t="s">
        <v>986</v>
      </c>
      <c r="E2341" s="8" t="s">
        <v>12</v>
      </c>
      <c r="F2341" s="8" t="s">
        <v>13</v>
      </c>
      <c r="G2341" s="8" t="s">
        <v>36</v>
      </c>
      <c r="H2341" s="16">
        <v>2.0</v>
      </c>
      <c r="I2341" s="15" t="str">
        <f>SUBSTITUTE(Sheet1!K2341, "Rp", "")</f>
        <v>464400</v>
      </c>
    </row>
    <row r="2342">
      <c r="A2342" s="8" t="s">
        <v>3284</v>
      </c>
      <c r="B2342" s="13" t="str">
        <f>HYPERLINK("https://shopee.co.id/SECA-Treat-Redness-Bundle-Ceramide-Niacinamide--i.373749700.9587295179", "https://shopee.co.id/SECA-Treat-Redness-Bundle-Ceramide-Niacinamide--i.373749700.9587295179")</f>
        <v>https://shopee.co.id/SECA-Treat-Redness-Bundle-Ceramide-Niacinamide--i.373749700.9587295179</v>
      </c>
      <c r="C2342" s="8" t="s">
        <v>985</v>
      </c>
      <c r="D2342" s="8" t="s">
        <v>986</v>
      </c>
      <c r="E2342" s="8" t="s">
        <v>12</v>
      </c>
      <c r="F2342" s="8" t="s">
        <v>13</v>
      </c>
      <c r="G2342" s="8" t="s">
        <v>36</v>
      </c>
      <c r="H2342" s="16">
        <v>2.0</v>
      </c>
      <c r="I2342" s="15" t="str">
        <f>SUBSTITUTE(Sheet1!K2342, "Rp", "")</f>
        <v>446400</v>
      </c>
    </row>
    <row r="2343">
      <c r="A2343" s="8" t="s">
        <v>2596</v>
      </c>
      <c r="B2343" s="13" t="str">
        <f>HYPERLINK("https://shopee.co.id/Sekkisei-Day-Essence-i.105297385.1714709911", "https://shopee.co.id/Sekkisei-Day-Essence-i.105297385.1714709911")</f>
        <v>https://shopee.co.id/Sekkisei-Day-Essence-i.105297385.1714709911</v>
      </c>
      <c r="C2343" s="8" t="s">
        <v>1997</v>
      </c>
      <c r="D2343" s="8" t="s">
        <v>1998</v>
      </c>
      <c r="E2343" s="8" t="s">
        <v>12</v>
      </c>
      <c r="F2343" s="8" t="s">
        <v>13</v>
      </c>
      <c r="G2343" s="8" t="s">
        <v>532</v>
      </c>
      <c r="H2343" s="16">
        <v>2.0</v>
      </c>
      <c r="I2343" s="15" t="str">
        <f>SUBSTITUTE(Sheet1!K2343, "Rp", "")</f>
        <v>1478000</v>
      </c>
    </row>
    <row r="2344">
      <c r="A2344" s="8" t="s">
        <v>3645</v>
      </c>
      <c r="B2344" s="13" t="str">
        <f>HYPERLINK("https://shopee.co.id/Serum-Antiaging-4ml-Normal-Dry-Skin--i.108311902.5219912434", "https://shopee.co.id/Serum-Antiaging-4ml-Normal-Dry-Skin--i.108311902.5219912434")</f>
        <v>https://shopee.co.id/Serum-Antiaging-4ml-Normal-Dry-Skin--i.108311902.5219912434</v>
      </c>
      <c r="C2344" s="8" t="s">
        <v>3473</v>
      </c>
      <c r="D2344" s="8" t="s">
        <v>3474</v>
      </c>
      <c r="E2344" s="8" t="s">
        <v>12</v>
      </c>
      <c r="F2344" s="8" t="s">
        <v>13</v>
      </c>
      <c r="G2344" s="8" t="s">
        <v>350</v>
      </c>
      <c r="H2344" s="16">
        <v>2.0</v>
      </c>
      <c r="I2344" s="15" t="str">
        <f>SUBSTITUTE(Sheet1!K2344, "Rp", "")</f>
        <v>204750</v>
      </c>
    </row>
    <row r="2345">
      <c r="A2345" s="8" t="s">
        <v>3869</v>
      </c>
      <c r="B2345" s="13" t="str">
        <f>HYPERLINK("https://shopee.co.id/Serum-Glowing-Seger-Snow-Moisturizing-Serum-Wajah-1pcs-Hand-Sanitizer-C-19-50ml-2pc--i.221165466.8715650521", "https://shopee.co.id/Serum-Glowing-Seger-Snow-Moisturizing-Serum-Wajah-1pcs-Hand-Sanitizer-C-19-50ml-2pc--i.221165466.8715650521")</f>
        <v>https://shopee.co.id/Serum-Glowing-Seger-Snow-Moisturizing-Serum-Wajah-1pcs-Hand-Sanitizer-C-19-50ml-2pc--i.221165466.8715650521</v>
      </c>
      <c r="C2345" s="8" t="s">
        <v>2005</v>
      </c>
      <c r="D2345" s="8" t="s">
        <v>2006</v>
      </c>
      <c r="E2345" s="8" t="s">
        <v>12</v>
      </c>
      <c r="F2345" s="8" t="s">
        <v>13</v>
      </c>
      <c r="G2345" s="8" t="s">
        <v>241</v>
      </c>
      <c r="H2345" s="16">
        <v>2.0</v>
      </c>
      <c r="I2345" s="15" t="str">
        <f>SUBSTITUTE(Sheet1!K2345, "Rp", "")</f>
        <v>98000</v>
      </c>
    </row>
    <row r="2346">
      <c r="A2346" s="8" t="s">
        <v>3804</v>
      </c>
      <c r="B2346" s="13" t="str">
        <f>HYPERLINK("https://shopee.co.id/Serum-Kinsglow-Brighthening-Darkspot-i.358122895.3876638970", "https://shopee.co.id/Serum-Kinsglow-Brighthening-Darkspot-i.358122895.3876638970")</f>
        <v>https://shopee.co.id/Serum-Kinsglow-Brighthening-Darkspot-i.358122895.3876638970</v>
      </c>
      <c r="C2346" s="8" t="s">
        <v>3805</v>
      </c>
      <c r="D2346" s="8" t="s">
        <v>3806</v>
      </c>
      <c r="E2346" s="8" t="s">
        <v>12</v>
      </c>
      <c r="F2346" s="8" t="s">
        <v>13</v>
      </c>
      <c r="G2346" s="8" t="s">
        <v>85</v>
      </c>
      <c r="H2346" s="16">
        <v>2.0</v>
      </c>
      <c r="I2346" s="15" t="str">
        <f>SUBSTITUTE(Sheet1!K2346, "Rp", "")</f>
        <v>120000</v>
      </c>
    </row>
    <row r="2347">
      <c r="A2347" s="8" t="s">
        <v>3664</v>
      </c>
      <c r="B2347" s="13" t="str">
        <f>HYPERLINK("https://shopee.co.id/Serum-Wajah-Glowing-Nature-Reaction-CRYSTAL-BRIGHT-SERUM-ORIGINAL-BPOM-i.375565670.8889562976", "https://shopee.co.id/Serum-Wajah-Glowing-Nature-Reaction-CRYSTAL-BRIGHT-SERUM-ORIGINAL-BPOM-i.375565670.8889562976")</f>
        <v>https://shopee.co.id/Serum-Wajah-Glowing-Nature-Reaction-CRYSTAL-BRIGHT-SERUM-ORIGINAL-BPOM-i.375565670.8889562976</v>
      </c>
      <c r="C2347" s="8" t="s">
        <v>530</v>
      </c>
      <c r="D2347" s="8" t="s">
        <v>531</v>
      </c>
      <c r="E2347" s="8" t="s">
        <v>12</v>
      </c>
      <c r="F2347" s="8" t="s">
        <v>13</v>
      </c>
      <c r="G2347" s="8" t="s">
        <v>532</v>
      </c>
      <c r="H2347" s="16">
        <v>2.0</v>
      </c>
      <c r="I2347" s="15" t="str">
        <f>SUBSTITUTE(Sheet1!K2347, "Rp", "")</f>
        <v>196000</v>
      </c>
    </row>
    <row r="2348">
      <c r="A2348" s="8" t="s">
        <v>1663</v>
      </c>
      <c r="B2348" s="13" t="str">
        <f>HYPERLINK("https://shopee.co.id/Shiseido-Vital-Perfection-LiftDefine-Radiance-Serum-40ml-i.345419471.8432305764", "https://shopee.co.id/Shiseido-Vital-Perfection-LiftDefine-Radiance-Serum-40ml-i.345419471.8432305764")</f>
        <v>https://shopee.co.id/Shiseido-Vital-Perfection-LiftDefine-Radiance-Serum-40ml-i.345419471.8432305764</v>
      </c>
      <c r="C2348" s="8" t="s">
        <v>868</v>
      </c>
      <c r="D2348" s="8" t="s">
        <v>869</v>
      </c>
      <c r="E2348" s="8" t="s">
        <v>12</v>
      </c>
      <c r="F2348" s="8" t="s">
        <v>13</v>
      </c>
      <c r="G2348" s="8" t="s">
        <v>130</v>
      </c>
      <c r="H2348" s="16">
        <v>2.0</v>
      </c>
      <c r="I2348" s="15" t="str">
        <f>SUBSTITUTE(Sheet1!K2348, "Rp", "")</f>
        <v>5800000</v>
      </c>
    </row>
    <row r="2349">
      <c r="A2349" s="8" t="s">
        <v>1746</v>
      </c>
      <c r="B2349" s="13" t="str">
        <f>HYPERLINK("https://shopee.co.id/Sk-Ii-R-N-A-Power-Radical-New-Age-Essence-i.339725786.7587794454", "https://shopee.co.id/Sk-Ii-R-N-A-Power-Radical-New-Age-Essence-i.339725786.7587794454")</f>
        <v>https://shopee.co.id/Sk-Ii-R-N-A-Power-Radical-New-Age-Essence-i.339725786.7587794454</v>
      </c>
      <c r="C2349" s="8" t="s">
        <v>1372</v>
      </c>
      <c r="D2349" s="8" t="s">
        <v>1373</v>
      </c>
      <c r="E2349" s="8" t="s">
        <v>12</v>
      </c>
      <c r="F2349" s="8" t="s">
        <v>13</v>
      </c>
      <c r="G2349" s="8" t="s">
        <v>98</v>
      </c>
      <c r="H2349" s="16">
        <v>2.0</v>
      </c>
      <c r="I2349" s="15" t="str">
        <f>SUBSTITUTE(Sheet1!K2349, "Rp", "")</f>
        <v>5020000</v>
      </c>
    </row>
    <row r="2350">
      <c r="A2350" s="8" t="s">
        <v>2214</v>
      </c>
      <c r="B2350" s="13" t="str">
        <f>HYPERLINK("https://shopee.co.id/SKEYNDOR-Power-Retinol-Intensive-Repairing-Serum-in-Cream-i.241089883.4826336864", "https://shopee.co.id/SKEYNDOR-Power-Retinol-Intensive-Repairing-Serum-in-Cream-i.241089883.4826336864")</f>
        <v>https://shopee.co.id/SKEYNDOR-Power-Retinol-Intensive-Repairing-Serum-in-Cream-i.241089883.4826336864</v>
      </c>
      <c r="C2350" s="8" t="s">
        <v>2215</v>
      </c>
      <c r="D2350" s="8" t="s">
        <v>2216</v>
      </c>
      <c r="E2350" s="8" t="s">
        <v>12</v>
      </c>
      <c r="F2350" s="8" t="s">
        <v>13</v>
      </c>
      <c r="G2350" s="8" t="s">
        <v>21</v>
      </c>
      <c r="H2350" s="16">
        <v>2.0</v>
      </c>
      <c r="I2350" s="15" t="str">
        <f>SUBSTITUTE(Sheet1!K2350, "Rp", "")</f>
        <v>2530000</v>
      </c>
    </row>
    <row r="2351">
      <c r="A2351" s="8" t="s">
        <v>3536</v>
      </c>
      <c r="B2351" s="13" t="str">
        <f>HYPERLINK("https://shopee.co.id/Skin-Game-Spot-Guard-Serum-i.270965687.10905442843", "https://shopee.co.id/Skin-Game-Spot-Guard-Serum-i.270965687.10905442843")</f>
        <v>https://shopee.co.id/Skin-Game-Spot-Guard-Serum-i.270965687.10905442843</v>
      </c>
      <c r="C2351" s="8" t="s">
        <v>523</v>
      </c>
      <c r="D2351" s="8" t="s">
        <v>379</v>
      </c>
      <c r="E2351" s="8" t="s">
        <v>12</v>
      </c>
      <c r="F2351" s="8" t="s">
        <v>13</v>
      </c>
      <c r="G2351" s="8" t="s">
        <v>380</v>
      </c>
      <c r="H2351" s="16">
        <v>2.0</v>
      </c>
      <c r="I2351" s="15" t="str">
        <f>SUBSTITUTE(Sheet1!K2351, "Rp", "")</f>
        <v>268200</v>
      </c>
    </row>
    <row r="2352">
      <c r="A2352" s="8" t="s">
        <v>3508</v>
      </c>
      <c r="B2352" s="13" t="str">
        <f>HYPERLINK("https://shopee.co.id/Skin-Game-Spot-Guard-Serum-30ml-i.825870.9246210883", "https://shopee.co.id/Skin-Game-Spot-Guard-Serum-30ml-i.825870.9246210883")</f>
        <v>https://shopee.co.id/Skin-Game-Spot-Guard-Serum-30ml-i.825870.9246210883</v>
      </c>
      <c r="C2352" s="8" t="s">
        <v>523</v>
      </c>
      <c r="D2352" s="8" t="s">
        <v>1184</v>
      </c>
      <c r="E2352" s="8" t="s">
        <v>12</v>
      </c>
      <c r="F2352" s="8" t="s">
        <v>13</v>
      </c>
      <c r="G2352" s="8" t="s">
        <v>21</v>
      </c>
      <c r="H2352" s="16">
        <v>2.0</v>
      </c>
      <c r="I2352" s="15" t="str">
        <f>SUBSTITUTE(Sheet1!K2352, "Rp", "")</f>
        <v>283100</v>
      </c>
    </row>
    <row r="2353">
      <c r="A2353" s="8" t="s">
        <v>3496</v>
      </c>
      <c r="B2353" s="13" t="str">
        <f>HYPERLINK("https://shopee.co.id/Skin-Game-Theory-Of-Everything-Essence-100ml-i.136011044.8720380712", "https://shopee.co.id/Skin-Game-Theory-Of-Everything-Essence-100ml-i.136011044.8720380712")</f>
        <v>https://shopee.co.id/Skin-Game-Theory-Of-Everything-Essence-100ml-i.136011044.8720380712</v>
      </c>
      <c r="C2353" s="8" t="s">
        <v>523</v>
      </c>
      <c r="D2353" s="8" t="s">
        <v>632</v>
      </c>
      <c r="E2353" s="8" t="s">
        <v>12</v>
      </c>
      <c r="F2353" s="8" t="s">
        <v>13</v>
      </c>
      <c r="G2353" s="8" t="s">
        <v>21</v>
      </c>
      <c r="H2353" s="16">
        <v>2.0</v>
      </c>
      <c r="I2353" s="15" t="str">
        <f>SUBSTITUTE(Sheet1!K2353, "Rp", "")</f>
        <v>287000</v>
      </c>
    </row>
    <row r="2354">
      <c r="A2354" s="8" t="s">
        <v>3281</v>
      </c>
      <c r="B2354" s="13" t="str">
        <f>HYPERLINK("https://shopee.co.id/Skind-Aesthetic-Rose-Drip-Crystal-Clear-Serum-Skind-Aesthetic-Age-Refresh-Facial-Cleanser-i.168325789.5794738886", "https://shopee.co.id/Skind-Aesthetic-Rose-Drip-Crystal-Clear-Serum-Skind-Aesthetic-Age-Refresh-Facial-Cleanser-i.168325789.5794738886")</f>
        <v>https://shopee.co.id/Skind-Aesthetic-Rose-Drip-Crystal-Clear-Serum-Skind-Aesthetic-Age-Refresh-Facial-Cleanser-i.168325789.5794738886</v>
      </c>
      <c r="C2354" s="8" t="s">
        <v>2921</v>
      </c>
      <c r="D2354" s="8" t="s">
        <v>3282</v>
      </c>
      <c r="E2354" s="8" t="s">
        <v>12</v>
      </c>
      <c r="F2354" s="8" t="s">
        <v>13</v>
      </c>
      <c r="G2354" s="8" t="s">
        <v>241</v>
      </c>
      <c r="H2354" s="16">
        <v>2.0</v>
      </c>
      <c r="I2354" s="15" t="str">
        <f>SUBSTITUTE(Sheet1!K2354, "Rp", "")</f>
        <v>448000</v>
      </c>
    </row>
    <row r="2355">
      <c r="A2355" s="8" t="s">
        <v>3977</v>
      </c>
      <c r="B2355" s="13" t="str">
        <f>HYPERLINK("https://shopee.co.id/Smooto-Premiums-Sunscreens-Extra-Whitening-Essence-i.31852945.12408853269", "https://shopee.co.id/Smooto-Premiums-Sunscreens-Extra-Whitening-Essence-i.31852945.12408853269")</f>
        <v>https://shopee.co.id/Smooto-Premiums-Sunscreens-Extra-Whitening-Essence-i.31852945.12408853269</v>
      </c>
      <c r="C2355" s="8" t="s">
        <v>2779</v>
      </c>
      <c r="D2355" s="8" t="s">
        <v>3978</v>
      </c>
      <c r="E2355" s="8" t="s">
        <v>12</v>
      </c>
      <c r="F2355" s="8" t="s">
        <v>13</v>
      </c>
      <c r="G2355" s="8" t="s">
        <v>21</v>
      </c>
      <c r="H2355" s="16">
        <v>2.0</v>
      </c>
      <c r="I2355" s="15" t="str">
        <f>SUBSTITUTE(Sheet1!K2355, "Rp", "")</f>
        <v>19800</v>
      </c>
    </row>
    <row r="2356">
      <c r="A2356" s="8" t="s">
        <v>3743</v>
      </c>
      <c r="B2356" s="13" t="str">
        <f>HYPERLINK("https://shopee.co.id/Some-By-Mi-Yuja-Niacin-30-Days-Blemish-Care-Serum-Mask-i.455311481.11810282454", "https://shopee.co.id/Some-By-Mi-Yuja-Niacin-30-Days-Blemish-Care-Serum-Mask-i.455311481.11810282454")</f>
        <v>https://shopee.co.id/Some-By-Mi-Yuja-Niacin-30-Days-Blemish-Care-Serum-Mask-i.455311481.11810282454</v>
      </c>
      <c r="C2356" s="8" t="s">
        <v>213</v>
      </c>
      <c r="D2356" s="8" t="s">
        <v>214</v>
      </c>
      <c r="E2356" s="8" t="s">
        <v>12</v>
      </c>
      <c r="F2356" s="8" t="s">
        <v>13</v>
      </c>
      <c r="G2356" s="8" t="s">
        <v>130</v>
      </c>
      <c r="H2356" s="16">
        <v>2.0</v>
      </c>
      <c r="I2356" s="15" t="str">
        <f>SUBSTITUTE(Sheet1!K2356, "Rp", "")</f>
        <v>154200</v>
      </c>
    </row>
    <row r="2357">
      <c r="A2357" s="8" t="s">
        <v>1044</v>
      </c>
      <c r="B2357" s="13" t="str">
        <f>HYPERLINK("https://shopee.co.id/Somethinc-10-Niacinamide-Moisture-Sabi-White-Max-Brightening-Serum-40ml-i.65323877.8279240819", "https://shopee.co.id/Somethinc-10-Niacinamide-Moisture-Sabi-White-Max-Brightening-Serum-40ml-i.65323877.8279240819")</f>
        <v>https://shopee.co.id/Somethinc-10-Niacinamide-Moisture-Sabi-White-Max-Brightening-Serum-40ml-i.65323877.8279240819</v>
      </c>
      <c r="C2357" s="8" t="s">
        <v>45</v>
      </c>
      <c r="D2357" s="8" t="s">
        <v>1600</v>
      </c>
      <c r="E2357" s="8" t="s">
        <v>12</v>
      </c>
      <c r="F2357" s="8" t="s">
        <v>13</v>
      </c>
      <c r="G2357" s="8" t="s">
        <v>296</v>
      </c>
      <c r="H2357" s="16">
        <v>2.0</v>
      </c>
      <c r="I2357" s="15" t="str">
        <f>SUBSTITUTE(Sheet1!K2357, "Rp", "")</f>
        <v>396000</v>
      </c>
    </row>
    <row r="2358">
      <c r="A2358" s="8" t="s">
        <v>3334</v>
      </c>
      <c r="B2358" s="13" t="str">
        <f>HYPERLINK("https://shopee.co.id/Somethinc-10-Niacinamide-Barrier-Serum-40ml-i.825870.5094261235", "https://shopee.co.id/Somethinc-10-Niacinamide-Barrier-Serum-40ml-i.825870.5094261235")</f>
        <v>https://shopee.co.id/Somethinc-10-Niacinamide-Barrier-Serum-40ml-i.825870.5094261235</v>
      </c>
      <c r="C2358" s="8" t="s">
        <v>45</v>
      </c>
      <c r="D2358" s="8" t="s">
        <v>1184</v>
      </c>
      <c r="E2358" s="8" t="s">
        <v>12</v>
      </c>
      <c r="F2358" s="8" t="s">
        <v>13</v>
      </c>
      <c r="G2358" s="8" t="s">
        <v>21</v>
      </c>
      <c r="H2358" s="16">
        <v>2.0</v>
      </c>
      <c r="I2358" s="15" t="str">
        <f>SUBSTITUTE(Sheet1!K2358, "Rp", "")</f>
        <v>398000</v>
      </c>
    </row>
    <row r="2359">
      <c r="A2359" s="8" t="s">
        <v>3276</v>
      </c>
      <c r="B2359" s="13" t="str">
        <f>HYPERLINK("https://shopee.co.id/Somethinc-Criously-24K-Gold-Essence-40ml-i.825870.2928674383", "https://shopee.co.id/Somethinc-Criously-24K-Gold-Essence-40ml-i.825870.2928674383")</f>
        <v>https://shopee.co.id/Somethinc-Criously-24K-Gold-Essence-40ml-i.825870.2928674383</v>
      </c>
      <c r="C2359" s="8" t="s">
        <v>45</v>
      </c>
      <c r="D2359" s="8" t="s">
        <v>1184</v>
      </c>
      <c r="E2359" s="8" t="s">
        <v>12</v>
      </c>
      <c r="F2359" s="8" t="s">
        <v>13</v>
      </c>
      <c r="G2359" s="8" t="s">
        <v>21</v>
      </c>
      <c r="H2359" s="16">
        <v>2.0</v>
      </c>
      <c r="I2359" s="15" t="str">
        <f>SUBSTITUTE(Sheet1!K2359, "Rp", "")</f>
        <v>451000</v>
      </c>
    </row>
    <row r="2360">
      <c r="A2360" s="8" t="s">
        <v>3361</v>
      </c>
      <c r="B2360" s="13" t="str">
        <f>HYPERLINK("https://shopee.co.id/Somethinc-Holygrail-Multipeptide-Youth-Elixir-20ml-i.10689.9757731921", "https://shopee.co.id/Somethinc-Holygrail-Multipeptide-Youth-Elixir-20ml-i.10689.9757731921")</f>
        <v>https://shopee.co.id/Somethinc-Holygrail-Multipeptide-Youth-Elixir-20ml-i.10689.9757731921</v>
      </c>
      <c r="C2360" s="8" t="s">
        <v>45</v>
      </c>
      <c r="D2360" s="8" t="s">
        <v>745</v>
      </c>
      <c r="E2360" s="8" t="s">
        <v>12</v>
      </c>
      <c r="F2360" s="8" t="s">
        <v>13</v>
      </c>
      <c r="G2360" s="8" t="s">
        <v>61</v>
      </c>
      <c r="H2360" s="16">
        <v>2.0</v>
      </c>
      <c r="I2360" s="15" t="str">
        <f>SUBSTITUTE(Sheet1!K2360, "Rp", "")</f>
        <v>258000</v>
      </c>
    </row>
    <row r="2361">
      <c r="A2361" s="8" t="s">
        <v>3776</v>
      </c>
      <c r="B2361" s="13" t="str">
        <f>HYPERLINK("https://shopee.co.id/Somethinc-Holyshield-Sunscreen-Comfort-Corrector-Serum-SPF50-15ml-i.825870.13409469639", "https://shopee.co.id/Somethinc-Holyshield-Sunscreen-Comfort-Corrector-Serum-SPF50-15ml-i.825870.13409469639")</f>
        <v>https://shopee.co.id/Somethinc-Holyshield-Sunscreen-Comfort-Corrector-Serum-SPF50-15ml-i.825870.13409469639</v>
      </c>
      <c r="C2361" s="8" t="s">
        <v>45</v>
      </c>
      <c r="D2361" s="8" t="s">
        <v>1184</v>
      </c>
      <c r="E2361" s="8" t="s">
        <v>12</v>
      </c>
      <c r="F2361" s="8" t="s">
        <v>13</v>
      </c>
      <c r="G2361" s="8" t="s">
        <v>21</v>
      </c>
      <c r="H2361" s="16">
        <v>2.0</v>
      </c>
      <c r="I2361" s="15" t="str">
        <f>SUBSTITUTE(Sheet1!K2361, "Rp", "")</f>
        <v>138000</v>
      </c>
    </row>
    <row r="2362">
      <c r="A2362" s="8" t="s">
        <v>2345</v>
      </c>
      <c r="B2362" s="13" t="str">
        <f>HYPERLINK("https://shopee.co.id/SPECIAL-BUNDLING-Placentor-Regenerating-Serum-Anti-Ageing-Cream-Serum-Anti-Penuaan-Dini-i.304477244.7263476039", "https://shopee.co.id/SPECIAL-BUNDLING-Placentor-Regenerating-Serum-Anti-Ageing-Cream-Serum-Anti-Penuaan-Dini-i.304477244.7263476039")</f>
        <v>https://shopee.co.id/SPECIAL-BUNDLING-Placentor-Regenerating-Serum-Anti-Ageing-Cream-Serum-Anti-Penuaan-Dini-i.304477244.7263476039</v>
      </c>
      <c r="C2362" s="8" t="s">
        <v>2346</v>
      </c>
      <c r="D2362" s="8" t="s">
        <v>2347</v>
      </c>
      <c r="E2362" s="8" t="s">
        <v>12</v>
      </c>
      <c r="F2362" s="8" t="s">
        <v>13</v>
      </c>
      <c r="G2362" s="8" t="s">
        <v>532</v>
      </c>
      <c r="H2362" s="16">
        <v>2.0</v>
      </c>
      <c r="I2362" s="15" t="str">
        <f>SUBSTITUTE(Sheet1!K2362, "Rp", "")</f>
        <v>2139400</v>
      </c>
    </row>
    <row r="2363">
      <c r="A2363" s="8" t="s">
        <v>2252</v>
      </c>
      <c r="B2363" s="13" t="str">
        <f>HYPERLINK("https://shopee.co.id/Sulwhasoo-Bloomstay-Vitalizing-Serum-30ml-i.274949344.8907362659", "https://shopee.co.id/Sulwhasoo-Bloomstay-Vitalizing-Serum-30ml-i.274949344.8907362659")</f>
        <v>https://shopee.co.id/Sulwhasoo-Bloomstay-Vitalizing-Serum-30ml-i.274949344.8907362659</v>
      </c>
      <c r="C2363" s="8" t="s">
        <v>282</v>
      </c>
      <c r="D2363" s="8" t="s">
        <v>283</v>
      </c>
      <c r="E2363" s="8" t="s">
        <v>12</v>
      </c>
      <c r="F2363" s="8" t="s">
        <v>13</v>
      </c>
      <c r="G2363" s="8" t="s">
        <v>61</v>
      </c>
      <c r="H2363" s="16">
        <v>2.0</v>
      </c>
      <c r="I2363" s="15" t="str">
        <f>SUBSTITUTE(Sheet1!K2363, "Rp", "")</f>
        <v>2400000</v>
      </c>
    </row>
    <row r="2364">
      <c r="A2364" s="8" t="s">
        <v>3444</v>
      </c>
      <c r="B2364" s="13" t="str">
        <f>HYPERLINK("https://shopee.co.id/TABITHA-SKIN-WHITE-Night-Cream-10g-Serum-Dark-Spot-20ml-i.344192903.9351878780", "https://shopee.co.id/TABITHA-SKIN-WHITE-Night-Cream-10g-Serum-Dark-Spot-20ml-i.344192903.9351878780")</f>
        <v>https://shopee.co.id/TABITHA-SKIN-WHITE-Night-Cream-10g-Serum-Dark-Spot-20ml-i.344192903.9351878780</v>
      </c>
      <c r="C2364" s="8" t="s">
        <v>2211</v>
      </c>
      <c r="D2364" s="8" t="s">
        <v>2212</v>
      </c>
      <c r="E2364" s="8" t="s">
        <v>12</v>
      </c>
      <c r="F2364" s="8" t="s">
        <v>13</v>
      </c>
      <c r="G2364" s="8" t="s">
        <v>296</v>
      </c>
      <c r="H2364" s="16">
        <v>2.0</v>
      </c>
      <c r="I2364" s="15" t="str">
        <f>SUBSTITUTE(Sheet1!K2364, "Rp", "")</f>
        <v>320000</v>
      </c>
    </row>
    <row r="2365">
      <c r="A2365" s="8" t="s">
        <v>2960</v>
      </c>
      <c r="B2365" s="13" t="str">
        <f>HYPERLINK("https://shopee.co.id/THANK-YOU-FARMER-MIRACLE-AGE-REPAIR-SERUM-60-ml-i.53497038.7234060410", "https://shopee.co.id/THANK-YOU-FARMER-MIRACLE-AGE-REPAIR-SERUM-60-ml-i.53497038.7234060410")</f>
        <v>https://shopee.co.id/THANK-YOU-FARMER-MIRACLE-AGE-REPAIR-SERUM-60-ml-i.53497038.7234060410</v>
      </c>
      <c r="C2365" s="8" t="s">
        <v>2961</v>
      </c>
      <c r="D2365" s="8" t="s">
        <v>907</v>
      </c>
      <c r="E2365" s="8" t="s">
        <v>12</v>
      </c>
      <c r="F2365" s="8" t="s">
        <v>13</v>
      </c>
      <c r="G2365" s="8" t="s">
        <v>61</v>
      </c>
      <c r="H2365" s="16">
        <v>2.0</v>
      </c>
      <c r="I2365" s="15" t="str">
        <f>SUBSTITUTE(Sheet1!K2365, "Rp", "")</f>
        <v>812000</v>
      </c>
    </row>
    <row r="2366">
      <c r="A2366" s="8" t="s">
        <v>3509</v>
      </c>
      <c r="B2366" s="13" t="str">
        <f>HYPERLINK("https://shopee.co.id/THE-BATH-BOX-Brassica-Facial-Serum-i.68111.8617925423", "https://shopee.co.id/THE-BATH-BOX-Brassica-Facial-Serum-i.68111.8617925423")</f>
        <v>https://shopee.co.id/THE-BATH-BOX-Brassica-Facial-Serum-i.68111.8617925423</v>
      </c>
      <c r="C2366" s="8" t="s">
        <v>613</v>
      </c>
      <c r="D2366" s="8" t="s">
        <v>441</v>
      </c>
      <c r="E2366" s="8" t="s">
        <v>12</v>
      </c>
      <c r="F2366" s="8" t="s">
        <v>13</v>
      </c>
      <c r="G2366" s="8" t="s">
        <v>130</v>
      </c>
      <c r="H2366" s="16">
        <v>2.0</v>
      </c>
      <c r="I2366" s="15" t="str">
        <f>SUBSTITUTE(Sheet1!K2366, "Rp", "")</f>
        <v>282820</v>
      </c>
    </row>
    <row r="2367">
      <c r="A2367" s="8" t="s">
        <v>2721</v>
      </c>
      <c r="B2367" s="13" t="str">
        <f>HYPERLINK("https://shopee.co.id/The-Body-Shop-Oils-Of-Life-Intensely-Revitalising-Facial-Oil-Serum-30ml-i.28053737.1381685946", "https://shopee.co.id/The-Body-Shop-Oils-Of-Life-Intensely-Revitalising-Facial-Oil-Serum-30ml-i.28053737.1381685946")</f>
        <v>https://shopee.co.id/The-Body-Shop-Oils-Of-Life-Intensely-Revitalising-Facial-Oil-Serum-30ml-i.28053737.1381685946</v>
      </c>
      <c r="C2367" s="8" t="s">
        <v>221</v>
      </c>
      <c r="D2367" s="8" t="s">
        <v>222</v>
      </c>
      <c r="E2367" s="8" t="s">
        <v>12</v>
      </c>
      <c r="F2367" s="8" t="s">
        <v>13</v>
      </c>
      <c r="G2367" s="8" t="s">
        <v>80</v>
      </c>
      <c r="H2367" s="16">
        <v>2.0</v>
      </c>
      <c r="I2367" s="15" t="str">
        <f>SUBSTITUTE(Sheet1!K2367, "Rp", "")</f>
        <v>1198000</v>
      </c>
    </row>
    <row r="2368">
      <c r="A2368" s="8" t="s">
        <v>3083</v>
      </c>
      <c r="B2368" s="13" t="str">
        <f>HYPERLINK("https://shopee.co.id/The-Ordinary-Hyaluronic-Acid-2-B5-30ml-i.110573301.11501945074", "https://shopee.co.id/The-Ordinary-Hyaluronic-Acid-2-B5-30ml-i.110573301.11501945074")</f>
        <v>https://shopee.co.id/The-Ordinary-Hyaluronic-Acid-2-B5-30ml-i.110573301.11501945074</v>
      </c>
      <c r="C2368" s="8" t="s">
        <v>1245</v>
      </c>
      <c r="D2368" s="8" t="s">
        <v>227</v>
      </c>
      <c r="E2368" s="8" t="s">
        <v>12</v>
      </c>
      <c r="F2368" s="8" t="s">
        <v>13</v>
      </c>
      <c r="G2368" s="8" t="s">
        <v>61</v>
      </c>
      <c r="H2368" s="16">
        <v>2.0</v>
      </c>
      <c r="I2368" s="15" t="str">
        <f>SUBSTITUTE(Sheet1!K2368, "Rp", "")</f>
        <v>393100</v>
      </c>
    </row>
    <row r="2369">
      <c r="A2369" s="8" t="s">
        <v>3433</v>
      </c>
      <c r="B2369" s="13" t="str">
        <f>HYPERLINK("https://shopee.co.id/THE-POTIONS-Camellia-Seed-Oil-Serum-20ml-i.379239733.9211988603", "https://shopee.co.id/THE-POTIONS-Camellia-Seed-Oil-Serum-20ml-i.379239733.9211988603")</f>
        <v>https://shopee.co.id/THE-POTIONS-Camellia-Seed-Oil-Serum-20ml-i.379239733.9211988603</v>
      </c>
      <c r="C2369" s="8" t="s">
        <v>2245</v>
      </c>
      <c r="D2369" s="8" t="s">
        <v>2246</v>
      </c>
      <c r="E2369" s="8" t="s">
        <v>12</v>
      </c>
      <c r="F2369" s="8" t="s">
        <v>13</v>
      </c>
      <c r="G2369" s="8" t="s">
        <v>130</v>
      </c>
      <c r="H2369" s="16">
        <v>2.0</v>
      </c>
      <c r="I2369" s="15" t="str">
        <f>SUBSTITUTE(Sheet1!K2369, "Rp", "")</f>
        <v>334800</v>
      </c>
    </row>
    <row r="2370">
      <c r="A2370" s="8" t="s">
        <v>3441</v>
      </c>
      <c r="B2370" s="13" t="str">
        <f>HYPERLINK("https://shopee.co.id/THE-POTIONS-Galactomyces-Water-Essence-20ml-i.379239733.3778576661", "https://shopee.co.id/THE-POTIONS-Galactomyces-Water-Essence-20ml-i.379239733.3778576661")</f>
        <v>https://shopee.co.id/THE-POTIONS-Galactomyces-Water-Essence-20ml-i.379239733.3778576661</v>
      </c>
      <c r="C2370" s="8" t="s">
        <v>2245</v>
      </c>
      <c r="D2370" s="8" t="s">
        <v>2246</v>
      </c>
      <c r="E2370" s="8" t="s">
        <v>12</v>
      </c>
      <c r="F2370" s="8" t="s">
        <v>13</v>
      </c>
      <c r="G2370" s="8" t="s">
        <v>130</v>
      </c>
      <c r="H2370" s="16">
        <v>2.0</v>
      </c>
      <c r="I2370" s="15" t="str">
        <f>SUBSTITUTE(Sheet1!K2370, "Rp", "")</f>
        <v>320850</v>
      </c>
    </row>
    <row r="2371">
      <c r="A2371" s="8" t="s">
        <v>3490</v>
      </c>
      <c r="B2371" s="13" t="str">
        <f>HYPERLINK("https://shopee.co.id/THE-POTIONS-Jojoba-Oil-Serum-20ml-i.379239733.6978464778", "https://shopee.co.id/THE-POTIONS-Jojoba-Oil-Serum-20ml-i.379239733.6978464778")</f>
        <v>https://shopee.co.id/THE-POTIONS-Jojoba-Oil-Serum-20ml-i.379239733.6978464778</v>
      </c>
      <c r="C2371" s="8" t="s">
        <v>2245</v>
      </c>
      <c r="D2371" s="8" t="s">
        <v>2246</v>
      </c>
      <c r="E2371" s="8" t="s">
        <v>12</v>
      </c>
      <c r="F2371" s="8" t="s">
        <v>13</v>
      </c>
      <c r="G2371" s="8" t="s">
        <v>130</v>
      </c>
      <c r="H2371" s="16">
        <v>2.0</v>
      </c>
      <c r="I2371" s="15" t="str">
        <f>SUBSTITUTE(Sheet1!K2371, "Rp", "")</f>
        <v>292950</v>
      </c>
    </row>
    <row r="2372">
      <c r="A2372" s="8" t="s">
        <v>3462</v>
      </c>
      <c r="B2372" s="13" t="str">
        <f>HYPERLINK("https://shopee.co.id/The-Potions-Peptide-Ampoule-20Ml-i.186214521.4986049609", "https://shopee.co.id/The-Potions-Peptide-Ampoule-20Ml-i.186214521.4986049609")</f>
        <v>https://shopee.co.id/The-Potions-Peptide-Ampoule-20Ml-i.186214521.4986049609</v>
      </c>
      <c r="C2372" s="8" t="s">
        <v>2245</v>
      </c>
      <c r="D2372" s="8" t="s">
        <v>2293</v>
      </c>
      <c r="E2372" s="8" t="s">
        <v>12</v>
      </c>
      <c r="F2372" s="8" t="s">
        <v>13</v>
      </c>
      <c r="G2372" s="8" t="s">
        <v>61</v>
      </c>
      <c r="H2372" s="16">
        <v>2.0</v>
      </c>
      <c r="I2372" s="15" t="str">
        <f>SUBSTITUTE(Sheet1!K2372, "Rp", "")</f>
        <v>311500</v>
      </c>
    </row>
    <row r="2373">
      <c r="A2373" s="8" t="s">
        <v>3293</v>
      </c>
      <c r="B2373" s="13" t="str">
        <f>HYPERLINK("https://shopee.co.id/The-Saem-Urban-Eco-Harakeke-Essence-55ml-i.58386356.1570391030", "https://shopee.co.id/The-Saem-Urban-Eco-Harakeke-Essence-55ml-i.58386356.1570391030")</f>
        <v>https://shopee.co.id/The-Saem-Urban-Eco-Harakeke-Essence-55ml-i.58386356.1570391030</v>
      </c>
      <c r="C2373" s="8" t="s">
        <v>2339</v>
      </c>
      <c r="D2373" s="8" t="s">
        <v>2340</v>
      </c>
      <c r="E2373" s="8" t="s">
        <v>12</v>
      </c>
      <c r="F2373" s="8" t="s">
        <v>13</v>
      </c>
      <c r="G2373" s="8" t="s">
        <v>21</v>
      </c>
      <c r="H2373" s="16">
        <v>2.0</v>
      </c>
      <c r="I2373" s="15" t="str">
        <f>SUBSTITUTE(Sheet1!K2373, "Rp", "")</f>
        <v>436250</v>
      </c>
    </row>
    <row r="2374">
      <c r="A2374" s="8" t="s">
        <v>3960</v>
      </c>
      <c r="B2374" s="13" t="str">
        <f>HYPERLINK("https://shopee.co.id/Theraskin-Serum-Pore-Minimizer-8Gr-i.185943783.6934888513", "https://shopee.co.id/Theraskin-Serum-Pore-Minimizer-8Gr-i.185943783.6934888513")</f>
        <v>https://shopee.co.id/Theraskin-Serum-Pore-Minimizer-8Gr-i.185943783.6934888513</v>
      </c>
      <c r="C2374" s="8" t="s">
        <v>3961</v>
      </c>
      <c r="D2374" s="8" t="s">
        <v>3429</v>
      </c>
      <c r="E2374" s="8" t="s">
        <v>12</v>
      </c>
      <c r="F2374" s="8" t="s">
        <v>13</v>
      </c>
      <c r="G2374" s="8" t="s">
        <v>36</v>
      </c>
      <c r="H2374" s="16">
        <v>2.0</v>
      </c>
      <c r="I2374" s="15" t="str">
        <f>SUBSTITUTE(Sheet1!K2374, "Rp", "")</f>
        <v>46178</v>
      </c>
    </row>
    <row r="2375">
      <c r="A2375" s="8" t="s">
        <v>3077</v>
      </c>
      <c r="B2375" s="13" t="str">
        <f>HYPERLINK("https://shopee.co.id/TISHA-AC7-Spot-Serum-Phytosilica-15ml-i.283615589.3154936793", "https://shopee.co.id/TISHA-AC7-Spot-Serum-Phytosilica-15ml-i.283615589.3154936793")</f>
        <v>https://shopee.co.id/TISHA-AC7-Spot-Serum-Phytosilica-15ml-i.283615589.3154936793</v>
      </c>
      <c r="C2375" s="8" t="s">
        <v>3025</v>
      </c>
      <c r="D2375" s="8" t="s">
        <v>3026</v>
      </c>
      <c r="E2375" s="8" t="s">
        <v>12</v>
      </c>
      <c r="F2375" s="8" t="s">
        <v>13</v>
      </c>
      <c r="G2375" s="8" t="s">
        <v>3027</v>
      </c>
      <c r="H2375" s="16">
        <v>2.0</v>
      </c>
      <c r="I2375" s="15" t="str">
        <f>SUBSTITUTE(Sheet1!K2375, "Rp", "")</f>
        <v>648000</v>
      </c>
    </row>
    <row r="2376">
      <c r="A2376" s="8" t="s">
        <v>3024</v>
      </c>
      <c r="B2376" s="13" t="str">
        <f>HYPERLINK("https://shopee.co.id/TISHA-AC7-Spot-Serum-Phytosilica-15ml-SACHET-1g-x-3ea-i.283615589.7942147785", "https://shopee.co.id/TISHA-AC7-Spot-Serum-Phytosilica-15ml-SACHET-1g-x-3ea-i.283615589.7942147785")</f>
        <v>https://shopee.co.id/TISHA-AC7-Spot-Serum-Phytosilica-15ml-SACHET-1g-x-3ea-i.283615589.7942147785</v>
      </c>
      <c r="C2376" s="8" t="s">
        <v>3025</v>
      </c>
      <c r="D2376" s="8" t="s">
        <v>3026</v>
      </c>
      <c r="E2376" s="8" t="s">
        <v>12</v>
      </c>
      <c r="F2376" s="8" t="s">
        <v>13</v>
      </c>
      <c r="G2376" s="8" t="s">
        <v>3027</v>
      </c>
      <c r="H2376" s="16">
        <v>2.0</v>
      </c>
      <c r="I2376" s="15" t="str">
        <f>SUBSTITUTE(Sheet1!K2376, "Rp", "")</f>
        <v>714000</v>
      </c>
    </row>
    <row r="2377">
      <c r="A2377" s="8" t="s">
        <v>3464</v>
      </c>
      <c r="B2377" s="13" t="str">
        <f>HYPERLINK("https://shopee.co.id/TRUEVE-AHA-BHA-PHA-Ceramide-Peeling-Serum-15ml-i.270965687.9744388400", "https://shopee.co.id/TRUEVE-AHA-BHA-PHA-Ceramide-Peeling-Serum-15ml-i.270965687.9744388400")</f>
        <v>https://shopee.co.id/TRUEVE-AHA-BHA-PHA-Ceramide-Peeling-Serum-15ml-i.270965687.9744388400</v>
      </c>
      <c r="C2377" s="8" t="s">
        <v>34</v>
      </c>
      <c r="D2377" s="8" t="s">
        <v>379</v>
      </c>
      <c r="E2377" s="8" t="s">
        <v>12</v>
      </c>
      <c r="F2377" s="8" t="s">
        <v>13</v>
      </c>
      <c r="G2377" s="8" t="s">
        <v>380</v>
      </c>
      <c r="H2377" s="16">
        <v>2.0</v>
      </c>
      <c r="I2377" s="15" t="str">
        <f>SUBSTITUTE(Sheet1!K2377, "Rp", "")</f>
        <v>310000</v>
      </c>
    </row>
    <row r="2378">
      <c r="A2378" s="8" t="s">
        <v>3322</v>
      </c>
      <c r="B2378" s="13" t="str">
        <f>HYPERLINK("https://shopee.co.id/TRUEVE-Galactomyces-Peptide-Anti-Aging-Serum-30ml-i.270965687.9722968368", "https://shopee.co.id/TRUEVE-Galactomyces-Peptide-Anti-Aging-Serum-30ml-i.270965687.9722968368")</f>
        <v>https://shopee.co.id/TRUEVE-Galactomyces-Peptide-Anti-Aging-Serum-30ml-i.270965687.9722968368</v>
      </c>
      <c r="C2378" s="8" t="s">
        <v>34</v>
      </c>
      <c r="D2378" s="8" t="s">
        <v>379</v>
      </c>
      <c r="E2378" s="8" t="s">
        <v>12</v>
      </c>
      <c r="F2378" s="8" t="s">
        <v>13</v>
      </c>
      <c r="G2378" s="8" t="s">
        <v>380</v>
      </c>
      <c r="H2378" s="16">
        <v>2.0</v>
      </c>
      <c r="I2378" s="15" t="str">
        <f>SUBSTITUTE(Sheet1!K2378, "Rp", "")</f>
        <v>410000</v>
      </c>
    </row>
    <row r="2379">
      <c r="A2379" s="8" t="s">
        <v>3351</v>
      </c>
      <c r="B2379" s="13" t="str">
        <f>HYPERLINK("https://shopee.co.id/Tuesbelle-JUMISO-Hello-Skin-All-Day-Vitamin-Brightening-Balancing-Facial-Serum-30ml-i.36872574.7015400481", "https://shopee.co.id/Tuesbelle-JUMISO-Hello-Skin-All-Day-Vitamin-Brightening-Balancing-Facial-Serum-30ml-i.36872574.7015400481")</f>
        <v>https://shopee.co.id/Tuesbelle-JUMISO-Hello-Skin-All-Day-Vitamin-Brightening-Balancing-Facial-Serum-30ml-i.36872574.7015400481</v>
      </c>
      <c r="C2379" s="8" t="s">
        <v>1113</v>
      </c>
      <c r="D2379" s="8" t="s">
        <v>969</v>
      </c>
      <c r="E2379" s="8" t="s">
        <v>12</v>
      </c>
      <c r="F2379" s="8" t="s">
        <v>13</v>
      </c>
      <c r="G2379" s="8" t="s">
        <v>115</v>
      </c>
      <c r="H2379" s="16">
        <v>2.0</v>
      </c>
      <c r="I2379" s="15" t="str">
        <f>SUBSTITUTE(Sheet1!K2379, "Rp", "")</f>
        <v>391000</v>
      </c>
    </row>
    <row r="2380">
      <c r="A2380" s="8" t="s">
        <v>3545</v>
      </c>
      <c r="B2380" s="13" t="str">
        <f>HYPERLINK("https://shopee.co.id/Tzuki-Brightening-Serum-untuk-Mencerahkan-Melembabkan-dan-Mengencangkan-Kulit-Wajah-20ml-i.230136619.10610649425", "https://shopee.co.id/Tzuki-Brightening-Serum-untuk-Mencerahkan-Melembabkan-dan-Mengencangkan-Kulit-Wajah-20ml-i.230136619.10610649425")</f>
        <v>https://shopee.co.id/Tzuki-Brightening-Serum-untuk-Mencerahkan-Melembabkan-dan-Mengencangkan-Kulit-Wajah-20ml-i.230136619.10610649425</v>
      </c>
      <c r="C2380" s="8" t="s">
        <v>3450</v>
      </c>
      <c r="D2380" s="8" t="s">
        <v>3451</v>
      </c>
      <c r="E2380" s="8" t="s">
        <v>12</v>
      </c>
      <c r="F2380" s="8" t="s">
        <v>13</v>
      </c>
      <c r="G2380" s="8" t="s">
        <v>1085</v>
      </c>
      <c r="H2380" s="16">
        <v>2.0</v>
      </c>
      <c r="I2380" s="15" t="str">
        <f>SUBSTITUTE(Sheet1!K2380, "Rp", "")</f>
        <v>258000</v>
      </c>
    </row>
    <row r="2381">
      <c r="A2381" s="8" t="s">
        <v>3289</v>
      </c>
      <c r="B2381" s="13" t="str">
        <f>HYPERLINK("https://shopee.co.id/Utama-Spice-Acne-Day-Serum-30-ml-i.53018304.1265411728", "https://shopee.co.id/Utama-Spice-Acne-Day-Serum-30-ml-i.53018304.1265411728")</f>
        <v>https://shopee.co.id/Utama-Spice-Acne-Day-Serum-30-ml-i.53018304.1265411728</v>
      </c>
      <c r="C2381" s="8" t="s">
        <v>2926</v>
      </c>
      <c r="D2381" s="8" t="s">
        <v>2927</v>
      </c>
      <c r="E2381" s="8" t="s">
        <v>12</v>
      </c>
      <c r="F2381" s="8" t="s">
        <v>13</v>
      </c>
      <c r="G2381" s="8" t="s">
        <v>2928</v>
      </c>
      <c r="H2381" s="16">
        <v>2.0</v>
      </c>
      <c r="I2381" s="15" t="str">
        <f>SUBSTITUTE(Sheet1!K2381, "Rp", "")</f>
        <v>440000</v>
      </c>
    </row>
    <row r="2382">
      <c r="A2382" s="8" t="s">
        <v>3662</v>
      </c>
      <c r="B2382" s="13" t="str">
        <f>HYPERLINK("https://shopee.co.id/Vavl-Pure-White-Glowing-Serum-15ml-i.136011044.7497684517", "https://shopee.co.id/Vavl-Pure-White-Glowing-Serum-15ml-i.136011044.7497684517")</f>
        <v>https://shopee.co.id/Vavl-Pure-White-Glowing-Serum-15ml-i.136011044.7497684517</v>
      </c>
      <c r="C2382" s="8" t="s">
        <v>1171</v>
      </c>
      <c r="D2382" s="8" t="s">
        <v>632</v>
      </c>
      <c r="E2382" s="8" t="s">
        <v>12</v>
      </c>
      <c r="F2382" s="8" t="s">
        <v>13</v>
      </c>
      <c r="G2382" s="8" t="s">
        <v>21</v>
      </c>
      <c r="H2382" s="16">
        <v>2.0</v>
      </c>
      <c r="I2382" s="15" t="str">
        <f>SUBSTITUTE(Sheet1!K2382, "Rp", "")</f>
        <v>198000</v>
      </c>
    </row>
    <row r="2383">
      <c r="A2383" s="8" t="s">
        <v>3710</v>
      </c>
      <c r="B2383" s="13" t="str">
        <f>HYPERLINK("https://shopee.co.id/VIENNA-BEAUTY-FACE-SERUM-ACNE-ELIXIR-15ML-BOTTLE-i.8463767.6733496183", "https://shopee.co.id/VIENNA-BEAUTY-FACE-SERUM-ACNE-ELIXIR-15ML-BOTTLE-i.8463767.6733496183")</f>
        <v>https://shopee.co.id/VIENNA-BEAUTY-FACE-SERUM-ACNE-ELIXIR-15ML-BOTTLE-i.8463767.6733496183</v>
      </c>
      <c r="C2383" s="8" t="s">
        <v>3453</v>
      </c>
      <c r="D2383" s="8" t="s">
        <v>3454</v>
      </c>
      <c r="E2383" s="8" t="s">
        <v>12</v>
      </c>
      <c r="F2383" s="8" t="s">
        <v>13</v>
      </c>
      <c r="G2383" s="8" t="s">
        <v>36</v>
      </c>
      <c r="H2383" s="16">
        <v>2.0</v>
      </c>
      <c r="I2383" s="15" t="str">
        <f>SUBSTITUTE(Sheet1!K2383, "Rp", "")</f>
        <v>174000</v>
      </c>
    </row>
    <row r="2384">
      <c r="A2384" s="8" t="s">
        <v>2923</v>
      </c>
      <c r="B2384" s="13" t="str">
        <f>HYPERLINK("https://shopee.co.id/Votre-Peau-Sensisoft-and-Tranexamic-Acid-Vitamin-C-Serum-i.46300234.9954849330", "https://shopee.co.id/Votre-Peau-Sensisoft-and-Tranexamic-Acid-Vitamin-C-Serum-i.46300234.9954849330")</f>
        <v>https://shopee.co.id/Votre-Peau-Sensisoft-and-Tranexamic-Acid-Vitamin-C-Serum-i.46300234.9954849330</v>
      </c>
      <c r="C2384" s="8" t="s">
        <v>471</v>
      </c>
      <c r="D2384" s="8" t="s">
        <v>472</v>
      </c>
      <c r="E2384" s="8" t="s">
        <v>12</v>
      </c>
      <c r="F2384" s="8" t="s">
        <v>13</v>
      </c>
      <c r="G2384" s="8" t="s">
        <v>98</v>
      </c>
      <c r="H2384" s="16">
        <v>2.0</v>
      </c>
      <c r="I2384" s="15" t="str">
        <f>SUBSTITUTE(Sheet1!K2384, "Rp", "")</f>
        <v>863270</v>
      </c>
    </row>
    <row r="2385">
      <c r="A2385" s="8" t="s">
        <v>3095</v>
      </c>
      <c r="B2385" s="13" t="str">
        <f>HYPERLINK("https://shopee.co.id/Votre-Peau-Vitamin-C-Maharis-Clinic-30ml-i.825870.2424401777", "https://shopee.co.id/Votre-Peau-Vitamin-C-Maharis-Clinic-30ml-i.825870.2424401777")</f>
        <v>https://shopee.co.id/Votre-Peau-Vitamin-C-Maharis-Clinic-30ml-i.825870.2424401777</v>
      </c>
      <c r="C2385" s="8" t="s">
        <v>471</v>
      </c>
      <c r="D2385" s="8" t="s">
        <v>1184</v>
      </c>
      <c r="E2385" s="8" t="s">
        <v>12</v>
      </c>
      <c r="F2385" s="8" t="s">
        <v>13</v>
      </c>
      <c r="G2385" s="8" t="s">
        <v>21</v>
      </c>
      <c r="H2385" s="16">
        <v>2.0</v>
      </c>
      <c r="I2385" s="15" t="str">
        <f>SUBSTITUTE(Sheet1!K2385, "Rp", "")</f>
        <v>630800</v>
      </c>
    </row>
    <row r="2386">
      <c r="A2386" s="8" t="s">
        <v>3964</v>
      </c>
      <c r="B2386" s="13" t="str">
        <f>HYPERLINK("https://shopee.co.id/WARDAH-Lightening-Serum-Ampoule-8ml-i.187117294.9434967016", "https://shopee.co.id/WARDAH-Lightening-Serum-Ampoule-8ml-i.187117294.9434967016")</f>
        <v>https://shopee.co.id/WARDAH-Lightening-Serum-Ampoule-8ml-i.187117294.9434967016</v>
      </c>
      <c r="C2386" s="8" t="s">
        <v>169</v>
      </c>
      <c r="D2386" s="8" t="s">
        <v>2366</v>
      </c>
      <c r="E2386" s="8" t="s">
        <v>12</v>
      </c>
      <c r="F2386" s="8" t="s">
        <v>13</v>
      </c>
      <c r="G2386" s="8" t="s">
        <v>469</v>
      </c>
      <c r="H2386" s="16">
        <v>2.0</v>
      </c>
      <c r="I2386" s="15" t="str">
        <f>SUBSTITUTE(Sheet1!K2386, "Rp", "")</f>
        <v>40000</v>
      </c>
    </row>
    <row r="2387">
      <c r="A2387" s="8" t="s">
        <v>3380</v>
      </c>
      <c r="B2387" s="13" t="str">
        <f>HYPERLINK("https://shopee.co.id/Wardah-Crystallure-Oil-Serum-30Ml-i.186214521.3325758788", "https://shopee.co.id/Wardah-Crystallure-Oil-Serum-30Ml-i.186214521.3325758788")</f>
        <v>https://shopee.co.id/Wardah-Crystallure-Oil-Serum-30Ml-i.186214521.3325758788</v>
      </c>
      <c r="C2387" s="8" t="s">
        <v>169</v>
      </c>
      <c r="D2387" s="8" t="s">
        <v>2293</v>
      </c>
      <c r="E2387" s="8" t="s">
        <v>12</v>
      </c>
      <c r="F2387" s="8" t="s">
        <v>13</v>
      </c>
      <c r="G2387" s="8" t="s">
        <v>61</v>
      </c>
      <c r="H2387" s="16">
        <v>2.0</v>
      </c>
      <c r="I2387" s="15" t="str">
        <f>SUBSTITUTE(Sheet1!K2387, "Rp", "")</f>
        <v>375000</v>
      </c>
    </row>
    <row r="2388">
      <c r="A2388" s="8" t="s">
        <v>3597</v>
      </c>
      <c r="B2388" s="13" t="str">
        <f>HYPERLINK("https://shopee.co.id/Wardah-Hydra-Rose-Micro-Gel-Serum-30-ml-423821--i.16735262.3558694423", "https://shopee.co.id/Wardah-Hydra-Rose-Micro-Gel-Serum-30-ml-423821--i.16735262.3558694423")</f>
        <v>https://shopee.co.id/Wardah-Hydra-Rose-Micro-Gel-Serum-30-ml-423821--i.16735262.3558694423</v>
      </c>
      <c r="C2388" s="8" t="s">
        <v>169</v>
      </c>
      <c r="D2388" s="8" t="s">
        <v>3598</v>
      </c>
      <c r="E2388" s="8" t="s">
        <v>12</v>
      </c>
      <c r="F2388" s="8" t="s">
        <v>13</v>
      </c>
      <c r="G2388" s="8" t="s">
        <v>36</v>
      </c>
      <c r="H2388" s="16">
        <v>2.0</v>
      </c>
      <c r="I2388" s="15" t="str">
        <f>SUBSTITUTE(Sheet1!K2388, "Rp", "")</f>
        <v>227500</v>
      </c>
    </row>
    <row r="2389">
      <c r="A2389" s="8" t="s">
        <v>3967</v>
      </c>
      <c r="B2389" s="13" t="str">
        <f>HYPERLINK("https://shopee.co.id/Wardah-Lightening-Serum-Ampoule-8Ml-i.353463233.8048837072", "https://shopee.co.id/Wardah-Lightening-Serum-Ampoule-8Ml-i.353463233.8048837072")</f>
        <v>https://shopee.co.id/Wardah-Lightening-Serum-Ampoule-8Ml-i.353463233.8048837072</v>
      </c>
      <c r="C2389" s="8" t="s">
        <v>169</v>
      </c>
      <c r="D2389" s="8" t="s">
        <v>3968</v>
      </c>
      <c r="E2389" s="8" t="s">
        <v>12</v>
      </c>
      <c r="F2389" s="8" t="s">
        <v>13</v>
      </c>
      <c r="G2389" s="8" t="s">
        <v>350</v>
      </c>
      <c r="H2389" s="16">
        <v>2.0</v>
      </c>
      <c r="I2389" s="15" t="str">
        <f>SUBSTITUTE(Sheet1!K2389, "Rp", "")</f>
        <v>39800</v>
      </c>
    </row>
    <row r="2390">
      <c r="A2390" s="8" t="s">
        <v>3822</v>
      </c>
      <c r="B2390" s="13" t="str">
        <f>HYPERLINK("https://shopee.co.id/Whitening-SerumMellydia-Untuk-Wajah-Glowing-dan-Kinclong-i.66671865.1622349385", "https://shopee.co.id/Whitening-SerumMellydia-Untuk-Wajah-Glowing-dan-Kinclong-i.66671865.1622349385")</f>
        <v>https://shopee.co.id/Whitening-SerumMellydia-Untuk-Wajah-Glowing-dan-Kinclong-i.66671865.1622349385</v>
      </c>
      <c r="C2390" s="8" t="s">
        <v>2723</v>
      </c>
      <c r="D2390" s="8" t="s">
        <v>2724</v>
      </c>
      <c r="E2390" s="8" t="s">
        <v>12</v>
      </c>
      <c r="F2390" s="8" t="s">
        <v>13</v>
      </c>
      <c r="G2390" s="8" t="s">
        <v>115</v>
      </c>
      <c r="H2390" s="16">
        <v>2.0</v>
      </c>
      <c r="I2390" s="15" t="str">
        <f>SUBSTITUTE(Sheet1!K2390, "Rp", "")</f>
        <v>117000</v>
      </c>
    </row>
    <row r="2391">
      <c r="A2391" s="8" t="s">
        <v>3808</v>
      </c>
      <c r="B2391" s="13" t="str">
        <f>HYPERLINK("https://shopee.co.id/Yoqueen-Beauty-Sunscreen-15gr-dan-Essence-Lotion-60ml-BUNDLE--i.48380572.11316494663", "https://shopee.co.id/Yoqueen-Beauty-Sunscreen-15gr-dan-Essence-Lotion-60ml-BUNDLE--i.48380572.11316494663")</f>
        <v>https://shopee.co.id/Yoqueen-Beauty-Sunscreen-15gr-dan-Essence-Lotion-60ml-BUNDLE--i.48380572.11316494663</v>
      </c>
      <c r="C2391" s="8" t="s">
        <v>3103</v>
      </c>
      <c r="D2391" s="8" t="s">
        <v>2119</v>
      </c>
      <c r="E2391" s="8" t="s">
        <v>12</v>
      </c>
      <c r="F2391" s="8" t="s">
        <v>13</v>
      </c>
      <c r="G2391" s="8" t="s">
        <v>2120</v>
      </c>
      <c r="H2391" s="16">
        <v>2.0</v>
      </c>
      <c r="I2391" s="15" t="str">
        <f>SUBSTITUTE(Sheet1!K2391, "Rp", "")</f>
        <v>119998</v>
      </c>
    </row>
    <row r="2392">
      <c r="A2392" s="8" t="s">
        <v>2634</v>
      </c>
      <c r="B2392" s="13" t="str">
        <f>HYPERLINK("https://shopee.co.id/Yves-Rocher-Elixir-Jeunesse-Reparation-Anti-Pollution-Serum-Essence-30-ml-i.70687187.1199451251", "https://shopee.co.id/Yves-Rocher-Elixir-Jeunesse-Reparation-Anti-Pollution-Serum-Essence-30-ml-i.70687187.1199451251")</f>
        <v>https://shopee.co.id/Yves-Rocher-Elixir-Jeunesse-Reparation-Anti-Pollution-Serum-Essence-30-ml-i.70687187.1199451251</v>
      </c>
      <c r="C2392" s="8" t="s">
        <v>1672</v>
      </c>
      <c r="D2392" s="8" t="s">
        <v>1673</v>
      </c>
      <c r="E2392" s="8" t="s">
        <v>12</v>
      </c>
      <c r="F2392" s="8" t="s">
        <v>13</v>
      </c>
      <c r="G2392" s="8" t="s">
        <v>61</v>
      </c>
      <c r="H2392" s="16">
        <v>2.0</v>
      </c>
      <c r="I2392" s="15" t="str">
        <f>SUBSTITUTE(Sheet1!K2392, "Rp", "")</f>
        <v>1358000</v>
      </c>
    </row>
    <row r="2393">
      <c r="A2393" s="8" t="s">
        <v>3555</v>
      </c>
      <c r="B2393" s="13" t="str">
        <f>HYPERLINK("https://shopee.co.id/Z-Skincare-Glowing-Serum-i.136496322.2200709597", "https://shopee.co.id/Z-Skincare-Glowing-Serum-i.136496322.2200709597")</f>
        <v>https://shopee.co.id/Z-Skincare-Glowing-Serum-i.136496322.2200709597</v>
      </c>
      <c r="C2393" s="8" t="s">
        <v>3229</v>
      </c>
      <c r="D2393" s="8" t="s">
        <v>3230</v>
      </c>
      <c r="E2393" s="8" t="s">
        <v>12</v>
      </c>
      <c r="F2393" s="8" t="s">
        <v>13</v>
      </c>
      <c r="G2393" s="8" t="s">
        <v>469</v>
      </c>
      <c r="H2393" s="16">
        <v>2.0</v>
      </c>
      <c r="I2393" s="15" t="str">
        <f>SUBSTITUTE(Sheet1!K2393, "Rp", "")</f>
        <v>250000</v>
      </c>
    </row>
    <row r="2394">
      <c r="A2394" s="8" t="s">
        <v>3352</v>
      </c>
      <c r="B2394" s="13" t="str">
        <f>HYPERLINK("https://shopee.co.id/Z-Skincare-Luminous-Glow-Serum-i.136496322.2086400395", "https://shopee.co.id/Z-Skincare-Luminous-Glow-Serum-i.136496322.2086400395")</f>
        <v>https://shopee.co.id/Z-Skincare-Luminous-Glow-Serum-i.136496322.2086400395</v>
      </c>
      <c r="C2394" s="8" t="s">
        <v>3229</v>
      </c>
      <c r="D2394" s="8" t="s">
        <v>3230</v>
      </c>
      <c r="E2394" s="8" t="s">
        <v>12</v>
      </c>
      <c r="F2394" s="8" t="s">
        <v>13</v>
      </c>
      <c r="G2394" s="8" t="s">
        <v>469</v>
      </c>
      <c r="H2394" s="16">
        <v>2.0</v>
      </c>
      <c r="I2394" s="15" t="str">
        <f>SUBSTITUTE(Sheet1!K2394, "Rp", "")</f>
        <v>390000</v>
      </c>
    </row>
    <row r="2395">
      <c r="A2395" s="8" t="s">
        <v>3329</v>
      </c>
      <c r="B2395" s="13" t="str">
        <f>HYPERLINK("https://shopee.co.id/-BUY-1-GET-1-FREE-Biokos-Derma-Bright-Int-Brightening-Serum-30-ml-FREE-DERMA-TONER-i.34904037.3383424980", "https://shopee.co.id/-BUY-1-GET-1-FREE-Biokos-Derma-Bright-Int-Brightening-Serum-30-ml-FREE-DERMA-TONER-i.34904037.3383424980")</f>
        <v>https://shopee.co.id/-BUY-1-GET-1-FREE-Biokos-Derma-Bright-Int-Brightening-Serum-30-ml-FREE-DERMA-TONER-i.34904037.3383424980</v>
      </c>
      <c r="C2395" s="8" t="s">
        <v>1873</v>
      </c>
      <c r="D2395" s="8" t="s">
        <v>1874</v>
      </c>
      <c r="E2395" s="8" t="s">
        <v>12</v>
      </c>
      <c r="F2395" s="8" t="s">
        <v>13</v>
      </c>
      <c r="G2395" s="8" t="s">
        <v>469</v>
      </c>
      <c r="H2395" s="16">
        <v>1.0</v>
      </c>
      <c r="I2395" s="15" t="str">
        <f>SUBSTITUTE(Sheet1!K2395, "Rp", "")</f>
        <v>400500</v>
      </c>
    </row>
    <row r="2396">
      <c r="A2396" s="8" t="s">
        <v>3387</v>
      </c>
      <c r="B2396" s="13" t="str">
        <f>HYPERLINK("https://shopee.co.id/-LIMITED-BUNDLE-Aesthetic-Bluepin-AHA-BHA-Peeling-Solution-Excellent-C-Face-Serum-Rose-Drip-i.54874680.5296367729", "https://shopee.co.id/-LIMITED-BUNDLE-Aesthetic-Bluepin-AHA-BHA-Peeling-Solution-Excellent-C-Face-Serum-Rose-Drip-i.54874680.5296367729")</f>
        <v>https://shopee.co.id/-LIMITED-BUNDLE-Aesthetic-Bluepin-AHA-BHA-Peeling-Solution-Excellent-C-Face-Serum-Rose-Drip-i.54874680.5296367729</v>
      </c>
      <c r="C2396" s="8" t="s">
        <v>3388</v>
      </c>
      <c r="D2396" s="8" t="s">
        <v>1425</v>
      </c>
      <c r="E2396" s="8" t="s">
        <v>12</v>
      </c>
      <c r="F2396" s="8" t="s">
        <v>13</v>
      </c>
      <c r="G2396" s="8" t="s">
        <v>80</v>
      </c>
      <c r="H2396" s="16">
        <v>1.0</v>
      </c>
      <c r="I2396" s="15" t="str">
        <f>SUBSTITUTE(Sheet1!K2396, "Rp", "")</f>
        <v>371000</v>
      </c>
    </row>
    <row r="2397">
      <c r="A2397" s="8" t="s">
        <v>3799</v>
      </c>
      <c r="B2397" s="13" t="str">
        <f>HYPERLINK("https://shopee.co.id/Avoskin-Hydrating-Treatment-Essence-100ml-i.50948181.4354648487", "https://shopee.co.id/Avoskin-Hydrating-Treatment-Essence-100ml-i.50948181.4354648487")</f>
        <v>https://shopee.co.id/Avoskin-Hydrating-Treatment-Essence-100ml-i.50948181.4354648487</v>
      </c>
      <c r="C2397" s="8" t="s">
        <v>83</v>
      </c>
      <c r="D2397" s="8" t="s">
        <v>1129</v>
      </c>
      <c r="E2397" s="8" t="s">
        <v>12</v>
      </c>
      <c r="F2397" s="8" t="s">
        <v>13</v>
      </c>
      <c r="G2397" s="8" t="s">
        <v>1130</v>
      </c>
      <c r="H2397" s="16">
        <v>1.0</v>
      </c>
      <c r="I2397" s="15" t="str">
        <f>SUBSTITUTE(Sheet1!K2397, "Rp", "")</f>
        <v>125000</v>
      </c>
    </row>
    <row r="2398">
      <c r="A2398" s="8" t="s">
        <v>3755</v>
      </c>
      <c r="B2398" s="13" t="str">
        <f>HYPERLINK("https://shopee.co.id/Avoskin-Your-Skin-Bae-Serum-Azeclair-10-Kombucha-3-Niacinamide-2-5-Vaccine-30ml-i.50948181.8376568738", "https://shopee.co.id/Avoskin-Your-Skin-Bae-Serum-Azeclair-10-Kombucha-3-Niacinamide-2-5-Vaccine-30ml-i.50948181.8376568738")</f>
        <v>https://shopee.co.id/Avoskin-Your-Skin-Bae-Serum-Azeclair-10-Kombucha-3-Niacinamide-2-5-Vaccine-30ml-i.50948181.8376568738</v>
      </c>
      <c r="C2398" s="8" t="s">
        <v>83</v>
      </c>
      <c r="D2398" s="8" t="s">
        <v>1129</v>
      </c>
      <c r="E2398" s="8" t="s">
        <v>12</v>
      </c>
      <c r="F2398" s="8" t="s">
        <v>13</v>
      </c>
      <c r="G2398" s="8" t="s">
        <v>1130</v>
      </c>
      <c r="H2398" s="16">
        <v>1.0</v>
      </c>
      <c r="I2398" s="15" t="str">
        <f>SUBSTITUTE(Sheet1!K2398, "Rp", "")</f>
        <v>149000</v>
      </c>
    </row>
    <row r="2399">
      <c r="A2399" s="8" t="s">
        <v>3631</v>
      </c>
      <c r="B2399" s="13" t="str">
        <f>HYPERLINK("https://shopee.co.id/Cosrx-Advanced-Snail-96-Mucin-Power-Essence-100ml-i.50948181.8847219395", "https://shopee.co.id/Cosrx-Advanced-Snail-96-Mucin-Power-Essence-100ml-i.50948181.8847219395")</f>
        <v>https://shopee.co.id/Cosrx-Advanced-Snail-96-Mucin-Power-Essence-100ml-i.50948181.8847219395</v>
      </c>
      <c r="C2399" s="8" t="s">
        <v>305</v>
      </c>
      <c r="D2399" s="8" t="s">
        <v>1129</v>
      </c>
      <c r="E2399" s="8" t="s">
        <v>12</v>
      </c>
      <c r="F2399" s="8" t="s">
        <v>13</v>
      </c>
      <c r="G2399" s="8" t="s">
        <v>1130</v>
      </c>
      <c r="H2399" s="16">
        <v>1.0</v>
      </c>
      <c r="I2399" s="15" t="str">
        <f>SUBSTITUTE(Sheet1!K2399, "Rp", "")</f>
        <v>212000</v>
      </c>
    </row>
    <row r="2400">
      <c r="A2400" s="8" t="s">
        <v>3791</v>
      </c>
      <c r="B2400" s="13" t="str">
        <f>HYPERLINK("https://shopee.co.id/Hiqween-10-00-PM-Advanced-Serum-20ml-i.50948181.9225399463", "https://shopee.co.id/Hiqween-10-00-PM-Advanced-Serum-20ml-i.50948181.9225399463")</f>
        <v>https://shopee.co.id/Hiqween-10-00-PM-Advanced-Serum-20ml-i.50948181.9225399463</v>
      </c>
      <c r="C2400" s="8" t="s">
        <v>2270</v>
      </c>
      <c r="D2400" s="8" t="s">
        <v>1129</v>
      </c>
      <c r="E2400" s="8" t="s">
        <v>12</v>
      </c>
      <c r="F2400" s="8" t="s">
        <v>13</v>
      </c>
      <c r="G2400" s="8" t="s">
        <v>1130</v>
      </c>
      <c r="H2400" s="16">
        <v>1.0</v>
      </c>
      <c r="I2400" s="15" t="str">
        <f>SUBSTITUTE(Sheet1!K2400, "Rp", "")</f>
        <v>128250</v>
      </c>
    </row>
    <row r="2401">
      <c r="A2401" s="8" t="s">
        <v>3777</v>
      </c>
      <c r="B2401" s="13" t="str">
        <f>HYPERLINK("https://shopee.co.id/Kleveru-Glass-Skin-Overnight-Serum-20ml-i.50948181.3561434017", "https://shopee.co.id/Kleveru-Glass-Skin-Overnight-Serum-20ml-i.50948181.3561434017")</f>
        <v>https://shopee.co.id/Kleveru-Glass-Skin-Overnight-Serum-20ml-i.50948181.3561434017</v>
      </c>
      <c r="C2401" s="8" t="s">
        <v>2408</v>
      </c>
      <c r="D2401" s="8" t="s">
        <v>1129</v>
      </c>
      <c r="E2401" s="8" t="s">
        <v>12</v>
      </c>
      <c r="F2401" s="8" t="s">
        <v>13</v>
      </c>
      <c r="G2401" s="8" t="s">
        <v>1130</v>
      </c>
      <c r="H2401" s="16">
        <v>1.0</v>
      </c>
      <c r="I2401" s="15" t="str">
        <f>SUBSTITUTE(Sheet1!K2401, "Rp", "")</f>
        <v>138000</v>
      </c>
    </row>
    <row r="2402">
      <c r="A2402" s="8" t="s">
        <v>3604</v>
      </c>
      <c r="B2402" s="13" t="str">
        <f>HYPERLINK("https://shopee.co.id/Lacoco-5-Bakuchiol-Essence-30ml-i.50948181.10534738976", "https://shopee.co.id/Lacoco-5-Bakuchiol-Essence-30ml-i.50948181.10534738976")</f>
        <v>https://shopee.co.id/Lacoco-5-Bakuchiol-Essence-30ml-i.50948181.10534738976</v>
      </c>
      <c r="C2402" s="8" t="s">
        <v>501</v>
      </c>
      <c r="D2402" s="8" t="s">
        <v>1129</v>
      </c>
      <c r="E2402" s="8" t="s">
        <v>12</v>
      </c>
      <c r="F2402" s="8" t="s">
        <v>13</v>
      </c>
      <c r="G2402" s="8" t="s">
        <v>1130</v>
      </c>
      <c r="H2402" s="16">
        <v>1.0</v>
      </c>
      <c r="I2402" s="15" t="str">
        <f>SUBSTITUTE(Sheet1!K2402, "Rp", "")</f>
        <v>225000</v>
      </c>
    </row>
    <row r="2403">
      <c r="A2403" s="8" t="s">
        <v>3764</v>
      </c>
      <c r="B2403" s="13" t="str">
        <f>HYPERLINK("https://shopee.co.id/Skin-Game-Spot-Guard-Serum-30gr-i.50948181.2985468086", "https://shopee.co.id/Skin-Game-Spot-Guard-Serum-30gr-i.50948181.2985468086")</f>
        <v>https://shopee.co.id/Skin-Game-Spot-Guard-Serum-30gr-i.50948181.2985468086</v>
      </c>
      <c r="C2403" s="8" t="s">
        <v>523</v>
      </c>
      <c r="D2403" s="8" t="s">
        <v>1129</v>
      </c>
      <c r="E2403" s="8" t="s">
        <v>12</v>
      </c>
      <c r="F2403" s="8" t="s">
        <v>13</v>
      </c>
      <c r="G2403" s="8" t="s">
        <v>1130</v>
      </c>
      <c r="H2403" s="16">
        <v>1.0</v>
      </c>
      <c r="I2403" s="15" t="str">
        <f>SUBSTITUTE(Sheet1!K2403, "Rp", "")</f>
        <v>141550</v>
      </c>
    </row>
    <row r="2404">
      <c r="A2404" s="8" t="s">
        <v>3405</v>
      </c>
      <c r="B2404" s="13" t="str">
        <f>HYPERLINK("https://shopee.co.id/-The-Face-Shop-Energy-Seed-Serum-Essence-170ml-Original-i.34671748.3579632903", "https://shopee.co.id/-The-Face-Shop-Energy-Seed-Serum-Essence-170ml-Original-i.34671748.3579632903")</f>
        <v>https://shopee.co.id/-The-Face-Shop-Energy-Seed-Serum-Essence-170ml-Original-i.34671748.3579632903</v>
      </c>
      <c r="C2404" s="8" t="s">
        <v>1217</v>
      </c>
      <c r="D2404" s="8" t="s">
        <v>1218</v>
      </c>
      <c r="E2404" s="8" t="s">
        <v>12</v>
      </c>
      <c r="F2404" s="8" t="s">
        <v>13</v>
      </c>
      <c r="G2404" s="8" t="s">
        <v>61</v>
      </c>
      <c r="H2404" s="16">
        <v>1.0</v>
      </c>
      <c r="I2404" s="15" t="str">
        <f>SUBSTITUTE(Sheet1!K2404, "Rp", "")</f>
        <v>359100</v>
      </c>
    </row>
    <row r="2405">
      <c r="A2405" s="8" t="s">
        <v>2738</v>
      </c>
      <c r="B2405" s="13" t="str">
        <f>HYPERLINK("https://shopee.co.id/-The-Face-Shop-Yehwadam-Hwansaenggo-Rejuvenating-Radiance-Serum-45ml-i.34671748.11904884685", "https://shopee.co.id/-The-Face-Shop-Yehwadam-Hwansaenggo-Rejuvenating-Radiance-Serum-45ml-i.34671748.11904884685")</f>
        <v>https://shopee.co.id/-The-Face-Shop-Yehwadam-Hwansaenggo-Rejuvenating-Radiance-Serum-45ml-i.34671748.11904884685</v>
      </c>
      <c r="C2405" s="8" t="s">
        <v>1217</v>
      </c>
      <c r="D2405" s="8" t="s">
        <v>1218</v>
      </c>
      <c r="E2405" s="8" t="s">
        <v>12</v>
      </c>
      <c r="F2405" s="8" t="s">
        <v>13</v>
      </c>
      <c r="G2405" s="8" t="s">
        <v>61</v>
      </c>
      <c r="H2405" s="16">
        <v>1.0</v>
      </c>
      <c r="I2405" s="15" t="str">
        <f>SUBSTITUTE(Sheet1!K2405, "Rp", "")</f>
        <v>1169100</v>
      </c>
    </row>
    <row r="2406">
      <c r="A2406" s="8" t="s">
        <v>3180</v>
      </c>
      <c r="B2406" s="13" t="str">
        <f>HYPERLINK("https://shopee.co.id/-The-Face-Shop-Yehwadam-Plum-Flower-Revitalizing-Serum-25ml-i.34671748.9268203445", "https://shopee.co.id/-The-Face-Shop-Yehwadam-Plum-Flower-Revitalizing-Serum-25ml-i.34671748.9268203445")</f>
        <v>https://shopee.co.id/-The-Face-Shop-Yehwadam-Plum-Flower-Revitalizing-Serum-25ml-i.34671748.9268203445</v>
      </c>
      <c r="C2406" s="8" t="s">
        <v>1217</v>
      </c>
      <c r="D2406" s="8" t="s">
        <v>1218</v>
      </c>
      <c r="E2406" s="8" t="s">
        <v>12</v>
      </c>
      <c r="F2406" s="8" t="s">
        <v>13</v>
      </c>
      <c r="G2406" s="8" t="s">
        <v>61</v>
      </c>
      <c r="H2406" s="16">
        <v>1.0</v>
      </c>
      <c r="I2406" s="15" t="str">
        <f>SUBSTITUTE(Sheet1!K2406, "Rp", "")</f>
        <v>539100</v>
      </c>
    </row>
    <row r="2407">
      <c r="A2407" s="8" t="s">
        <v>3859</v>
      </c>
      <c r="B2407" s="13" t="str">
        <f>HYPERLINK("https://shopee.co.id/Acne-Series-Serum-Elmuarra-Pelembab-Wajah-Perawatan-Kecantikan-Termurah-Premium-Berkualitas-i.327840216.7859209301", "https://shopee.co.id/Acne-Series-Serum-Elmuarra-Pelembab-Wajah-Perawatan-Kecantikan-Termurah-Premium-Berkualitas-i.327840216.7859209301")</f>
        <v>https://shopee.co.id/Acne-Series-Serum-Elmuarra-Pelembab-Wajah-Perawatan-Kecantikan-Termurah-Premium-Berkualitas-i.327840216.7859209301</v>
      </c>
      <c r="C2407" s="8" t="s">
        <v>3860</v>
      </c>
      <c r="D2407" s="8" t="s">
        <v>3861</v>
      </c>
      <c r="E2407" s="8" t="s">
        <v>12</v>
      </c>
      <c r="F2407" s="8" t="s">
        <v>13</v>
      </c>
      <c r="G2407" s="8" t="s">
        <v>296</v>
      </c>
      <c r="H2407" s="16">
        <v>1.0</v>
      </c>
      <c r="I2407" s="15" t="str">
        <f>SUBSTITUTE(Sheet1!K2407, "Rp", "")</f>
        <v>99000</v>
      </c>
    </row>
    <row r="2408">
      <c r="A2408" s="8" t="s">
        <v>3726</v>
      </c>
      <c r="B2408" s="13" t="str">
        <f>HYPERLINK("https://shopee.co.id/Acwell-Licorice-pH-Balancing-Essence-Mist-size-100-ml-i.224957239.7695938999", "https://shopee.co.id/Acwell-Licorice-pH-Balancing-Essence-Mist-size-100-ml-i.224957239.7695938999")</f>
        <v>https://shopee.co.id/Acwell-Licorice-pH-Balancing-Essence-Mist-size-100-ml-i.224957239.7695938999</v>
      </c>
      <c r="C2408" s="8" t="s">
        <v>3727</v>
      </c>
      <c r="D2408" s="8" t="s">
        <v>492</v>
      </c>
      <c r="E2408" s="8" t="s">
        <v>12</v>
      </c>
      <c r="F2408" s="8" t="s">
        <v>13</v>
      </c>
      <c r="G2408" s="8" t="s">
        <v>21</v>
      </c>
      <c r="H2408" s="16">
        <v>1.0</v>
      </c>
      <c r="I2408" s="15" t="str">
        <f>SUBSTITUTE(Sheet1!K2408, "Rp", "")</f>
        <v>160650</v>
      </c>
    </row>
    <row r="2409">
      <c r="A2409" s="8" t="s">
        <v>3500</v>
      </c>
      <c r="B2409" s="13" t="str">
        <f>HYPERLINK("https://shopee.co.id/Aesthetic-Bluepin-Acnelogica-Night-Cream-AHA-BHA-Peeling-Solution-i.54874680.6196801135", "https://shopee.co.id/Aesthetic-Bluepin-Acnelogica-Night-Cream-AHA-BHA-Peeling-Solution-i.54874680.6196801135")</f>
        <v>https://shopee.co.id/Aesthetic-Bluepin-Acnelogica-Night-Cream-AHA-BHA-Peeling-Solution-i.54874680.6196801135</v>
      </c>
      <c r="C2409" s="8" t="s">
        <v>2026</v>
      </c>
      <c r="D2409" s="8" t="s">
        <v>1425</v>
      </c>
      <c r="E2409" s="8" t="s">
        <v>12</v>
      </c>
      <c r="F2409" s="8" t="s">
        <v>13</v>
      </c>
      <c r="G2409" s="8" t="s">
        <v>80</v>
      </c>
      <c r="H2409" s="16">
        <v>1.0</v>
      </c>
      <c r="I2409" s="15" t="str">
        <f>SUBSTITUTE(Sheet1!K2409, "Rp", "")</f>
        <v>286000</v>
      </c>
    </row>
    <row r="2410">
      <c r="A2410" s="8" t="s">
        <v>3802</v>
      </c>
      <c r="B2410" s="13" t="str">
        <f>HYPERLINK("https://shopee.co.id/AFK-Beauty-Skincare-Attractive-Glowing-Teens-Serum-i.240725692.5941593410", "https://shopee.co.id/AFK-Beauty-Skincare-Attractive-Glowing-Teens-Serum-i.240725692.5941593410")</f>
        <v>https://shopee.co.id/AFK-Beauty-Skincare-Attractive-Glowing-Teens-Serum-i.240725692.5941593410</v>
      </c>
      <c r="C2410" s="8" t="s">
        <v>3769</v>
      </c>
      <c r="D2410" s="8" t="s">
        <v>3770</v>
      </c>
      <c r="E2410" s="8" t="s">
        <v>12</v>
      </c>
      <c r="F2410" s="8" t="s">
        <v>13</v>
      </c>
      <c r="G2410" s="8" t="s">
        <v>98</v>
      </c>
      <c r="H2410" s="16">
        <v>1.0</v>
      </c>
      <c r="I2410" s="15" t="str">
        <f>SUBSTITUTE(Sheet1!K2410, "Rp", "")</f>
        <v>122000</v>
      </c>
    </row>
    <row r="2411">
      <c r="A2411" s="8" t="s">
        <v>3768</v>
      </c>
      <c r="B2411" s="13" t="str">
        <f>HYPERLINK("https://shopee.co.id/AFK-Beauty-Skincare-Luxury-Radiance-Gold-Serum-i.240725692.8014262183", "https://shopee.co.id/AFK-Beauty-Skincare-Luxury-Radiance-Gold-Serum-i.240725692.8014262183")</f>
        <v>https://shopee.co.id/AFK-Beauty-Skincare-Luxury-Radiance-Gold-Serum-i.240725692.8014262183</v>
      </c>
      <c r="C2411" s="8" t="s">
        <v>3769</v>
      </c>
      <c r="D2411" s="8" t="s">
        <v>3770</v>
      </c>
      <c r="E2411" s="8" t="s">
        <v>12</v>
      </c>
      <c r="F2411" s="8" t="s">
        <v>13</v>
      </c>
      <c r="G2411" s="8" t="s">
        <v>98</v>
      </c>
      <c r="H2411" s="16">
        <v>1.0</v>
      </c>
      <c r="I2411" s="15" t="str">
        <f>SUBSTITUTE(Sheet1!K2411, "Rp", "")</f>
        <v>140000</v>
      </c>
    </row>
    <row r="2412">
      <c r="A2412" s="8" t="s">
        <v>3932</v>
      </c>
      <c r="B2412" s="13" t="str">
        <f>HYPERLINK("https://shopee.co.id/AHA-Serum-Marwah-Skin-Care-i.357101711.8715462427", "https://shopee.co.id/AHA-Serum-Marwah-Skin-Care-i.357101711.8715462427")</f>
        <v>https://shopee.co.id/AHA-Serum-Marwah-Skin-Care-i.357101711.8715462427</v>
      </c>
      <c r="C2412" s="8" t="s">
        <v>2249</v>
      </c>
      <c r="D2412" s="8" t="s">
        <v>2250</v>
      </c>
      <c r="E2412" s="8" t="s">
        <v>12</v>
      </c>
      <c r="F2412" s="8" t="s">
        <v>13</v>
      </c>
      <c r="G2412" s="8" t="s">
        <v>370</v>
      </c>
      <c r="H2412" s="16">
        <v>1.0</v>
      </c>
      <c r="I2412" s="15" t="str">
        <f>SUBSTITUTE(Sheet1!K2412, "Rp", "")</f>
        <v>65000</v>
      </c>
    </row>
    <row r="2413">
      <c r="A2413" s="8" t="s">
        <v>3465</v>
      </c>
      <c r="B2413" s="13" t="str">
        <f>HYPERLINK("https://shopee.co.id/AHC-The-Aesthe-Youth-Emulsion-Edit-by-Sociolla-i.224957239.6345287906", "https://shopee.co.id/AHC-The-Aesthe-Youth-Emulsion-Edit-by-Sociolla-i.224957239.6345287906")</f>
        <v>https://shopee.co.id/AHC-The-Aesthe-Youth-Emulsion-Edit-by-Sociolla-i.224957239.6345287906</v>
      </c>
      <c r="C2413" s="8" t="s">
        <v>2053</v>
      </c>
      <c r="D2413" s="8" t="s">
        <v>492</v>
      </c>
      <c r="E2413" s="8" t="s">
        <v>12</v>
      </c>
      <c r="F2413" s="8" t="s">
        <v>13</v>
      </c>
      <c r="G2413" s="8" t="s">
        <v>21</v>
      </c>
      <c r="H2413" s="16">
        <v>1.0</v>
      </c>
      <c r="I2413" s="15" t="str">
        <f>SUBSTITUTE(Sheet1!K2413, "Rp", "")</f>
        <v>306750</v>
      </c>
    </row>
    <row r="2414">
      <c r="A2414" s="8" t="s">
        <v>3404</v>
      </c>
      <c r="B2414" s="13" t="str">
        <f>HYPERLINK("https://shopee.co.id/Ahc-The-Aesthe-Youth-Serum-30ml-i.30736001.9668008263", "https://shopee.co.id/Ahc-The-Aesthe-Youth-Serum-30ml-i.30736001.9668008263")</f>
        <v>https://shopee.co.id/Ahc-The-Aesthe-Youth-Serum-30ml-i.30736001.9668008263</v>
      </c>
      <c r="C2414" s="8" t="s">
        <v>2053</v>
      </c>
      <c r="D2414" s="8" t="s">
        <v>335</v>
      </c>
      <c r="E2414" s="8" t="s">
        <v>12</v>
      </c>
      <c r="F2414" s="8" t="s">
        <v>13</v>
      </c>
      <c r="G2414" s="8" t="s">
        <v>36</v>
      </c>
      <c r="H2414" s="16">
        <v>1.0</v>
      </c>
      <c r="I2414" s="15" t="str">
        <f>SUBSTITUTE(Sheet1!K2414, "Rp", "")</f>
        <v>359700</v>
      </c>
    </row>
    <row r="2415">
      <c r="A2415" s="8" t="s">
        <v>3812</v>
      </c>
      <c r="B2415" s="13" t="str">
        <f>HYPERLINK("https://shopee.co.id/Aish-Acne-Serum-Perawatan-Wajah-Berjerawat-Mengatasi-Timbulnya-Jerawat-Beserta-Bekasnya-Original-Tanpa-Efek-Samping-Korean-Skincare-Viral-i.270327756.13008654960", "https://shopee.co.id/Aish-Acne-Serum-Perawatan-Wajah-Berjerawat-Mengatasi-Timbulnya-Jerawat-Beserta-Bekasnya-Original-Tanpa-Efek-Samping-Korean-Skincare-Viral-i.270327756.13008654960")</f>
        <v>https://shopee.co.id/Aish-Acne-Serum-Perawatan-Wajah-Berjerawat-Mengatasi-Timbulnya-Jerawat-Beserta-Bekasnya-Original-Tanpa-Efek-Samping-Korean-Skincare-Viral-i.270327756.13008654960</v>
      </c>
      <c r="C2415" s="8" t="s">
        <v>348</v>
      </c>
      <c r="D2415" s="8" t="s">
        <v>3813</v>
      </c>
      <c r="E2415" s="8" t="s">
        <v>12</v>
      </c>
      <c r="F2415" s="8" t="s">
        <v>13</v>
      </c>
      <c r="G2415" s="8" t="s">
        <v>350</v>
      </c>
      <c r="H2415" s="16">
        <v>1.0</v>
      </c>
      <c r="I2415" s="15" t="str">
        <f>SUBSTITUTE(Sheet1!K2415, "Rp", "")</f>
        <v>119000</v>
      </c>
    </row>
    <row r="2416">
      <c r="A2416" s="8" t="s">
        <v>3814</v>
      </c>
      <c r="B2416" s="13" t="str">
        <f>HYPERLINK("https://shopee.co.id/Aish-Serum-Brightening-15-ML-Serum-Mencerahkan-Wajah-Serum-Penghilang-Kulit-Kusam-Secara-Ampuh-100-Original-i.301699781.11950159672", "https://shopee.co.id/Aish-Serum-Brightening-15-ML-Serum-Mencerahkan-Wajah-Serum-Penghilang-Kulit-Kusam-Secara-Ampuh-100-Original-i.301699781.11950159672")</f>
        <v>https://shopee.co.id/Aish-Serum-Brightening-15-ML-Serum-Mencerahkan-Wajah-Serum-Penghilang-Kulit-Kusam-Secara-Ampuh-100-Original-i.301699781.11950159672</v>
      </c>
      <c r="C2416" s="8" t="s">
        <v>348</v>
      </c>
      <c r="D2416" s="8" t="s">
        <v>2954</v>
      </c>
      <c r="E2416" s="8" t="s">
        <v>12</v>
      </c>
      <c r="F2416" s="8" t="s">
        <v>13</v>
      </c>
      <c r="G2416" s="8" t="s">
        <v>115</v>
      </c>
      <c r="H2416" s="16">
        <v>1.0</v>
      </c>
      <c r="I2416" s="15" t="str">
        <f>SUBSTITUTE(Sheet1!K2416, "Rp", "")</f>
        <v>119000</v>
      </c>
    </row>
    <row r="2417">
      <c r="A2417" s="8" t="s">
        <v>3786</v>
      </c>
      <c r="B2417" s="13" t="str">
        <f>HYPERLINK("https://shopee.co.id/AIZEN-Polyglutamic-Acid-5-Ultra-Ampoule-i.68111.2939302940", "https://shopee.co.id/AIZEN-Polyglutamic-Acid-5-Ultra-Ampoule-i.68111.2939302940")</f>
        <v>https://shopee.co.id/AIZEN-Polyglutamic-Acid-5-Ultra-Ampoule-i.68111.2939302940</v>
      </c>
      <c r="C2417" s="8" t="s">
        <v>1325</v>
      </c>
      <c r="D2417" s="8" t="s">
        <v>441</v>
      </c>
      <c r="E2417" s="8" t="s">
        <v>12</v>
      </c>
      <c r="F2417" s="8" t="s">
        <v>13</v>
      </c>
      <c r="G2417" s="8" t="s">
        <v>130</v>
      </c>
      <c r="H2417" s="16">
        <v>1.0</v>
      </c>
      <c r="I2417" s="15" t="str">
        <f>SUBSTITUTE(Sheet1!K2417, "Rp", "")</f>
        <v>132050</v>
      </c>
    </row>
    <row r="2418">
      <c r="A2418" s="8" t="s">
        <v>3890</v>
      </c>
      <c r="B2418" s="13" t="str">
        <f>HYPERLINK("https://shopee.co.id/Aknema-Bha-Ha-Serum-i.17081863.5793871823", "https://shopee.co.id/Aknema-Bha-Ha-Serum-i.17081863.5793871823")</f>
        <v>https://shopee.co.id/Aknema-Bha-Ha-Serum-i.17081863.5793871823</v>
      </c>
      <c r="C2418" s="8" t="s">
        <v>1912</v>
      </c>
      <c r="D2418" s="8" t="s">
        <v>2497</v>
      </c>
      <c r="E2418" s="8" t="s">
        <v>12</v>
      </c>
      <c r="F2418" s="8" t="s">
        <v>13</v>
      </c>
      <c r="G2418" s="8" t="s">
        <v>21</v>
      </c>
      <c r="H2418" s="16">
        <v>1.0</v>
      </c>
      <c r="I2418" s="15" t="str">
        <f>SUBSTITUTE(Sheet1!K2418, "Rp", "")</f>
        <v>88900</v>
      </c>
    </row>
    <row r="2419">
      <c r="A2419" s="8" t="s">
        <v>3794</v>
      </c>
      <c r="B2419" s="13" t="str">
        <f>HYPERLINK("https://shopee.co.id/Aknema-BHA-HA-Serum-20ml-i.825870.6631158859", "https://shopee.co.id/Aknema-BHA-HA-Serum-20ml-i.825870.6631158859")</f>
        <v>https://shopee.co.id/Aknema-BHA-HA-Serum-20ml-i.825870.6631158859</v>
      </c>
      <c r="C2419" s="8" t="s">
        <v>1912</v>
      </c>
      <c r="D2419" s="8" t="s">
        <v>1184</v>
      </c>
      <c r="E2419" s="8" t="s">
        <v>12</v>
      </c>
      <c r="F2419" s="8" t="s">
        <v>13</v>
      </c>
      <c r="G2419" s="8" t="s">
        <v>21</v>
      </c>
      <c r="H2419" s="16">
        <v>1.0</v>
      </c>
      <c r="I2419" s="15" t="str">
        <f>SUBSTITUTE(Sheet1!K2419, "Rp", "")</f>
        <v>127000</v>
      </c>
    </row>
    <row r="2420">
      <c r="A2420" s="8" t="s">
        <v>3823</v>
      </c>
      <c r="B2420" s="13" t="str">
        <f>HYPERLINK("https://shopee.co.id/Amaranthine-Ultimate-Intensive-White-Lightening-Serum-Q74044-i.199182536.7309544889", "https://shopee.co.id/Amaranthine-Ultimate-Intensive-White-Lightening-Serum-Q74044-i.199182536.7309544889")</f>
        <v>https://shopee.co.id/Amaranthine-Ultimate-Intensive-White-Lightening-Serum-Q74044-i.199182536.7309544889</v>
      </c>
      <c r="C2420" s="8" t="s">
        <v>3638</v>
      </c>
      <c r="D2420" s="8" t="s">
        <v>3639</v>
      </c>
      <c r="E2420" s="8" t="s">
        <v>12</v>
      </c>
      <c r="F2420" s="8" t="s">
        <v>13</v>
      </c>
      <c r="G2420" s="8" t="s">
        <v>1048</v>
      </c>
      <c r="H2420" s="16">
        <v>1.0</v>
      </c>
      <c r="I2420" s="15" t="str">
        <f>SUBSTITUTE(Sheet1!K2420, "Rp", "")</f>
        <v>117000</v>
      </c>
    </row>
    <row r="2421">
      <c r="A2421" s="8" t="s">
        <v>3887</v>
      </c>
      <c r="B2421" s="13" t="str">
        <f>HYPERLINK("https://shopee.co.id/Aubree-Ginseng-Renewing-First-Serum-30ml-i.825870.7822871149", "https://shopee.co.id/Aubree-Ginseng-Renewing-First-Serum-30ml-i.825870.7822871149")</f>
        <v>https://shopee.co.id/Aubree-Ginseng-Renewing-First-Serum-30ml-i.825870.7822871149</v>
      </c>
      <c r="C2421" s="8" t="s">
        <v>2642</v>
      </c>
      <c r="D2421" s="8" t="s">
        <v>1184</v>
      </c>
      <c r="E2421" s="8" t="s">
        <v>12</v>
      </c>
      <c r="F2421" s="8" t="s">
        <v>13</v>
      </c>
      <c r="G2421" s="8" t="s">
        <v>21</v>
      </c>
      <c r="H2421" s="16">
        <v>1.0</v>
      </c>
      <c r="I2421" s="15" t="str">
        <f>SUBSTITUTE(Sheet1!K2421, "Rp", "")</f>
        <v>89100</v>
      </c>
    </row>
    <row r="2422">
      <c r="A2422" s="8" t="s">
        <v>3882</v>
      </c>
      <c r="B2422" s="13" t="str">
        <f>HYPERLINK("https://shopee.co.id/Avione-Age-Revitalizing-Renew-Serum-20-ml-i.23426842.1378548535", "https://shopee.co.id/Avione-Age-Revitalizing-Renew-Serum-20-ml-i.23426842.1378548535")</f>
        <v>https://shopee.co.id/Avione-Age-Revitalizing-Renew-Serum-20-ml-i.23426842.1378548535</v>
      </c>
      <c r="C2422" s="8" t="s">
        <v>2838</v>
      </c>
      <c r="D2422" s="8" t="s">
        <v>2839</v>
      </c>
      <c r="E2422" s="8" t="s">
        <v>12</v>
      </c>
      <c r="F2422" s="8" t="s">
        <v>13</v>
      </c>
      <c r="G2422" s="8" t="s">
        <v>115</v>
      </c>
      <c r="H2422" s="16">
        <v>1.0</v>
      </c>
      <c r="I2422" s="15" t="str">
        <f>SUBSTITUTE(Sheet1!K2422, "Rp", "")</f>
        <v>90000</v>
      </c>
    </row>
    <row r="2423">
      <c r="A2423" s="8" t="s">
        <v>154</v>
      </c>
      <c r="B2423" s="13" t="str">
        <f>HYPERLINK("https://shopee.co.id/Avoskin-Miraculous-Refining-Serum-i.476696916.3293387471", "https://shopee.co.id/Avoskin-Miraculous-Refining-Serum-i.476696916.3293387471")</f>
        <v>https://shopee.co.id/Avoskin-Miraculous-Refining-Serum-i.476696916.3293387471</v>
      </c>
      <c r="C2423" s="8" t="s">
        <v>83</v>
      </c>
      <c r="D2423" s="8" t="s">
        <v>3577</v>
      </c>
      <c r="E2423" s="8" t="s">
        <v>12</v>
      </c>
      <c r="F2423" s="8" t="s">
        <v>13</v>
      </c>
      <c r="G2423" s="8" t="s">
        <v>350</v>
      </c>
      <c r="H2423" s="16">
        <v>1.0</v>
      </c>
      <c r="I2423" s="15" t="str">
        <f>SUBSTITUTE(Sheet1!K2423, "Rp", "")</f>
        <v>239000</v>
      </c>
    </row>
    <row r="2424">
      <c r="A2424" s="8" t="s">
        <v>1624</v>
      </c>
      <c r="B2424" s="13" t="str">
        <f>HYPERLINK("https://shopee.co.id/Avoskin-Perfect-Hydrating-Treatment-Essence-30ml-i.53887195.8909446258", "https://shopee.co.id/Avoskin-Perfect-Hydrating-Treatment-Essence-30ml-i.53887195.8909446258")</f>
        <v>https://shopee.co.id/Avoskin-Perfect-Hydrating-Treatment-Essence-30ml-i.53887195.8909446258</v>
      </c>
      <c r="C2424" s="8" t="s">
        <v>83</v>
      </c>
      <c r="D2424" s="8" t="s">
        <v>1026</v>
      </c>
      <c r="E2424" s="8" t="s">
        <v>12</v>
      </c>
      <c r="F2424" s="8" t="s">
        <v>13</v>
      </c>
      <c r="G2424" s="8" t="s">
        <v>80</v>
      </c>
      <c r="H2424" s="16">
        <v>1.0</v>
      </c>
      <c r="I2424" s="15" t="str">
        <f>SUBSTITUTE(Sheet1!K2424, "Rp", "")</f>
        <v>132099</v>
      </c>
    </row>
    <row r="2425">
      <c r="A2425" s="8" t="s">
        <v>3758</v>
      </c>
      <c r="B2425" s="13" t="str">
        <f>HYPERLINK("https://shopee.co.id/Axis-Y-Artichoke-Intensive-Skin-Barrier-Ampoule-30ml-i.50948181.10049591692", "https://shopee.co.id/Axis-Y-Artichoke-Intensive-Skin-Barrier-Ampoule-30ml-i.50948181.10049591692")</f>
        <v>https://shopee.co.id/Axis-Y-Artichoke-Intensive-Skin-Barrier-Ampoule-30ml-i.50948181.10049591692</v>
      </c>
      <c r="C2425" s="8" t="s">
        <v>710</v>
      </c>
      <c r="D2425" s="8" t="s">
        <v>3759</v>
      </c>
      <c r="E2425" s="8" t="s">
        <v>12</v>
      </c>
      <c r="F2425" s="8" t="s">
        <v>13</v>
      </c>
      <c r="G2425" s="8" t="s">
        <v>1130</v>
      </c>
      <c r="H2425" s="16">
        <v>1.0</v>
      </c>
      <c r="I2425" s="15" t="str">
        <f>SUBSTITUTE(Sheet1!K2425, "Rp", "")</f>
        <v>148180</v>
      </c>
    </row>
    <row r="2426">
      <c r="A2426" s="8" t="s">
        <v>1409</v>
      </c>
      <c r="B2426" s="13" t="str">
        <f>HYPERLINK("https://shopee.co.id/Azarine-AHA-BHA-Miraclear-Herbal-Peeling-Serum-20ml-i.187117294.9066866737", "https://shopee.co.id/Azarine-AHA-BHA-Miraclear-Herbal-Peeling-Serum-20ml-i.187117294.9066866737")</f>
        <v>https://shopee.co.id/Azarine-AHA-BHA-Miraclear-Herbal-Peeling-Serum-20ml-i.187117294.9066866737</v>
      </c>
      <c r="C2426" s="8" t="s">
        <v>233</v>
      </c>
      <c r="D2426" s="8" t="s">
        <v>2366</v>
      </c>
      <c r="E2426" s="8" t="s">
        <v>12</v>
      </c>
      <c r="F2426" s="8" t="s">
        <v>13</v>
      </c>
      <c r="G2426" s="8" t="s">
        <v>469</v>
      </c>
      <c r="H2426" s="16">
        <v>1.0</v>
      </c>
      <c r="I2426" s="15" t="str">
        <f>SUBSTITUTE(Sheet1!K2426, "Rp", "")</f>
        <v>33000</v>
      </c>
    </row>
    <row r="2427">
      <c r="A2427" s="8" t="s">
        <v>3976</v>
      </c>
      <c r="B2427" s="13" t="str">
        <f>HYPERLINK("https://shopee.co.id/AZARINE-easy-white-herbal-moisturizer-serum-20ml-i.187117294.9166876343", "https://shopee.co.id/AZARINE-easy-white-herbal-moisturizer-serum-20ml-i.187117294.9166876343")</f>
        <v>https://shopee.co.id/AZARINE-easy-white-herbal-moisturizer-serum-20ml-i.187117294.9166876343</v>
      </c>
      <c r="C2427" s="8" t="s">
        <v>233</v>
      </c>
      <c r="D2427" s="8" t="s">
        <v>2366</v>
      </c>
      <c r="E2427" s="8" t="s">
        <v>12</v>
      </c>
      <c r="F2427" s="8" t="s">
        <v>13</v>
      </c>
      <c r="G2427" s="8" t="s">
        <v>469</v>
      </c>
      <c r="H2427" s="16">
        <v>1.0</v>
      </c>
      <c r="I2427" s="15" t="str">
        <f>SUBSTITUTE(Sheet1!K2427, "Rp", "")</f>
        <v>24000</v>
      </c>
    </row>
    <row r="2428">
      <c r="A2428" s="8" t="s">
        <v>3870</v>
      </c>
      <c r="B2428" s="13" t="str">
        <f>HYPERLINK("https://shopee.co.id/AZARINE-Essence-Sun-Shield-Serum-SPF-50-PA--i.68111.8787204420", "https://shopee.co.id/AZARINE-Essence-Sun-Shield-Serum-SPF-50-PA--i.68111.8787204420")</f>
        <v>https://shopee.co.id/AZARINE-Essence-Sun-Shield-Serum-SPF-50-PA--i.68111.8787204420</v>
      </c>
      <c r="C2428" s="8" t="s">
        <v>233</v>
      </c>
      <c r="D2428" s="8" t="s">
        <v>441</v>
      </c>
      <c r="E2428" s="8" t="s">
        <v>12</v>
      </c>
      <c r="F2428" s="8" t="s">
        <v>13</v>
      </c>
      <c r="G2428" s="8" t="s">
        <v>130</v>
      </c>
      <c r="H2428" s="16">
        <v>1.0</v>
      </c>
      <c r="I2428" s="15" t="str">
        <f>SUBSTITUTE(Sheet1!K2428, "Rp", "")</f>
        <v>98000</v>
      </c>
    </row>
    <row r="2429">
      <c r="A2429" s="8" t="s">
        <v>605</v>
      </c>
      <c r="B2429" s="13" t="str">
        <f>HYPERLINK("https://shopee.co.id/Azarine-Revitalizing-Anti-Aging-Serum-20ml-i.10689.11726265612", "https://shopee.co.id/Azarine-Revitalizing-Anti-Aging-Serum-20ml-i.10689.11726265612")</f>
        <v>https://shopee.co.id/Azarine-Revitalizing-Anti-Aging-Serum-20ml-i.10689.11726265612</v>
      </c>
      <c r="C2429" s="8" t="s">
        <v>233</v>
      </c>
      <c r="D2429" s="8" t="s">
        <v>745</v>
      </c>
      <c r="E2429" s="8" t="s">
        <v>12</v>
      </c>
      <c r="F2429" s="8" t="s">
        <v>13</v>
      </c>
      <c r="G2429" s="8" t="s">
        <v>61</v>
      </c>
      <c r="H2429" s="16">
        <v>1.0</v>
      </c>
      <c r="I2429" s="15" t="str">
        <f>SUBSTITUTE(Sheet1!K2429, "Rp", "")</f>
        <v>75000</v>
      </c>
    </row>
    <row r="2430">
      <c r="A2430" s="8" t="s">
        <v>2540</v>
      </c>
      <c r="B2430" s="13" t="str">
        <f>HYPERLINK("https://shopee.co.id/Babor-Dr-Babor-Daily-Bright-Serum-50ml-i.131188140.8400275870", "https://shopee.co.id/Babor-Dr-Babor-Daily-Bright-Serum-50ml-i.131188140.8400275870")</f>
        <v>https://shopee.co.id/Babor-Dr-Babor-Daily-Bright-Serum-50ml-i.131188140.8400275870</v>
      </c>
      <c r="C2430" s="8" t="s">
        <v>1433</v>
      </c>
      <c r="D2430" s="8" t="s">
        <v>1434</v>
      </c>
      <c r="E2430" s="8" t="s">
        <v>12</v>
      </c>
      <c r="F2430" s="8" t="s">
        <v>13</v>
      </c>
      <c r="G2430" s="8" t="s">
        <v>61</v>
      </c>
      <c r="H2430" s="16">
        <v>1.0</v>
      </c>
      <c r="I2430" s="15" t="str">
        <f>SUBSTITUTE(Sheet1!K2430, "Rp", "")</f>
        <v>1600000</v>
      </c>
    </row>
    <row r="2431">
      <c r="A2431" s="8" t="s">
        <v>2867</v>
      </c>
      <c r="B2431" s="13" t="str">
        <f>HYPERLINK("https://shopee.co.id/Babor-HY-L-Reactivating-2021-i.131188140.9556552459", "https://shopee.co.id/Babor-HY-L-Reactivating-2021-i.131188140.9556552459")</f>
        <v>https://shopee.co.id/Babor-HY-L-Reactivating-2021-i.131188140.9556552459</v>
      </c>
      <c r="C2431" s="8" t="s">
        <v>1433</v>
      </c>
      <c r="D2431" s="8" t="s">
        <v>1434</v>
      </c>
      <c r="E2431" s="8" t="s">
        <v>12</v>
      </c>
      <c r="F2431" s="8" t="s">
        <v>13</v>
      </c>
      <c r="G2431" s="8" t="s">
        <v>61</v>
      </c>
      <c r="H2431" s="16">
        <v>1.0</v>
      </c>
      <c r="I2431" s="15" t="str">
        <f>SUBSTITUTE(Sheet1!K2431, "Rp", "")</f>
        <v>945000</v>
      </c>
    </row>
    <row r="2432">
      <c r="A2432" s="8" t="s">
        <v>3214</v>
      </c>
      <c r="B2432" s="13" t="str">
        <f>HYPERLINK("https://shopee.co.id/Babor-Hydra-Plus-Fluid-7x2-ML-i.131188140.1971037906", "https://shopee.co.id/Babor-Hydra-Plus-Fluid-7x2-ML-i.131188140.1971037906")</f>
        <v>https://shopee.co.id/Babor-Hydra-Plus-Fluid-7x2-ML-i.131188140.1971037906</v>
      </c>
      <c r="C2432" s="8" t="s">
        <v>1814</v>
      </c>
      <c r="D2432" s="8" t="s">
        <v>1434</v>
      </c>
      <c r="E2432" s="8" t="s">
        <v>12</v>
      </c>
      <c r="F2432" s="8" t="s">
        <v>13</v>
      </c>
      <c r="G2432" s="8" t="s">
        <v>61</v>
      </c>
      <c r="H2432" s="16">
        <v>1.0</v>
      </c>
      <c r="I2432" s="15" t="str">
        <f>SUBSTITUTE(Sheet1!K2432, "Rp", "")</f>
        <v>510000</v>
      </c>
    </row>
    <row r="2433">
      <c r="A2433" s="8" t="s">
        <v>3215</v>
      </c>
      <c r="B2433" s="13" t="str">
        <f>HYPERLINK("https://shopee.co.id/Babor-Multiactive-Vitamin-Fluid-7x2-ML-i.131188140.1971037933", "https://shopee.co.id/Babor-Multiactive-Vitamin-Fluid-7x2-ML-i.131188140.1971037933")</f>
        <v>https://shopee.co.id/Babor-Multiactive-Vitamin-Fluid-7x2-ML-i.131188140.1971037933</v>
      </c>
      <c r="C2433" s="8" t="s">
        <v>1433</v>
      </c>
      <c r="D2433" s="8" t="s">
        <v>1434</v>
      </c>
      <c r="E2433" s="8" t="s">
        <v>12</v>
      </c>
      <c r="F2433" s="8" t="s">
        <v>13</v>
      </c>
      <c r="G2433" s="8" t="s">
        <v>61</v>
      </c>
      <c r="H2433" s="16">
        <v>1.0</v>
      </c>
      <c r="I2433" s="15" t="str">
        <f>SUBSTITUTE(Sheet1!K2433, "Rp", "")</f>
        <v>510000</v>
      </c>
    </row>
    <row r="2434">
      <c r="A2434" s="8" t="s">
        <v>2660</v>
      </c>
      <c r="B2434" s="13" t="str">
        <f>HYPERLINK("https://shopee.co.id/Babor-Skinovage-Purifying-Serum-30-ML-i.131188140.5056372005", "https://shopee.co.id/Babor-Skinovage-Purifying-Serum-30-ML-i.131188140.5056372005")</f>
        <v>https://shopee.co.id/Babor-Skinovage-Purifying-Serum-30-ML-i.131188140.5056372005</v>
      </c>
      <c r="C2434" s="8" t="s">
        <v>1433</v>
      </c>
      <c r="D2434" s="8" t="s">
        <v>1434</v>
      </c>
      <c r="E2434" s="8" t="s">
        <v>12</v>
      </c>
      <c r="F2434" s="8" t="s">
        <v>13</v>
      </c>
      <c r="G2434" s="8" t="s">
        <v>61</v>
      </c>
      <c r="H2434" s="16">
        <v>1.0</v>
      </c>
      <c r="I2434" s="15" t="str">
        <f>SUBSTITUTE(Sheet1!K2434, "Rp", "")</f>
        <v>1300000</v>
      </c>
    </row>
    <row r="2435">
      <c r="A2435" s="8" t="s">
        <v>2639</v>
      </c>
      <c r="B2435" s="13" t="str">
        <f>HYPERLINK("https://shopee.co.id/Babor-Skinovage-Vitalizing-Cream-Rich-50-ML-i.131188140.7356326719", "https://shopee.co.id/Babor-Skinovage-Vitalizing-Cream-Rich-50-ML-i.131188140.7356326719")</f>
        <v>https://shopee.co.id/Babor-Skinovage-Vitalizing-Cream-Rich-50-ML-i.131188140.7356326719</v>
      </c>
      <c r="C2435" s="8" t="s">
        <v>1433</v>
      </c>
      <c r="D2435" s="8" t="s">
        <v>1434</v>
      </c>
      <c r="E2435" s="8" t="s">
        <v>12</v>
      </c>
      <c r="F2435" s="8" t="s">
        <v>13</v>
      </c>
      <c r="G2435" s="8" t="s">
        <v>61</v>
      </c>
      <c r="H2435" s="16">
        <v>1.0</v>
      </c>
      <c r="I2435" s="15" t="str">
        <f>SUBSTITUTE(Sheet1!K2435, "Rp", "")</f>
        <v>1350000</v>
      </c>
    </row>
    <row r="2436">
      <c r="A2436" s="8" t="s">
        <v>3503</v>
      </c>
      <c r="B2436" s="13" t="str">
        <f>HYPERLINK("https://shopee.co.id/BeautieSS-Age-Delay-Illuminating-Serum-X-Okky-Asokawati-i.48098269.8667905654", "https://shopee.co.id/BeautieSS-Age-Delay-Illuminating-Serum-X-Okky-Asokawati-i.48098269.8667905654")</f>
        <v>https://shopee.co.id/BeautieSS-Age-Delay-Illuminating-Serum-X-Okky-Asokawati-i.48098269.8667905654</v>
      </c>
      <c r="C2436" s="8" t="s">
        <v>3165</v>
      </c>
      <c r="D2436" s="8" t="s">
        <v>3166</v>
      </c>
      <c r="E2436" s="8" t="s">
        <v>12</v>
      </c>
      <c r="F2436" s="8" t="s">
        <v>13</v>
      </c>
      <c r="G2436" s="8" t="s">
        <v>241</v>
      </c>
      <c r="H2436" s="16">
        <v>1.0</v>
      </c>
      <c r="I2436" s="15" t="str">
        <f>SUBSTITUTE(Sheet1!K2436, "Rp", "")</f>
        <v>285000</v>
      </c>
    </row>
    <row r="2437">
      <c r="A2437" s="8" t="s">
        <v>3689</v>
      </c>
      <c r="B2437" s="13" t="str">
        <f>HYPERLINK("https://shopee.co.id/BeautieSS-Skin-Solution-Vitamin-C-Collagen-Serum-dengan-Hyaluronic-Acid-i.48098269.759461980", "https://shopee.co.id/BeautieSS-Skin-Solution-Vitamin-C-Collagen-Serum-dengan-Hyaluronic-Acid-i.48098269.759461980")</f>
        <v>https://shopee.co.id/BeautieSS-Skin-Solution-Vitamin-C-Collagen-Serum-dengan-Hyaluronic-Acid-i.48098269.759461980</v>
      </c>
      <c r="C2437" s="8" t="s">
        <v>3377</v>
      </c>
      <c r="D2437" s="8" t="s">
        <v>3166</v>
      </c>
      <c r="E2437" s="8" t="s">
        <v>12</v>
      </c>
      <c r="F2437" s="8" t="s">
        <v>13</v>
      </c>
      <c r="G2437" s="8" t="s">
        <v>241</v>
      </c>
      <c r="H2437" s="16">
        <v>1.0</v>
      </c>
      <c r="I2437" s="15" t="str">
        <f>SUBSTITUTE(Sheet1!K2437, "Rp", "")</f>
        <v>185000</v>
      </c>
    </row>
    <row r="2438">
      <c r="A2438" s="8" t="s">
        <v>3698</v>
      </c>
      <c r="B2438" s="13" t="str">
        <f>HYPERLINK("https://shopee.co.id/Beautybarme-Cosrx-Hyaluronic-Acid-Hydra-Power-Essence-100-Ml-i.28781862.3974754126", "https://shopee.co.id/Beautybarme-Cosrx-Hyaluronic-Acid-Hydra-Power-Essence-100-Ml-i.28781862.3974754126")</f>
        <v>https://shopee.co.id/Beautybarme-Cosrx-Hyaluronic-Acid-Hydra-Power-Essence-100-Ml-i.28781862.3974754126</v>
      </c>
      <c r="C2438" s="8" t="s">
        <v>305</v>
      </c>
      <c r="D2438" s="8" t="s">
        <v>1189</v>
      </c>
      <c r="E2438" s="8" t="s">
        <v>12</v>
      </c>
      <c r="F2438" s="8" t="s">
        <v>13</v>
      </c>
      <c r="G2438" s="8" t="s">
        <v>1190</v>
      </c>
      <c r="H2438" s="16">
        <v>1.0</v>
      </c>
      <c r="I2438" s="15" t="str">
        <f>SUBSTITUTE(Sheet1!K2438, "Rp", "")</f>
        <v>179000</v>
      </c>
    </row>
    <row r="2439">
      <c r="A2439" s="8" t="s">
        <v>3797</v>
      </c>
      <c r="B2439" s="13" t="str">
        <f>HYPERLINK("https://shopee.co.id/Beautybarme-Jarkeen-All-Product-Bpom-i.28781862.1120344961", "https://shopee.co.id/Beautybarme-Jarkeen-All-Product-Bpom-i.28781862.1120344961")</f>
        <v>https://shopee.co.id/Beautybarme-Jarkeen-All-Product-Bpom-i.28781862.1120344961</v>
      </c>
      <c r="C2439" s="8" t="s">
        <v>3798</v>
      </c>
      <c r="D2439" s="8" t="s">
        <v>1189</v>
      </c>
      <c r="E2439" s="8" t="s">
        <v>12</v>
      </c>
      <c r="F2439" s="8" t="s">
        <v>13</v>
      </c>
      <c r="G2439" s="8" t="s">
        <v>1190</v>
      </c>
      <c r="H2439" s="16">
        <v>1.0</v>
      </c>
      <c r="I2439" s="15" t="str">
        <f>SUBSTITUTE(Sheet1!K2439, "Rp", "")</f>
        <v>126000</v>
      </c>
    </row>
    <row r="2440">
      <c r="A2440" s="8" t="s">
        <v>3709</v>
      </c>
      <c r="B2440" s="13" t="str">
        <f>HYPERLINK("https://shopee.co.id/Beautybarme-Ms-Glow-whitening-Gold-Serum-bright-and-healthy-skin-i.28781862.10851762681", "https://shopee.co.id/Beautybarme-Ms-Glow-whitening-Gold-Serum-bright-and-healthy-skin-i.28781862.10851762681")</f>
        <v>https://shopee.co.id/Beautybarme-Ms-Glow-whitening-Gold-Serum-bright-and-healthy-skin-i.28781862.10851762681</v>
      </c>
      <c r="C2440" s="8" t="s">
        <v>96</v>
      </c>
      <c r="D2440" s="8" t="s">
        <v>1189</v>
      </c>
      <c r="E2440" s="8" t="s">
        <v>12</v>
      </c>
      <c r="F2440" s="8" t="s">
        <v>13</v>
      </c>
      <c r="G2440" s="8" t="s">
        <v>1190</v>
      </c>
      <c r="H2440" s="16">
        <v>1.0</v>
      </c>
      <c r="I2440" s="15" t="str">
        <f>SUBSTITUTE(Sheet1!K2440, "Rp", "")</f>
        <v>175000</v>
      </c>
    </row>
    <row r="2441">
      <c r="A2441" s="8" t="s">
        <v>3925</v>
      </c>
      <c r="B2441" s="13" t="str">
        <f>HYPERLINK("https://shopee.co.id/Beautybarme-Skin-Aqua-Tone-Up-Essence-Bpom-i.28781862.3547528924", "https://shopee.co.id/Beautybarme-Skin-Aqua-Tone-Up-Essence-Bpom-i.28781862.3547528924")</f>
        <v>https://shopee.co.id/Beautybarme-Skin-Aqua-Tone-Up-Essence-Bpom-i.28781862.3547528924</v>
      </c>
      <c r="C2441" s="8" t="s">
        <v>830</v>
      </c>
      <c r="D2441" s="8" t="s">
        <v>1189</v>
      </c>
      <c r="E2441" s="8" t="s">
        <v>12</v>
      </c>
      <c r="F2441" s="8" t="s">
        <v>13</v>
      </c>
      <c r="G2441" s="8" t="s">
        <v>1190</v>
      </c>
      <c r="H2441" s="16">
        <v>1.0</v>
      </c>
      <c r="I2441" s="15" t="str">
        <f>SUBSTITUTE(Sheet1!K2441, "Rp", "")</f>
        <v>69000</v>
      </c>
    </row>
    <row r="2442">
      <c r="A2442" s="8" t="s">
        <v>3971</v>
      </c>
      <c r="B2442" s="13" t="str">
        <f>HYPERLINK("https://shopee.co.id/Beli-1-Dapat-2-Hanasui-Vitamin-C-Collagen-Serum-20Ml-Vitamin-Wajah-Anti-Aging-i.185943783.4714604380", "https://shopee.co.id/Beli-1-Dapat-2-Hanasui-Vitamin-C-Collagen-Serum-20Ml-Vitamin-Wajah-Anti-Aging-i.185943783.4714604380")</f>
        <v>https://shopee.co.id/Beli-1-Dapat-2-Hanasui-Vitamin-C-Collagen-Serum-20Ml-Vitamin-Wajah-Anti-Aging-i.185943783.4714604380</v>
      </c>
      <c r="C2442" s="8" t="s">
        <v>784</v>
      </c>
      <c r="D2442" s="8" t="s">
        <v>3429</v>
      </c>
      <c r="E2442" s="8" t="s">
        <v>12</v>
      </c>
      <c r="F2442" s="8" t="s">
        <v>13</v>
      </c>
      <c r="G2442" s="8" t="s">
        <v>36</v>
      </c>
      <c r="H2442" s="16">
        <v>1.0</v>
      </c>
      <c r="I2442" s="15" t="str">
        <f>SUBSTITUTE(Sheet1!K2442, "Rp", "")</f>
        <v>33600</v>
      </c>
    </row>
    <row r="2443">
      <c r="A2443" s="8" t="s">
        <v>3686</v>
      </c>
      <c r="B2443" s="13" t="str">
        <f>HYPERLINK("https://shopee.co.id/BENTON-BENTON-Snail-Bee-High-Content-Essence-60ml--i.68111.605854003", "https://shopee.co.id/BENTON-BENTON-Snail-Bee-High-Content-Essence-60ml--i.68111.605854003")</f>
        <v>https://shopee.co.id/BENTON-BENTON-Snail-Bee-High-Content-Essence-60ml--i.68111.605854003</v>
      </c>
      <c r="C2443" s="8" t="s">
        <v>456</v>
      </c>
      <c r="D2443" s="8" t="s">
        <v>441</v>
      </c>
      <c r="E2443" s="8" t="s">
        <v>12</v>
      </c>
      <c r="F2443" s="8" t="s">
        <v>13</v>
      </c>
      <c r="G2443" s="8" t="s">
        <v>130</v>
      </c>
      <c r="H2443" s="16">
        <v>1.0</v>
      </c>
      <c r="I2443" s="15" t="str">
        <f>SUBSTITUTE(Sheet1!K2443, "Rp", "")</f>
        <v>186000</v>
      </c>
    </row>
    <row r="2444">
      <c r="A2444" s="8" t="s">
        <v>3532</v>
      </c>
      <c r="B2444" s="13" t="str">
        <f>HYPERLINK("https://shopee.co.id/Bhumi-G-Alpine-Brightening-Serum-30ml-i.825870.4703980177", "https://shopee.co.id/Bhumi-G-Alpine-Brightening-Serum-30ml-i.825870.4703980177")</f>
        <v>https://shopee.co.id/Bhumi-G-Alpine-Brightening-Serum-30ml-i.825870.4703980177</v>
      </c>
      <c r="C2444" s="8" t="s">
        <v>753</v>
      </c>
      <c r="D2444" s="8" t="s">
        <v>1184</v>
      </c>
      <c r="E2444" s="8" t="s">
        <v>12</v>
      </c>
      <c r="F2444" s="8" t="s">
        <v>13</v>
      </c>
      <c r="G2444" s="8" t="s">
        <v>21</v>
      </c>
      <c r="H2444" s="16">
        <v>1.0</v>
      </c>
      <c r="I2444" s="15" t="str">
        <f>SUBSTITUTE(Sheet1!K2444, "Rp", "")</f>
        <v>269000</v>
      </c>
    </row>
    <row r="2445">
      <c r="A2445" s="8" t="s">
        <v>3458</v>
      </c>
      <c r="B2445" s="13" t="str">
        <f>HYPERLINK("https://shopee.co.id/Bhumi-HPR-Retinol-Serum-30ml--i.10689.7573441191", "https://shopee.co.id/Bhumi-HPR-Retinol-Serum-30ml--i.10689.7573441191")</f>
        <v>https://shopee.co.id/Bhumi-HPR-Retinol-Serum-30ml--i.10689.7573441191</v>
      </c>
      <c r="C2445" s="8" t="s">
        <v>753</v>
      </c>
      <c r="D2445" s="8" t="s">
        <v>745</v>
      </c>
      <c r="E2445" s="8" t="s">
        <v>12</v>
      </c>
      <c r="F2445" s="8" t="s">
        <v>13</v>
      </c>
      <c r="G2445" s="8" t="s">
        <v>61</v>
      </c>
      <c r="H2445" s="16">
        <v>1.0</v>
      </c>
      <c r="I2445" s="15" t="str">
        <f>SUBSTITUTE(Sheet1!K2445, "Rp", "")</f>
        <v>313500</v>
      </c>
    </row>
    <row r="2446">
      <c r="A2446" s="8" t="s">
        <v>3516</v>
      </c>
      <c r="B2446" s="13" t="str">
        <f>HYPERLINK("https://shopee.co.id/Bio-Beauty-Lab-Phyto-Power-Essence-i.17081863.11107235694", "https://shopee.co.id/Bio-Beauty-Lab-Phyto-Power-Essence-i.17081863.11107235694")</f>
        <v>https://shopee.co.id/Bio-Beauty-Lab-Phyto-Power-Essence-i.17081863.11107235694</v>
      </c>
      <c r="C2446" s="8" t="s">
        <v>120</v>
      </c>
      <c r="D2446" s="8" t="s">
        <v>2497</v>
      </c>
      <c r="E2446" s="8" t="s">
        <v>12</v>
      </c>
      <c r="F2446" s="8" t="s">
        <v>13</v>
      </c>
      <c r="G2446" s="8" t="s">
        <v>21</v>
      </c>
      <c r="H2446" s="16">
        <v>1.0</v>
      </c>
      <c r="I2446" s="15" t="str">
        <f>SUBSTITUTE(Sheet1!K2446, "Rp", "")</f>
        <v>280000</v>
      </c>
    </row>
    <row r="2447">
      <c r="A2447" s="8" t="s">
        <v>3187</v>
      </c>
      <c r="B2447" s="13" t="str">
        <f>HYPERLINK("https://shopee.co.id/Bio-Beauty-Lab-Phyto-Power-Essence-50ml-i.10689.10210949971", "https://shopee.co.id/Bio-Beauty-Lab-Phyto-Power-Essence-50ml-i.10689.10210949971")</f>
        <v>https://shopee.co.id/Bio-Beauty-Lab-Phyto-Power-Essence-50ml-i.10689.10210949971</v>
      </c>
      <c r="C2447" s="8" t="s">
        <v>120</v>
      </c>
      <c r="D2447" s="8" t="s">
        <v>745</v>
      </c>
      <c r="E2447" s="8" t="s">
        <v>12</v>
      </c>
      <c r="F2447" s="8" t="s">
        <v>13</v>
      </c>
      <c r="G2447" s="8" t="s">
        <v>61</v>
      </c>
      <c r="H2447" s="16">
        <v>1.0</v>
      </c>
      <c r="I2447" s="15" t="str">
        <f>SUBSTITUTE(Sheet1!K2447, "Rp", "")</f>
        <v>280000</v>
      </c>
    </row>
    <row r="2448">
      <c r="A2448" s="8" t="s">
        <v>3810</v>
      </c>
      <c r="B2448" s="13" t="str">
        <f>HYPERLINK("https://shopee.co.id/Bio-Essence-24K-Bio-Gold-Day-Cream-40g-i.10689.6513678920", "https://shopee.co.id/Bio-Essence-24K-Bio-Gold-Day-Cream-40g-i.10689.6513678920")</f>
        <v>https://shopee.co.id/Bio-Essence-24K-Bio-Gold-Day-Cream-40g-i.10689.6513678920</v>
      </c>
      <c r="C2448" s="8" t="s">
        <v>834</v>
      </c>
      <c r="D2448" s="8" t="s">
        <v>745</v>
      </c>
      <c r="E2448" s="8" t="s">
        <v>12</v>
      </c>
      <c r="F2448" s="8" t="s">
        <v>13</v>
      </c>
      <c r="G2448" s="8" t="s">
        <v>61</v>
      </c>
      <c r="H2448" s="16">
        <v>1.0</v>
      </c>
      <c r="I2448" s="15" t="str">
        <f>SUBSTITUTE(Sheet1!K2448, "Rp", "")</f>
        <v>119600</v>
      </c>
    </row>
    <row r="2449">
      <c r="A2449" s="8" t="s">
        <v>3475</v>
      </c>
      <c r="B2449" s="13" t="str">
        <f>HYPERLINK("https://shopee.co.id/Bio-Essence-24K-Gold-Day-Cream-SPF25-40-g-i.186214521.7803971931", "https://shopee.co.id/Bio-Essence-24K-Gold-Day-Cream-SPF25-40-g-i.186214521.7803971931")</f>
        <v>https://shopee.co.id/Bio-Essence-24K-Gold-Day-Cream-SPF25-40-g-i.186214521.7803971931</v>
      </c>
      <c r="C2449" s="8" t="s">
        <v>1254</v>
      </c>
      <c r="D2449" s="8" t="s">
        <v>2293</v>
      </c>
      <c r="E2449" s="8" t="s">
        <v>12</v>
      </c>
      <c r="F2449" s="8" t="s">
        <v>13</v>
      </c>
      <c r="G2449" s="8" t="s">
        <v>61</v>
      </c>
      <c r="H2449" s="16">
        <v>1.0</v>
      </c>
      <c r="I2449" s="15" t="str">
        <f>SUBSTITUTE(Sheet1!K2449, "Rp", "")</f>
        <v>299000</v>
      </c>
    </row>
    <row r="2450">
      <c r="A2450" s="8" t="s">
        <v>3807</v>
      </c>
      <c r="B2450" s="13" t="str">
        <f>HYPERLINK("https://shopee.co.id/Bio-Essence-Bio-Water-Energizing-Water-100ml-i.30736001.7687503092", "https://shopee.co.id/Bio-Essence-Bio-Water-Energizing-Water-100ml-i.30736001.7687503092")</f>
        <v>https://shopee.co.id/Bio-Essence-Bio-Water-Energizing-Water-100ml-i.30736001.7687503092</v>
      </c>
      <c r="C2450" s="8" t="s">
        <v>1254</v>
      </c>
      <c r="D2450" s="8" t="s">
        <v>335</v>
      </c>
      <c r="E2450" s="8" t="s">
        <v>12</v>
      </c>
      <c r="F2450" s="8" t="s">
        <v>13</v>
      </c>
      <c r="G2450" s="8" t="s">
        <v>36</v>
      </c>
      <c r="H2450" s="16">
        <v>1.0</v>
      </c>
      <c r="I2450" s="15" t="str">
        <f>SUBSTITUTE(Sheet1!K2450, "Rp", "")</f>
        <v>120000</v>
      </c>
    </row>
    <row r="2451">
      <c r="A2451" s="8" t="s">
        <v>3476</v>
      </c>
      <c r="B2451" s="13" t="str">
        <f>HYPERLINK("https://shopee.co.id/Bio-Essence-Bio-Gold-Day-Cream-SPF25-PA-40g-i.30736001.10300508189", "https://shopee.co.id/Bio-Essence-Bio-Gold-Day-Cream-SPF25-PA-40g-i.30736001.10300508189")</f>
        <v>https://shopee.co.id/Bio-Essence-Bio-Gold-Day-Cream-SPF25-PA-40g-i.30736001.10300508189</v>
      </c>
      <c r="C2451" s="8" t="s">
        <v>834</v>
      </c>
      <c r="D2451" s="8" t="s">
        <v>335</v>
      </c>
      <c r="E2451" s="8" t="s">
        <v>12</v>
      </c>
      <c r="F2451" s="8" t="s">
        <v>13</v>
      </c>
      <c r="G2451" s="8" t="s">
        <v>36</v>
      </c>
      <c r="H2451" s="16">
        <v>1.0</v>
      </c>
      <c r="I2451" s="15" t="str">
        <f>SUBSTITUTE(Sheet1!K2451, "Rp", "")</f>
        <v>299000</v>
      </c>
    </row>
    <row r="2452">
      <c r="A2452" s="8" t="s">
        <v>3099</v>
      </c>
      <c r="B2452" s="13" t="str">
        <f>HYPERLINK("https://shopee.co.id/Bio-Essence-Bio-Gold-Golden-Ratio-Double-Serum-36-gr-Twinpack-Special-i.63822287.4284994941", "https://shopee.co.id/Bio-Essence-Bio-Gold-Golden-Ratio-Double-Serum-36-gr-Twinpack-Special-i.63822287.4284994941")</f>
        <v>https://shopee.co.id/Bio-Essence-Bio-Gold-Golden-Ratio-Double-Serum-36-gr-Twinpack-Special-i.63822287.4284994941</v>
      </c>
      <c r="C2452" s="8" t="s">
        <v>834</v>
      </c>
      <c r="D2452" s="8" t="s">
        <v>835</v>
      </c>
      <c r="E2452" s="8" t="s">
        <v>12</v>
      </c>
      <c r="F2452" s="8" t="s">
        <v>13</v>
      </c>
      <c r="G2452" s="8" t="s">
        <v>61</v>
      </c>
      <c r="H2452" s="16">
        <v>1.0</v>
      </c>
      <c r="I2452" s="15" t="str">
        <f>SUBSTITUTE(Sheet1!K2452, "Rp", "")</f>
        <v>625500</v>
      </c>
    </row>
    <row r="2453">
      <c r="A2453" s="8" t="s">
        <v>3935</v>
      </c>
      <c r="B2453" s="13" t="str">
        <f>HYPERLINK("https://shopee.co.id/Bio-Essence-Bio-Renew-Deep-Cleanser-100gr-i.186214521.6331717110", "https://shopee.co.id/Bio-Essence-Bio-Renew-Deep-Cleanser-100gr-i.186214521.6331717110")</f>
        <v>https://shopee.co.id/Bio-Essence-Bio-Renew-Deep-Cleanser-100gr-i.186214521.6331717110</v>
      </c>
      <c r="C2453" s="8" t="s">
        <v>1254</v>
      </c>
      <c r="D2453" s="8" t="s">
        <v>2293</v>
      </c>
      <c r="E2453" s="8" t="s">
        <v>12</v>
      </c>
      <c r="F2453" s="8" t="s">
        <v>13</v>
      </c>
      <c r="G2453" s="8" t="s">
        <v>61</v>
      </c>
      <c r="H2453" s="16">
        <v>1.0</v>
      </c>
      <c r="I2453" s="15" t="str">
        <f>SUBSTITUTE(Sheet1!K2453, "Rp", "")</f>
        <v>60000</v>
      </c>
    </row>
    <row r="2454">
      <c r="A2454" s="8" t="s">
        <v>3652</v>
      </c>
      <c r="B2454" s="13" t="str">
        <f>HYPERLINK("https://shopee.co.id/Bio-Essence-Bio-Water-Moist-in-Water-Gel-50gr-i.186214521.6131717115", "https://shopee.co.id/Bio-Essence-Bio-Water-Moist-in-Water-Gel-50gr-i.186214521.6131717115")</f>
        <v>https://shopee.co.id/Bio-Essence-Bio-Water-Moist-in-Water-Gel-50gr-i.186214521.6131717115</v>
      </c>
      <c r="C2454" s="8" t="s">
        <v>2240</v>
      </c>
      <c r="D2454" s="8" t="s">
        <v>2293</v>
      </c>
      <c r="E2454" s="8" t="s">
        <v>12</v>
      </c>
      <c r="F2454" s="8" t="s">
        <v>13</v>
      </c>
      <c r="G2454" s="8" t="s">
        <v>61</v>
      </c>
      <c r="H2454" s="16">
        <v>1.0</v>
      </c>
      <c r="I2454" s="15" t="str">
        <f>SUBSTITUTE(Sheet1!K2454, "Rp", "")</f>
        <v>202000</v>
      </c>
    </row>
    <row r="2455">
      <c r="A2455" s="8" t="s">
        <v>3751</v>
      </c>
      <c r="B2455" s="13" t="str">
        <f>HYPERLINK("https://shopee.co.id/Bio-Essence-Renew-Exfoliating-Gel-60-g-i.186214521.3516895120", "https://shopee.co.id/Bio-Essence-Renew-Exfoliating-Gel-60-g-i.186214521.3516895120")</f>
        <v>https://shopee.co.id/Bio-Essence-Renew-Exfoliating-Gel-60-g-i.186214521.3516895120</v>
      </c>
      <c r="C2455" s="8" t="s">
        <v>1254</v>
      </c>
      <c r="D2455" s="8" t="s">
        <v>2293</v>
      </c>
      <c r="E2455" s="8" t="s">
        <v>12</v>
      </c>
      <c r="F2455" s="8" t="s">
        <v>13</v>
      </c>
      <c r="G2455" s="8" t="s">
        <v>61</v>
      </c>
      <c r="H2455" s="16">
        <v>1.0</v>
      </c>
      <c r="I2455" s="15" t="str">
        <f>SUBSTITUTE(Sheet1!K2455, "Rp", "")</f>
        <v>150000</v>
      </c>
    </row>
    <row r="2456">
      <c r="A2456" s="8" t="s">
        <v>2871</v>
      </c>
      <c r="B2456" s="13" t="str">
        <f>HYPERLINK("https://shopee.co.id/Bioderma-Hydrabio-Serum-40-ml-i.186214521.5616798909", "https://shopee.co.id/Bioderma-Hydrabio-Serum-40-ml-i.186214521.5616798909")</f>
        <v>https://shopee.co.id/Bioderma-Hydrabio-Serum-40-ml-i.186214521.5616798909</v>
      </c>
      <c r="C2456" s="8" t="s">
        <v>1387</v>
      </c>
      <c r="D2456" s="8" t="s">
        <v>2293</v>
      </c>
      <c r="E2456" s="8" t="s">
        <v>12</v>
      </c>
      <c r="F2456" s="8" t="s">
        <v>13</v>
      </c>
      <c r="G2456" s="8" t="s">
        <v>61</v>
      </c>
      <c r="H2456" s="16">
        <v>1.0</v>
      </c>
      <c r="I2456" s="15" t="str">
        <f>SUBSTITUTE(Sheet1!K2456, "Rp", "")</f>
        <v>346500</v>
      </c>
    </row>
    <row r="2457">
      <c r="A2457" s="8" t="s">
        <v>3202</v>
      </c>
      <c r="B2457" s="13" t="str">
        <f>HYPERLINK("https://shopee.co.id/BLITHE-PRESSED-SERUM-CRYSTAL-ICEPLANT-50-GR-i.53497038.1374816424", "https://shopee.co.id/BLITHE-PRESSED-SERUM-CRYSTAL-ICEPLANT-50-GR-i.53497038.1374816424")</f>
        <v>https://shopee.co.id/BLITHE-PRESSED-SERUM-CRYSTAL-ICEPLANT-50-GR-i.53497038.1374816424</v>
      </c>
      <c r="C2457" s="8" t="s">
        <v>1969</v>
      </c>
      <c r="D2457" s="8" t="s">
        <v>907</v>
      </c>
      <c r="E2457" s="8" t="s">
        <v>12</v>
      </c>
      <c r="F2457" s="8" t="s">
        <v>13</v>
      </c>
      <c r="G2457" s="8" t="s">
        <v>61</v>
      </c>
      <c r="H2457" s="16">
        <v>1.0</v>
      </c>
      <c r="I2457" s="15" t="str">
        <f>SUBSTITUTE(Sheet1!K2457, "Rp", "")</f>
        <v>518000</v>
      </c>
    </row>
    <row r="2458">
      <c r="A2458" s="8" t="s">
        <v>2974</v>
      </c>
      <c r="B2458" s="13" t="str">
        <f>HYPERLINK("https://shopee.co.id/BLITHE-PRESSED-SERUM-TUNDRA-CHAGA-50-GR-i.53497038.1374816417", "https://shopee.co.id/BLITHE-PRESSED-SERUM-TUNDRA-CHAGA-50-GR-i.53497038.1374816417")</f>
        <v>https://shopee.co.id/BLITHE-PRESSED-SERUM-TUNDRA-CHAGA-50-GR-i.53497038.1374816417</v>
      </c>
      <c r="C2458" s="8" t="s">
        <v>1969</v>
      </c>
      <c r="D2458" s="8" t="s">
        <v>907</v>
      </c>
      <c r="E2458" s="8" t="s">
        <v>12</v>
      </c>
      <c r="F2458" s="8" t="s">
        <v>13</v>
      </c>
      <c r="G2458" s="8" t="s">
        <v>61</v>
      </c>
      <c r="H2458" s="16">
        <v>1.0</v>
      </c>
      <c r="I2458" s="15" t="str">
        <f>SUBSTITUTE(Sheet1!K2458, "Rp", "")</f>
        <v>800000</v>
      </c>
    </row>
    <row r="2459">
      <c r="A2459" s="8" t="s">
        <v>3741</v>
      </c>
      <c r="B2459" s="13" t="str">
        <f>HYPERLINK("https://shopee.co.id/Bloomka-Edelweiss-Hyaluronate-Hydrating-Facial-Essence-100ml-i.825870.8118207945", "https://shopee.co.id/Bloomka-Edelweiss-Hyaluronate-Hydrating-Facial-Essence-100ml-i.825870.8118207945")</f>
        <v>https://shopee.co.id/Bloomka-Edelweiss-Hyaluronate-Hydrating-Facial-Essence-100ml-i.825870.8118207945</v>
      </c>
      <c r="C2459" s="8" t="s">
        <v>375</v>
      </c>
      <c r="D2459" s="8" t="s">
        <v>1184</v>
      </c>
      <c r="E2459" s="8" t="s">
        <v>12</v>
      </c>
      <c r="F2459" s="8" t="s">
        <v>13</v>
      </c>
      <c r="G2459" s="8" t="s">
        <v>21</v>
      </c>
      <c r="H2459" s="16">
        <v>1.0</v>
      </c>
      <c r="I2459" s="15" t="str">
        <f>SUBSTITUTE(Sheet1!K2459, "Rp", "")</f>
        <v>155000</v>
      </c>
    </row>
    <row r="2460">
      <c r="A2460" s="8" t="s">
        <v>3207</v>
      </c>
      <c r="B2460" s="13" t="str">
        <f>HYPERLINK("https://shopee.co.id/Botanity-Flavon-Serum-BUNDLE-i.203141970.4410556214", "https://shopee.co.id/Botanity-Flavon-Serum-BUNDLE-i.203141970.4410556214")</f>
        <v>https://shopee.co.id/Botanity-Flavon-Serum-BUNDLE-i.203141970.4410556214</v>
      </c>
      <c r="C2460" s="8" t="s">
        <v>1459</v>
      </c>
      <c r="D2460" s="8" t="s">
        <v>1460</v>
      </c>
      <c r="E2460" s="8" t="s">
        <v>12</v>
      </c>
      <c r="F2460" s="8" t="s">
        <v>13</v>
      </c>
      <c r="G2460" s="8" t="s">
        <v>21</v>
      </c>
      <c r="H2460" s="16">
        <v>1.0</v>
      </c>
      <c r="I2460" s="15" t="str">
        <f>SUBSTITUTE(Sheet1!K2460, "Rp", "")</f>
        <v>514710</v>
      </c>
    </row>
    <row r="2461">
      <c r="A2461" s="8" t="s">
        <v>3369</v>
      </c>
      <c r="B2461" s="13" t="str">
        <f>HYPERLINK("https://shopee.co.id/Botanity-Set-2-Flavon-Serum-Intensive-Cream--i.203141970.3148623619", "https://shopee.co.id/Botanity-Set-2-Flavon-Serum-Intensive-Cream--i.203141970.3148623619")</f>
        <v>https://shopee.co.id/Botanity-Set-2-Flavon-Serum-Intensive-Cream--i.203141970.3148623619</v>
      </c>
      <c r="C2461" s="8" t="s">
        <v>1459</v>
      </c>
      <c r="D2461" s="8" t="s">
        <v>1460</v>
      </c>
      <c r="E2461" s="8" t="s">
        <v>12</v>
      </c>
      <c r="F2461" s="8" t="s">
        <v>13</v>
      </c>
      <c r="G2461" s="8" t="s">
        <v>21</v>
      </c>
      <c r="H2461" s="16">
        <v>1.0</v>
      </c>
      <c r="I2461" s="15" t="str">
        <f>SUBSTITUTE(Sheet1!K2461, "Rp", "")</f>
        <v>381600</v>
      </c>
    </row>
    <row r="2462">
      <c r="A2462" s="8" t="s">
        <v>3957</v>
      </c>
      <c r="B2462" s="13" t="str">
        <f>HYPERLINK("https://shopee.co.id/BREYLEE-Serum-Hyaluronic-Acid-Melembabkan-Wajah-17ml-i.68111.9253334980", "https://shopee.co.id/BREYLEE-Serum-Hyaluronic-Acid-Melembabkan-Wajah-17ml-i.68111.9253334980")</f>
        <v>https://shopee.co.id/BREYLEE-Serum-Hyaluronic-Acid-Melembabkan-Wajah-17ml-i.68111.9253334980</v>
      </c>
      <c r="C2462" s="8" t="s">
        <v>852</v>
      </c>
      <c r="D2462" s="8" t="s">
        <v>441</v>
      </c>
      <c r="E2462" s="8" t="s">
        <v>12</v>
      </c>
      <c r="F2462" s="8" t="s">
        <v>13</v>
      </c>
      <c r="G2462" s="8" t="s">
        <v>130</v>
      </c>
      <c r="H2462" s="16">
        <v>1.0</v>
      </c>
      <c r="I2462" s="15" t="str">
        <f>SUBSTITUTE(Sheet1!K2462, "Rp", "")</f>
        <v>46550</v>
      </c>
    </row>
    <row r="2463">
      <c r="A2463" s="8" t="s">
        <v>3958</v>
      </c>
      <c r="B2463" s="13" t="str">
        <f>HYPERLINK("https://shopee.co.id/BREYLEE-Serum-Rose-Hydrating-Menyegarkan-dan-Melembabkan-17ml-i.68111.8453349062", "https://shopee.co.id/BREYLEE-Serum-Rose-Hydrating-Menyegarkan-dan-Melembabkan-17ml-i.68111.8453349062")</f>
        <v>https://shopee.co.id/BREYLEE-Serum-Rose-Hydrating-Menyegarkan-dan-Melembabkan-17ml-i.68111.8453349062</v>
      </c>
      <c r="C2463" s="8" t="s">
        <v>852</v>
      </c>
      <c r="D2463" s="8" t="s">
        <v>441</v>
      </c>
      <c r="E2463" s="8" t="s">
        <v>12</v>
      </c>
      <c r="F2463" s="8" t="s">
        <v>13</v>
      </c>
      <c r="G2463" s="8" t="s">
        <v>130</v>
      </c>
      <c r="H2463" s="16">
        <v>1.0</v>
      </c>
      <c r="I2463" s="15" t="str">
        <f>SUBSTITUTE(Sheet1!K2463, "Rp", "")</f>
        <v>46550</v>
      </c>
    </row>
    <row r="2464">
      <c r="A2464" s="8" t="s">
        <v>3965</v>
      </c>
      <c r="B2464" s="13" t="str">
        <f>HYPERLINK("https://shopee.co.id/Breylee-Serum-Wajah-All-Varian-17ml-i.136011044.8225328126", "https://shopee.co.id/Breylee-Serum-Wajah-All-Varian-17ml-i.136011044.8225328126")</f>
        <v>https://shopee.co.id/Breylee-Serum-Wajah-All-Varian-17ml-i.136011044.8225328126</v>
      </c>
      <c r="C2464" s="8" t="s">
        <v>852</v>
      </c>
      <c r="D2464" s="8" t="s">
        <v>632</v>
      </c>
      <c r="E2464" s="8" t="s">
        <v>12</v>
      </c>
      <c r="F2464" s="8" t="s">
        <v>13</v>
      </c>
      <c r="G2464" s="8" t="s">
        <v>21</v>
      </c>
      <c r="H2464" s="16">
        <v>1.0</v>
      </c>
      <c r="I2464" s="15" t="str">
        <f>SUBSTITUTE(Sheet1!K2464, "Rp", "")</f>
        <v>39900</v>
      </c>
    </row>
    <row r="2465">
      <c r="A2465" s="8" t="s">
        <v>3850</v>
      </c>
      <c r="B2465" s="13" t="str">
        <f>HYPERLINK("https://shopee.co.id/Briella-Fruity-Serum-C-Serum-Vitamin-C-Wajah-Briella-Skincare-i.142352486.2655381680", "https://shopee.co.id/Briella-Fruity-Serum-C-Serum-Vitamin-C-Wajah-Briella-Skincare-i.142352486.2655381680")</f>
        <v>https://shopee.co.id/Briella-Fruity-Serum-C-Serum-Vitamin-C-Wajah-Briella-Skincare-i.142352486.2655381680</v>
      </c>
      <c r="C2465" s="8" t="s">
        <v>3851</v>
      </c>
      <c r="D2465" s="8" t="s">
        <v>3852</v>
      </c>
      <c r="E2465" s="8" t="s">
        <v>12</v>
      </c>
      <c r="F2465" s="8" t="s">
        <v>13</v>
      </c>
      <c r="G2465" s="8" t="s">
        <v>98</v>
      </c>
      <c r="H2465" s="16">
        <v>1.0</v>
      </c>
      <c r="I2465" s="15" t="str">
        <f>SUBSTITUTE(Sheet1!K2465, "Rp", "")</f>
        <v>103200</v>
      </c>
    </row>
    <row r="2466">
      <c r="A2466" s="8" t="s">
        <v>3853</v>
      </c>
      <c r="B2466" s="13" t="str">
        <f>HYPERLINK("https://shopee.co.id/Briella-Serum-Vit-C-Fruity-Serum-C-X-Brilova-Love-Matte-Lipcream-Paket--i.142352486.7089144680", "https://shopee.co.id/Briella-Serum-Vit-C-Fruity-Serum-C-X-Brilova-Love-Matte-Lipcream-Paket--i.142352486.7089144680")</f>
        <v>https://shopee.co.id/Briella-Serum-Vit-C-Fruity-Serum-C-X-Brilova-Love-Matte-Lipcream-Paket--i.142352486.7089144680</v>
      </c>
      <c r="C2466" s="8" t="s">
        <v>3851</v>
      </c>
      <c r="D2466" s="8" t="s">
        <v>3852</v>
      </c>
      <c r="E2466" s="8" t="s">
        <v>12</v>
      </c>
      <c r="F2466" s="8" t="s">
        <v>13</v>
      </c>
      <c r="G2466" s="8" t="s">
        <v>98</v>
      </c>
      <c r="H2466" s="16">
        <v>1.0</v>
      </c>
      <c r="I2466" s="15" t="str">
        <f>SUBSTITUTE(Sheet1!K2466, "Rp", "")</f>
        <v>101250</v>
      </c>
    </row>
    <row r="2467">
      <c r="A2467" s="8" t="s">
        <v>3699</v>
      </c>
      <c r="B2467" s="13" t="str">
        <f>HYPERLINK("https://shopee.co.id/Bundle-Neogen-Dermalogy-Gauze-Peeling-Pad-GreenTea-Sachet-3pcs-x-Skinmee-Dualmee-Series-Universal-i.61523009.10931967962", "https://shopee.co.id/Bundle-Neogen-Dermalogy-Gauze-Peeling-Pad-GreenTea-Sachet-3pcs-x-Skinmee-Dualmee-Series-Universal-i.61523009.10931967962")</f>
        <v>https://shopee.co.id/Bundle-Neogen-Dermalogy-Gauze-Peeling-Pad-GreenTea-Sachet-3pcs-x-Skinmee-Dualmee-Series-Universal-i.61523009.10931967962</v>
      </c>
      <c r="C2467" s="8" t="s">
        <v>1141</v>
      </c>
      <c r="D2467" s="8" t="s">
        <v>2094</v>
      </c>
      <c r="E2467" s="8" t="s">
        <v>12</v>
      </c>
      <c r="F2467" s="8" t="s">
        <v>13</v>
      </c>
      <c r="G2467" s="8" t="s">
        <v>98</v>
      </c>
      <c r="H2467" s="16">
        <v>1.0</v>
      </c>
      <c r="I2467" s="15" t="str">
        <f>SUBSTITUTE(Sheet1!K2467, "Rp", "")</f>
        <v>179000</v>
      </c>
    </row>
    <row r="2468">
      <c r="A2468" s="8" t="s">
        <v>3678</v>
      </c>
      <c r="B2468" s="13" t="str">
        <f>HYPERLINK("https://shopee.co.id/Bundle-Skinmee-Shine-Bright-x-Neogen-Dermalogy-Lemon-Sachet-3Pcs-i.426361756.10631921906", "https://shopee.co.id/Bundle-Skinmee-Shine-Bright-x-Neogen-Dermalogy-Lemon-Sachet-3Pcs-i.426361756.10631921906")</f>
        <v>https://shopee.co.id/Bundle-Skinmee-Shine-Bright-x-Neogen-Dermalogy-Lemon-Sachet-3Pcs-i.426361756.10631921906</v>
      </c>
      <c r="C2468" s="8" t="s">
        <v>1141</v>
      </c>
      <c r="D2468" s="8" t="s">
        <v>1142</v>
      </c>
      <c r="E2468" s="8" t="s">
        <v>12</v>
      </c>
      <c r="F2468" s="8" t="s">
        <v>13</v>
      </c>
      <c r="G2468" s="8" t="s">
        <v>98</v>
      </c>
      <c r="H2468" s="16">
        <v>1.0</v>
      </c>
      <c r="I2468" s="15" t="str">
        <f>SUBSTITUTE(Sheet1!K2468, "Rp", "")</f>
        <v>189400</v>
      </c>
    </row>
    <row r="2469">
      <c r="A2469" s="8" t="s">
        <v>3956</v>
      </c>
      <c r="B2469" s="13" t="str">
        <f>HYPERLINK("https://shopee.co.id/Bundling-3-Hanasui-Vitamin-C-Serum-20Ml-Serum-Wajah-Pelembab-Wajah-Vitamin-Wajah-i.185943783.6814880029", "https://shopee.co.id/Bundling-3-Hanasui-Vitamin-C-Serum-20Ml-Serum-Wajah-Pelembab-Wajah-Vitamin-Wajah-i.185943783.6814880029")</f>
        <v>https://shopee.co.id/Bundling-3-Hanasui-Vitamin-C-Serum-20Ml-Serum-Wajah-Pelembab-Wajah-Vitamin-Wajah-i.185943783.6814880029</v>
      </c>
      <c r="C2469" s="8" t="s">
        <v>784</v>
      </c>
      <c r="D2469" s="8" t="s">
        <v>3429</v>
      </c>
      <c r="E2469" s="8" t="s">
        <v>12</v>
      </c>
      <c r="F2469" s="8" t="s">
        <v>13</v>
      </c>
      <c r="G2469" s="8" t="s">
        <v>36</v>
      </c>
      <c r="H2469" s="16">
        <v>1.0</v>
      </c>
      <c r="I2469" s="15" t="str">
        <f>SUBSTITUTE(Sheet1!K2469, "Rp", "")</f>
        <v>47500</v>
      </c>
    </row>
    <row r="2470">
      <c r="A2470" s="8" t="s">
        <v>3920</v>
      </c>
      <c r="B2470" s="13" t="str">
        <f>HYPERLINK("https://shopee.co.id/BUNDLING-Pure-Essence-Acne-Series-i.18856010.3414716928", "https://shopee.co.id/BUNDLING-Pure-Essence-Acne-Series-i.18856010.3414716928")</f>
        <v>https://shopee.co.id/BUNDLING-Pure-Essence-Acne-Series-i.18856010.3414716928</v>
      </c>
      <c r="C2470" s="8" t="s">
        <v>2265</v>
      </c>
      <c r="D2470" s="8" t="s">
        <v>2266</v>
      </c>
      <c r="E2470" s="8" t="s">
        <v>12</v>
      </c>
      <c r="F2470" s="8" t="s">
        <v>13</v>
      </c>
      <c r="G2470" s="8" t="s">
        <v>21</v>
      </c>
      <c r="H2470" s="16">
        <v>1.0</v>
      </c>
      <c r="I2470" s="15" t="str">
        <f>SUBSTITUTE(Sheet1!K2470, "Rp", "")</f>
        <v>70500</v>
      </c>
    </row>
    <row r="2471">
      <c r="A2471" s="8" t="s">
        <v>3460</v>
      </c>
      <c r="B2471" s="13" t="str">
        <f>HYPERLINK("https://shopee.co.id/BY-ECOM-Pure-Calming-Ampoule-30-ml-i.125116082.7555105279", "https://shopee.co.id/BY-ECOM-Pure-Calming-Ampoule-30-ml-i.125116082.7555105279")</f>
        <v>https://shopee.co.id/BY-ECOM-Pure-Calming-Ampoule-30-ml-i.125116082.7555105279</v>
      </c>
      <c r="C2471" s="8" t="s">
        <v>3461</v>
      </c>
      <c r="D2471" s="8" t="s">
        <v>713</v>
      </c>
      <c r="E2471" s="8" t="s">
        <v>12</v>
      </c>
      <c r="F2471" s="8" t="s">
        <v>13</v>
      </c>
      <c r="G2471" s="8" t="s">
        <v>61</v>
      </c>
      <c r="H2471" s="16">
        <v>1.0</v>
      </c>
      <c r="I2471" s="15" t="str">
        <f>SUBSTITUTE(Sheet1!K2471, "Rp", "")</f>
        <v>312000</v>
      </c>
    </row>
    <row r="2472">
      <c r="A2472" s="8" t="s">
        <v>3393</v>
      </c>
      <c r="B2472" s="13" t="str">
        <f>HYPERLINK("https://shopee.co.id/Clay-Botanicals-Hampers-i.57616006.9245667546", "https://shopee.co.id/Clay-Botanicals-Hampers-i.57616006.9245667546")</f>
        <v>https://shopee.co.id/Clay-Botanicals-Hampers-i.57616006.9245667546</v>
      </c>
      <c r="C2472" s="8" t="s">
        <v>3394</v>
      </c>
      <c r="D2472" s="8" t="s">
        <v>3395</v>
      </c>
      <c r="E2472" s="8" t="s">
        <v>12</v>
      </c>
      <c r="F2472" s="8" t="s">
        <v>13</v>
      </c>
      <c r="G2472" s="8" t="s">
        <v>409</v>
      </c>
      <c r="H2472" s="16">
        <v>1.0</v>
      </c>
      <c r="I2472" s="15" t="str">
        <f>SUBSTITUTE(Sheet1!K2472, "Rp", "")</f>
        <v>369000</v>
      </c>
    </row>
    <row r="2473">
      <c r="A2473" s="8" t="s">
        <v>2936</v>
      </c>
      <c r="B2473" s="13" t="str">
        <f>HYPERLINK("https://shopee.co.id/CLINELLE-Special-Hampers-Caviar-Gold-Firming-Dream-Team-i.173963911.3631945035", "https://shopee.co.id/CLINELLE-Special-Hampers-Caviar-Gold-Firming-Dream-Team-i.173963911.3631945035")</f>
        <v>https://shopee.co.id/CLINELLE-Special-Hampers-Caviar-Gold-Firming-Dream-Team-i.173963911.3631945035</v>
      </c>
      <c r="C2473" s="8" t="s">
        <v>1456</v>
      </c>
      <c r="D2473" s="8" t="s">
        <v>1457</v>
      </c>
      <c r="E2473" s="8" t="s">
        <v>12</v>
      </c>
      <c r="F2473" s="8" t="s">
        <v>13</v>
      </c>
      <c r="G2473" s="8" t="s">
        <v>21</v>
      </c>
      <c r="H2473" s="16">
        <v>1.0</v>
      </c>
      <c r="I2473" s="15" t="str">
        <f>SUBSTITUTE(Sheet1!K2473, "Rp", "")</f>
        <v>846600</v>
      </c>
    </row>
    <row r="2474">
      <c r="A2474" s="8" t="s">
        <v>3142</v>
      </c>
      <c r="B2474" s="13" t="str">
        <f>HYPERLINK("https://shopee.co.id/CLINELLE-Special-Bundling-Caviar-Gold-Firming-Eye-Serum-Caviar-Gold-Firming-Serum-i.173963911.2813887368", "https://shopee.co.id/CLINELLE-Special-Bundling-Caviar-Gold-Firming-Eye-Serum-Caviar-Gold-Firming-Serum-i.173963911.2813887368")</f>
        <v>https://shopee.co.id/CLINELLE-Special-Bundling-Caviar-Gold-Firming-Eye-Serum-Caviar-Gold-Firming-Serum-i.173963911.2813887368</v>
      </c>
      <c r="C2474" s="8" t="s">
        <v>1456</v>
      </c>
      <c r="D2474" s="8" t="s">
        <v>1457</v>
      </c>
      <c r="E2474" s="8" t="s">
        <v>12</v>
      </c>
      <c r="F2474" s="8" t="s">
        <v>13</v>
      </c>
      <c r="G2474" s="8" t="s">
        <v>21</v>
      </c>
      <c r="H2474" s="16">
        <v>1.0</v>
      </c>
      <c r="I2474" s="15" t="str">
        <f>SUBSTITUTE(Sheet1!K2474, "Rp", "")</f>
        <v>576300</v>
      </c>
    </row>
    <row r="2475">
      <c r="A2475" s="8" t="s">
        <v>3654</v>
      </c>
      <c r="B2475" s="13" t="str">
        <f>HYPERLINK("https://shopee.co.id/Clove-Flower-Turmeric-Anti-Aging-Serum-Deluxe--i.69878037.3827832132", "https://shopee.co.id/Clove-Flower-Turmeric-Anti-Aging-Serum-Deluxe--i.69878037.3827832132")</f>
        <v>https://shopee.co.id/Clove-Flower-Turmeric-Anti-Aging-Serum-Deluxe--i.69878037.3827832132</v>
      </c>
      <c r="C2475" s="8" t="s">
        <v>3655</v>
      </c>
      <c r="D2475" s="8" t="s">
        <v>3656</v>
      </c>
      <c r="E2475" s="8" t="s">
        <v>12</v>
      </c>
      <c r="F2475" s="8" t="s">
        <v>13</v>
      </c>
      <c r="G2475" s="8" t="s">
        <v>532</v>
      </c>
      <c r="H2475" s="16">
        <v>1.0</v>
      </c>
      <c r="I2475" s="15" t="str">
        <f>SUBSTITUTE(Sheet1!K2475, "Rp", "")</f>
        <v>200000</v>
      </c>
    </row>
    <row r="2476">
      <c r="A2476" s="8" t="s">
        <v>3617</v>
      </c>
      <c r="B2476" s="13" t="str">
        <f>HYPERLINK("https://shopee.co.id/COSRX-Hyaluronic-Acid-Hydra-Power-Essence-100ml-i.825870.7049864976", "https://shopee.co.id/COSRX-Hyaluronic-Acid-Hydra-Power-Essence-100ml-i.825870.7049864976")</f>
        <v>https://shopee.co.id/COSRX-Hyaluronic-Acid-Hydra-Power-Essence-100ml-i.825870.7049864976</v>
      </c>
      <c r="C2476" s="8" t="s">
        <v>305</v>
      </c>
      <c r="D2476" s="8" t="s">
        <v>1184</v>
      </c>
      <c r="E2476" s="8" t="s">
        <v>12</v>
      </c>
      <c r="F2476" s="8" t="s">
        <v>13</v>
      </c>
      <c r="G2476" s="8" t="s">
        <v>21</v>
      </c>
      <c r="H2476" s="16">
        <v>1.0</v>
      </c>
      <c r="I2476" s="15" t="str">
        <f>SUBSTITUTE(Sheet1!K2476, "Rp", "")</f>
        <v>218700</v>
      </c>
    </row>
    <row r="2477">
      <c r="A2477" s="8" t="s">
        <v>3468</v>
      </c>
      <c r="B2477" s="13" t="str">
        <f>HYPERLINK("https://shopee.co.id/Cosrx-Hydrium-Triple-Hyaluronic-Moisture-Ampoule-40ml-i.30736001.7592158034", "https://shopee.co.id/Cosrx-Hydrium-Triple-Hyaluronic-Moisture-Ampoule-40ml-i.30736001.7592158034")</f>
        <v>https://shopee.co.id/Cosrx-Hydrium-Triple-Hyaluronic-Moisture-Ampoule-40ml-i.30736001.7592158034</v>
      </c>
      <c r="C2477" s="8" t="s">
        <v>305</v>
      </c>
      <c r="D2477" s="8" t="s">
        <v>335</v>
      </c>
      <c r="E2477" s="8" t="s">
        <v>12</v>
      </c>
      <c r="F2477" s="8" t="s">
        <v>13</v>
      </c>
      <c r="G2477" s="8" t="s">
        <v>36</v>
      </c>
      <c r="H2477" s="16">
        <v>1.0</v>
      </c>
      <c r="I2477" s="15" t="str">
        <f>SUBSTITUTE(Sheet1!K2477, "Rp", "")</f>
        <v>303000</v>
      </c>
    </row>
    <row r="2478">
      <c r="A2478" s="8" t="s">
        <v>3235</v>
      </c>
      <c r="B2478" s="13" t="str">
        <f>HYPERLINK("https://shopee.co.id/Cremorlab-T-E-N-Miracle-The-Essence-120-ml-i.53497038.4689411555", "https://shopee.co.id/Cremorlab-T-E-N-Miracle-The-Essence-120-ml-i.53497038.4689411555")</f>
        <v>https://shopee.co.id/Cremorlab-T-E-N-Miracle-The-Essence-120-ml-i.53497038.4689411555</v>
      </c>
      <c r="C2478" s="8" t="s">
        <v>3236</v>
      </c>
      <c r="D2478" s="8" t="s">
        <v>907</v>
      </c>
      <c r="E2478" s="8" t="s">
        <v>12</v>
      </c>
      <c r="F2478" s="8" t="s">
        <v>13</v>
      </c>
      <c r="G2478" s="8" t="s">
        <v>61</v>
      </c>
      <c r="H2478" s="16">
        <v>1.0</v>
      </c>
      <c r="I2478" s="15" t="str">
        <f>SUBSTITUTE(Sheet1!K2478, "Rp", "")</f>
        <v>496000</v>
      </c>
    </row>
    <row r="2479">
      <c r="A2479" s="8" t="s">
        <v>3712</v>
      </c>
      <c r="B2479" s="13" t="str">
        <f>HYPERLINK("https://shopee.co.id/Daneen-Twin-Pack-3G-Ultra-Vitamin-C-Serum-10ml-i.328329669.4591378473", "https://shopee.co.id/Daneen-Twin-Pack-3G-Ultra-Vitamin-C-Serum-10ml-i.328329669.4591378473")</f>
        <v>https://shopee.co.id/Daneen-Twin-Pack-3G-Ultra-Vitamin-C-Serum-10ml-i.328329669.4591378473</v>
      </c>
      <c r="C2479" s="8" t="s">
        <v>2675</v>
      </c>
      <c r="D2479" s="8" t="s">
        <v>2676</v>
      </c>
      <c r="E2479" s="8" t="s">
        <v>12</v>
      </c>
      <c r="F2479" s="8" t="s">
        <v>13</v>
      </c>
      <c r="G2479" s="8" t="s">
        <v>36</v>
      </c>
      <c r="H2479" s="16">
        <v>1.0</v>
      </c>
      <c r="I2479" s="15" t="str">
        <f>SUBSTITUTE(Sheet1!K2479, "Rp", "")</f>
        <v>173600</v>
      </c>
    </row>
    <row r="2480">
      <c r="A2480" s="8" t="s">
        <v>3862</v>
      </c>
      <c r="B2480" s="13" t="str">
        <f>HYPERLINK("https://shopee.co.id/Dear-Me-Beauty-2-Salicylic-Acid-BHA-Lemon-Extract-Face-Serum-i.10689.10613126611", "https://shopee.co.id/Dear-Me-Beauty-2-Salicylic-Acid-BHA-Lemon-Extract-Face-Serum-i.10689.10613126611")</f>
        <v>https://shopee.co.id/Dear-Me-Beauty-2-Salicylic-Acid-BHA-Lemon-Extract-Face-Serum-i.10689.10613126611</v>
      </c>
      <c r="C2480" s="8" t="s">
        <v>70</v>
      </c>
      <c r="D2480" s="8" t="s">
        <v>745</v>
      </c>
      <c r="E2480" s="8" t="s">
        <v>12</v>
      </c>
      <c r="F2480" s="8" t="s">
        <v>13</v>
      </c>
      <c r="G2480" s="8" t="s">
        <v>61</v>
      </c>
      <c r="H2480" s="16">
        <v>1.0</v>
      </c>
      <c r="I2480" s="15" t="str">
        <f>SUBSTITUTE(Sheet1!K2480, "Rp", "")</f>
        <v>99000</v>
      </c>
    </row>
    <row r="2481">
      <c r="A2481" s="8" t="s">
        <v>3905</v>
      </c>
      <c r="B2481" s="13" t="str">
        <f>HYPERLINK("https://shopee.co.id/Dear-Me-Beauty-Hyaluronic-Acid-Pomegranate-Extract-Face-Serum-i.10689.11613127137", "https://shopee.co.id/Dear-Me-Beauty-Hyaluronic-Acid-Pomegranate-Extract-Face-Serum-i.10689.11613127137")</f>
        <v>https://shopee.co.id/Dear-Me-Beauty-Hyaluronic-Acid-Pomegranate-Extract-Face-Serum-i.10689.11613127137</v>
      </c>
      <c r="C2481" s="8" t="s">
        <v>70</v>
      </c>
      <c r="D2481" s="8" t="s">
        <v>745</v>
      </c>
      <c r="E2481" s="8" t="s">
        <v>12</v>
      </c>
      <c r="F2481" s="8" t="s">
        <v>13</v>
      </c>
      <c r="G2481" s="8" t="s">
        <v>61</v>
      </c>
      <c r="H2481" s="16">
        <v>1.0</v>
      </c>
      <c r="I2481" s="15" t="str">
        <f>SUBSTITUTE(Sheet1!K2481, "Rp", "")</f>
        <v>79000</v>
      </c>
    </row>
    <row r="2482">
      <c r="A2482" s="8" t="s">
        <v>3561</v>
      </c>
      <c r="B2482" s="13" t="str">
        <f>HYPERLINK("https://shopee.co.id/Dear-Me-Beauty-Paket-Skin-Barrier-Acne-Water-Cream-32-ml-Face-Serum-BHA-Salicylic-Acid-i.45495764.13113723124", "https://shopee.co.id/Dear-Me-Beauty-Paket-Skin-Barrier-Acne-Water-Cream-32-ml-Face-Serum-BHA-Salicylic-Acid-i.45495764.13113723124")</f>
        <v>https://shopee.co.id/Dear-Me-Beauty-Paket-Skin-Barrier-Acne-Water-Cream-32-ml-Face-Serum-BHA-Salicylic-Acid-i.45495764.13113723124</v>
      </c>
      <c r="C2482" s="8" t="s">
        <v>70</v>
      </c>
      <c r="D2482" s="8" t="s">
        <v>71</v>
      </c>
      <c r="E2482" s="8" t="s">
        <v>12</v>
      </c>
      <c r="F2482" s="8" t="s">
        <v>13</v>
      </c>
      <c r="G2482" s="8" t="s">
        <v>61</v>
      </c>
      <c r="H2482" s="16">
        <v>1.0</v>
      </c>
      <c r="I2482" s="15" t="str">
        <f>SUBSTITUTE(Sheet1!K2482, "Rp", "")</f>
        <v>244800</v>
      </c>
    </row>
    <row r="2483">
      <c r="A2483" s="8" t="s">
        <v>2977</v>
      </c>
      <c r="B2483" s="13" t="str">
        <f>HYPERLINK("https://shopee.co.id/Dear-Me-Beauty-Retinol-Blueberry-Extract-Face-Serum-i.10689.4392492836", "https://shopee.co.id/Dear-Me-Beauty-Retinol-Blueberry-Extract-Face-Serum-i.10689.4392492836")</f>
        <v>https://shopee.co.id/Dear-Me-Beauty-Retinol-Blueberry-Extract-Face-Serum-i.10689.4392492836</v>
      </c>
      <c r="C2483" s="8" t="s">
        <v>70</v>
      </c>
      <c r="D2483" s="8" t="s">
        <v>745</v>
      </c>
      <c r="E2483" s="8" t="s">
        <v>12</v>
      </c>
      <c r="F2483" s="8" t="s">
        <v>13</v>
      </c>
      <c r="G2483" s="8" t="s">
        <v>61</v>
      </c>
      <c r="H2483" s="16">
        <v>1.0</v>
      </c>
      <c r="I2483" s="15" t="str">
        <f>SUBSTITUTE(Sheet1!K2483, "Rp", "")</f>
        <v>109000</v>
      </c>
    </row>
    <row r="2484">
      <c r="A2484" s="8" t="s">
        <v>3796</v>
      </c>
      <c r="B2484" s="13" t="str">
        <f>HYPERLINK("https://shopee.co.id/DEAR-ME-BEAUTY-Single-Active-Face-Serum-5-Inoceramide-Ceramide-Pomegranate-Extract-i.68111.10705222112", "https://shopee.co.id/DEAR-ME-BEAUTY-Single-Active-Face-Serum-5-Inoceramide-Ceramide-Pomegranate-Extract-i.68111.10705222112")</f>
        <v>https://shopee.co.id/DEAR-ME-BEAUTY-Single-Active-Face-Serum-5-Inoceramide-Ceramide-Pomegranate-Extract-i.68111.10705222112</v>
      </c>
      <c r="C2484" s="8" t="s">
        <v>70</v>
      </c>
      <c r="D2484" s="8" t="s">
        <v>441</v>
      </c>
      <c r="E2484" s="8" t="s">
        <v>12</v>
      </c>
      <c r="F2484" s="8" t="s">
        <v>13</v>
      </c>
      <c r="G2484" s="8" t="s">
        <v>130</v>
      </c>
      <c r="H2484" s="16">
        <v>1.0</v>
      </c>
      <c r="I2484" s="15" t="str">
        <f>SUBSTITUTE(Sheet1!K2484, "Rp", "")</f>
        <v>126650</v>
      </c>
    </row>
    <row r="2485">
      <c r="A2485" s="8" t="s">
        <v>3771</v>
      </c>
      <c r="B2485" s="13" t="str">
        <f>HYPERLINK("https://shopee.co.id/DeBiuryn-Ageless-Glow-SUPER-SERUM-20ml-Anti-Aging-Glowing-i.231437504.4966529621", "https://shopee.co.id/DeBiuryn-Ageless-Glow-SUPER-SERUM-20ml-Anti-Aging-Glowing-i.231437504.4966529621")</f>
        <v>https://shopee.co.id/DeBiuryn-Ageless-Glow-SUPER-SERUM-20ml-Anti-Aging-Glowing-i.231437504.4966529621</v>
      </c>
      <c r="C2485" s="8" t="s">
        <v>3484</v>
      </c>
      <c r="D2485" s="8" t="s">
        <v>3485</v>
      </c>
      <c r="E2485" s="8" t="s">
        <v>12</v>
      </c>
      <c r="F2485" s="8" t="s">
        <v>13</v>
      </c>
      <c r="G2485" s="8" t="s">
        <v>1480</v>
      </c>
      <c r="H2485" s="16">
        <v>1.0</v>
      </c>
      <c r="I2485" s="15" t="str">
        <f>SUBSTITUTE(Sheet1!K2485, "Rp", "")</f>
        <v>140000</v>
      </c>
    </row>
    <row r="2486">
      <c r="A2486" s="8" t="s">
        <v>3863</v>
      </c>
      <c r="B2486" s="13" t="str">
        <f>HYPERLINK("https://shopee.co.id/DeBiuryn-Ageless-Skin-Energy-Serum-10ml-i.231437504.11613635517", "https://shopee.co.id/DeBiuryn-Ageless-Skin-Energy-Serum-10ml-i.231437504.11613635517")</f>
        <v>https://shopee.co.id/DeBiuryn-Ageless-Skin-Energy-Serum-10ml-i.231437504.11613635517</v>
      </c>
      <c r="C2486" s="8" t="s">
        <v>3484</v>
      </c>
      <c r="D2486" s="8" t="s">
        <v>3485</v>
      </c>
      <c r="E2486" s="8" t="s">
        <v>12</v>
      </c>
      <c r="F2486" s="8" t="s">
        <v>13</v>
      </c>
      <c r="G2486" s="8" t="s">
        <v>1480</v>
      </c>
      <c r="H2486" s="16">
        <v>1.0</v>
      </c>
      <c r="I2486" s="15" t="str">
        <f>SUBSTITUTE(Sheet1!K2486, "Rp", "")</f>
        <v>99000</v>
      </c>
    </row>
    <row r="2487">
      <c r="A2487" s="8" t="s">
        <v>3916</v>
      </c>
      <c r="B2487" s="13" t="str">
        <f>HYPERLINK("https://shopee.co.id/Debiuryn-Sense-UV-Pro-Serum-SPF-30-10-ml-i.231437504.11910734513", "https://shopee.co.id/Debiuryn-Sense-UV-Pro-Serum-SPF-30-10-ml-i.231437504.11910734513")</f>
        <v>https://shopee.co.id/Debiuryn-Sense-UV-Pro-Serum-SPF-30-10-ml-i.231437504.11910734513</v>
      </c>
      <c r="C2487" s="8" t="s">
        <v>3484</v>
      </c>
      <c r="D2487" s="8" t="s">
        <v>3485</v>
      </c>
      <c r="E2487" s="8" t="s">
        <v>12</v>
      </c>
      <c r="F2487" s="8" t="s">
        <v>13</v>
      </c>
      <c r="G2487" s="8" t="s">
        <v>1480</v>
      </c>
      <c r="H2487" s="16">
        <v>1.0</v>
      </c>
      <c r="I2487" s="15" t="str">
        <f>SUBSTITUTE(Sheet1!K2487, "Rp", "")</f>
        <v>72800</v>
      </c>
    </row>
    <row r="2488">
      <c r="A2488" s="8" t="s">
        <v>3909</v>
      </c>
      <c r="B2488" s="13" t="str">
        <f>HYPERLINK("https://shopee.co.id/DeBiuryn-True-Acne-Serum-10ml-Anti-Jerawat-i.231437504.6733080392", "https://shopee.co.id/DeBiuryn-True-Acne-Serum-10ml-Anti-Jerawat-i.231437504.6733080392")</f>
        <v>https://shopee.co.id/DeBiuryn-True-Acne-Serum-10ml-Anti-Jerawat-i.231437504.6733080392</v>
      </c>
      <c r="C2488" s="8" t="s">
        <v>3484</v>
      </c>
      <c r="D2488" s="8" t="s">
        <v>3485</v>
      </c>
      <c r="E2488" s="8" t="s">
        <v>12</v>
      </c>
      <c r="F2488" s="8" t="s">
        <v>13</v>
      </c>
      <c r="G2488" s="8" t="s">
        <v>1480</v>
      </c>
      <c r="H2488" s="16">
        <v>1.0</v>
      </c>
      <c r="I2488" s="15" t="str">
        <f>SUBSTITUTE(Sheet1!K2488, "Rp", "")</f>
        <v>75000</v>
      </c>
    </row>
    <row r="2489">
      <c r="A2489" s="8" t="s">
        <v>2913</v>
      </c>
      <c r="B2489" s="13" t="str">
        <f>HYPERLINK("https://shopee.co.id/DERMALOGICA-UltraCalming-Essence-150ml-Face-Essence-Serum-i.230946408.7524822276", "https://shopee.co.id/DERMALOGICA-UltraCalming-Essence-150ml-Face-Essence-Serum-i.230946408.7524822276")</f>
        <v>https://shopee.co.id/DERMALOGICA-UltraCalming-Essence-150ml-Face-Essence-Serum-i.230946408.7524822276</v>
      </c>
      <c r="C2489" s="8" t="s">
        <v>1903</v>
      </c>
      <c r="D2489" s="8" t="s">
        <v>1904</v>
      </c>
      <c r="E2489" s="8" t="s">
        <v>12</v>
      </c>
      <c r="F2489" s="8" t="s">
        <v>13</v>
      </c>
      <c r="G2489" s="8" t="s">
        <v>21</v>
      </c>
      <c r="H2489" s="16">
        <v>1.0</v>
      </c>
      <c r="I2489" s="15" t="str">
        <f>SUBSTITUTE(Sheet1!K2489, "Rp", "")</f>
        <v>889000</v>
      </c>
    </row>
    <row r="2490">
      <c r="A2490" s="8" t="s">
        <v>1063</v>
      </c>
      <c r="B2490" s="13" t="str">
        <f>HYPERLINK("https://shopee.co.id/DERMALUZ-Serum-Acne-Exfoliating-i.68111.9826006796", "https://shopee.co.id/DERMALUZ-Serum-Acne-Exfoliating-i.68111.9826006796")</f>
        <v>https://shopee.co.id/DERMALUZ-Serum-Acne-Exfoliating-i.68111.9826006796</v>
      </c>
      <c r="C2490" s="8" t="s">
        <v>1064</v>
      </c>
      <c r="D2490" s="8" t="s">
        <v>441</v>
      </c>
      <c r="E2490" s="8" t="s">
        <v>12</v>
      </c>
      <c r="F2490" s="8" t="s">
        <v>13</v>
      </c>
      <c r="G2490" s="8" t="s">
        <v>130</v>
      </c>
      <c r="H2490" s="16">
        <v>1.0</v>
      </c>
      <c r="I2490" s="15" t="str">
        <f>SUBSTITUTE(Sheet1!K2490, "Rp", "")</f>
        <v>103500</v>
      </c>
    </row>
    <row r="2491">
      <c r="A2491" s="8" t="s">
        <v>3383</v>
      </c>
      <c r="B2491" s="13" t="str">
        <f>HYPERLINK("https://shopee.co.id/DERMEVA-Anti-Acne-Purifier-Essence--i.79020312.9373899552", "https://shopee.co.id/DERMEVA-Anti-Acne-Purifier-Essence--i.79020312.9373899552")</f>
        <v>https://shopee.co.id/DERMEVA-Anti-Acne-Purifier-Essence--i.79020312.9373899552</v>
      </c>
      <c r="C2491" s="8" t="s">
        <v>3384</v>
      </c>
      <c r="D2491" s="8" t="s">
        <v>3385</v>
      </c>
      <c r="E2491" s="8" t="s">
        <v>12</v>
      </c>
      <c r="F2491" s="8" t="s">
        <v>13</v>
      </c>
      <c r="G2491" s="8" t="s">
        <v>21</v>
      </c>
      <c r="H2491" s="16">
        <v>1.0</v>
      </c>
      <c r="I2491" s="15" t="str">
        <f>SUBSTITUTE(Sheet1!K2491, "Rp", "")</f>
        <v>372900</v>
      </c>
    </row>
    <row r="2492">
      <c r="A2492" s="8" t="s">
        <v>3605</v>
      </c>
      <c r="B2492" s="13" t="str">
        <f>HYPERLINK("https://shopee.co.id/DNI-Anti-Aging-Serum-i.41174739.7420361678", "https://shopee.co.id/DNI-Anti-Aging-Serum-i.41174739.7420361678")</f>
        <v>https://shopee.co.id/DNI-Anti-Aging-Serum-i.41174739.7420361678</v>
      </c>
      <c r="C2492" s="8" t="s">
        <v>2382</v>
      </c>
      <c r="D2492" s="8" t="s">
        <v>2383</v>
      </c>
      <c r="E2492" s="8" t="s">
        <v>12</v>
      </c>
      <c r="F2492" s="8" t="s">
        <v>13</v>
      </c>
      <c r="G2492" s="8" t="s">
        <v>945</v>
      </c>
      <c r="H2492" s="16">
        <v>1.0</v>
      </c>
      <c r="I2492" s="15" t="str">
        <f>SUBSTITUTE(Sheet1!K2492, "Rp", "")</f>
        <v>225000</v>
      </c>
    </row>
    <row r="2493">
      <c r="A2493" s="8" t="s">
        <v>2381</v>
      </c>
      <c r="B2493" s="13" t="str">
        <f>HYPERLINK("https://shopee.co.id/DNI-Whitening-Serum-i.60506784.2861398072", "https://shopee.co.id/DNI-Whitening-Serum-i.60506784.2861398072")</f>
        <v>https://shopee.co.id/DNI-Whitening-Serum-i.60506784.2861398072</v>
      </c>
      <c r="C2493" s="8" t="s">
        <v>3842</v>
      </c>
      <c r="D2493" s="8" t="s">
        <v>3843</v>
      </c>
      <c r="E2493" s="8" t="s">
        <v>12</v>
      </c>
      <c r="F2493" s="8" t="s">
        <v>13</v>
      </c>
      <c r="G2493" s="8" t="s">
        <v>3844</v>
      </c>
      <c r="H2493" s="16">
        <v>1.0</v>
      </c>
      <c r="I2493" s="15" t="str">
        <f>SUBSTITUTE(Sheet1!K2493, "Rp", "")</f>
        <v>105800</v>
      </c>
    </row>
    <row r="2494">
      <c r="A2494" s="8" t="s">
        <v>3685</v>
      </c>
      <c r="B2494" s="13" t="str">
        <f>HYPERLINK("https://shopee.co.id/Dr-Ceuracle-AC-Care-Solution-Green-Two-Size-50-ml-Edit-by-Sociolla-i.224957239.4033282062", "https://shopee.co.id/Dr-Ceuracle-AC-Care-Solution-Green-Two-Size-50-ml-Edit-by-Sociolla-i.224957239.4033282062")</f>
        <v>https://shopee.co.id/Dr-Ceuracle-AC-Care-Solution-Green-Two-Size-50-ml-Edit-by-Sociolla-i.224957239.4033282062</v>
      </c>
      <c r="C2494" s="8" t="s">
        <v>3011</v>
      </c>
      <c r="D2494" s="8" t="s">
        <v>492</v>
      </c>
      <c r="E2494" s="8" t="s">
        <v>12</v>
      </c>
      <c r="F2494" s="8" t="s">
        <v>13</v>
      </c>
      <c r="G2494" s="8" t="s">
        <v>21</v>
      </c>
      <c r="H2494" s="16">
        <v>1.0</v>
      </c>
      <c r="I2494" s="15" t="str">
        <f>SUBSTITUTE(Sheet1!K2494, "Rp", "")</f>
        <v>187500</v>
      </c>
    </row>
    <row r="2495">
      <c r="A2495" s="8" t="s">
        <v>3610</v>
      </c>
      <c r="B2495" s="13" t="str">
        <f>HYPERLINK("https://shopee.co.id/Dr-Oracle-21-Stay-Hyaluronic-Ampoule-i.17081863.6415067416", "https://shopee.co.id/Dr-Oracle-21-Stay-Hyaluronic-Ampoule-i.17081863.6415067416")</f>
        <v>https://shopee.co.id/Dr-Oracle-21-Stay-Hyaluronic-Ampoule-i.17081863.6415067416</v>
      </c>
      <c r="C2495" s="8" t="s">
        <v>3611</v>
      </c>
      <c r="D2495" s="8" t="s">
        <v>2497</v>
      </c>
      <c r="E2495" s="8" t="s">
        <v>12</v>
      </c>
      <c r="F2495" s="8" t="s">
        <v>13</v>
      </c>
      <c r="G2495" s="8" t="s">
        <v>21</v>
      </c>
      <c r="H2495" s="16">
        <v>1.0</v>
      </c>
      <c r="I2495" s="15" t="str">
        <f>SUBSTITUTE(Sheet1!K2495, "Rp", "")</f>
        <v>219725</v>
      </c>
    </row>
    <row r="2496">
      <c r="A2496" s="8" t="s">
        <v>3492</v>
      </c>
      <c r="B2496" s="13" t="str">
        <f>HYPERLINK("https://shopee.co.id/Dr-Ekles-Skincare-Serum-Vit-C-Kolagen-i.294944553.3158603425", "https://shopee.co.id/Dr-Ekles-Skincare-Serum-Vit-C-Kolagen-i.294944553.3158603425")</f>
        <v>https://shopee.co.id/Dr-Ekles-Skincare-Serum-Vit-C-Kolagen-i.294944553.3158603425</v>
      </c>
      <c r="C2496" s="8" t="s">
        <v>3493</v>
      </c>
      <c r="D2496" s="8" t="s">
        <v>1488</v>
      </c>
      <c r="E2496" s="8" t="s">
        <v>12</v>
      </c>
      <c r="F2496" s="8" t="s">
        <v>13</v>
      </c>
      <c r="G2496" s="8" t="s">
        <v>61</v>
      </c>
      <c r="H2496" s="16">
        <v>1.0</v>
      </c>
      <c r="I2496" s="15" t="str">
        <f>SUBSTITUTE(Sheet1!K2496, "Rp", "")</f>
        <v>290000</v>
      </c>
    </row>
    <row r="2497">
      <c r="A2497" s="8" t="s">
        <v>3623</v>
      </c>
      <c r="B2497" s="13" t="str">
        <f>HYPERLINK("https://shopee.co.id/DR-Tisha-TISHA-AC7-SPOT-SERUM-PHYTOSILICA-Injection-4ml-i.68111.1885566521", "https://shopee.co.id/DR-Tisha-TISHA-AC7-SPOT-SERUM-PHYTOSILICA-Injection-4ml-i.68111.1885566521")</f>
        <v>https://shopee.co.id/DR-Tisha-TISHA-AC7-SPOT-SERUM-PHYTOSILICA-Injection-4ml-i.68111.1885566521</v>
      </c>
      <c r="C2497" s="8" t="s">
        <v>3025</v>
      </c>
      <c r="D2497" s="8" t="s">
        <v>441</v>
      </c>
      <c r="E2497" s="8" t="s">
        <v>12</v>
      </c>
      <c r="F2497" s="8" t="s">
        <v>13</v>
      </c>
      <c r="G2497" s="8" t="s">
        <v>130</v>
      </c>
      <c r="H2497" s="16">
        <v>1.0</v>
      </c>
      <c r="I2497" s="15" t="str">
        <f>SUBSTITUTE(Sheet1!K2497, "Rp", "")</f>
        <v>216000</v>
      </c>
    </row>
    <row r="2498">
      <c r="A2498" s="8" t="s">
        <v>3943</v>
      </c>
      <c r="B2498" s="13" t="str">
        <f>HYPERLINK("https://shopee.co.id/Ecla-C-Lite-Brightening-Serum-10G-i.353460901.5369688087", "https://shopee.co.id/Ecla-C-Lite-Brightening-Serum-10G-i.353460901.5369688087")</f>
        <v>https://shopee.co.id/Ecla-C-Lite-Brightening-Serum-10G-i.353460901.5369688087</v>
      </c>
      <c r="C2498" s="8" t="s">
        <v>3626</v>
      </c>
      <c r="D2498" s="8" t="s">
        <v>3944</v>
      </c>
      <c r="E2498" s="8" t="s">
        <v>12</v>
      </c>
      <c r="F2498" s="8" t="s">
        <v>13</v>
      </c>
      <c r="G2498" s="8" t="s">
        <v>1480</v>
      </c>
      <c r="H2498" s="16">
        <v>1.0</v>
      </c>
      <c r="I2498" s="15" t="str">
        <f>SUBSTITUTE(Sheet1!K2498, "Rp", "")</f>
        <v>57500</v>
      </c>
    </row>
    <row r="2499">
      <c r="A2499" s="8" t="s">
        <v>3572</v>
      </c>
      <c r="B2499" s="13" t="str">
        <f>HYPERLINK("https://shopee.co.id/Elshe-Skin-Active-Rejuvenating-Night-Serum-20ml-i.68111.6448747403", "https://shopee.co.id/Elshe-Skin-Active-Rejuvenating-Night-Serum-20ml-i.68111.6448747403")</f>
        <v>https://shopee.co.id/Elshe-Skin-Active-Rejuvenating-Night-Serum-20ml-i.68111.6448747403</v>
      </c>
      <c r="C2499" s="8" t="s">
        <v>135</v>
      </c>
      <c r="D2499" s="8" t="s">
        <v>441</v>
      </c>
      <c r="E2499" s="8" t="s">
        <v>12</v>
      </c>
      <c r="F2499" s="8" t="s">
        <v>13</v>
      </c>
      <c r="G2499" s="8" t="s">
        <v>130</v>
      </c>
      <c r="H2499" s="16">
        <v>1.0</v>
      </c>
      <c r="I2499" s="15" t="str">
        <f>SUBSTITUTE(Sheet1!K2499, "Rp", "")</f>
        <v>240000</v>
      </c>
    </row>
    <row r="2500">
      <c r="A2500" s="8" t="s">
        <v>3676</v>
      </c>
      <c r="B2500" s="13" t="str">
        <f>HYPERLINK("https://shopee.co.id/Elshe-Skin-Sebum-Reducer-Serum-20ml-i.68111.1011131011", "https://shopee.co.id/Elshe-Skin-Sebum-Reducer-Serum-20ml-i.68111.1011131011")</f>
        <v>https://shopee.co.id/Elshe-Skin-Sebum-Reducer-Serum-20ml-i.68111.1011131011</v>
      </c>
      <c r="C2500" s="8" t="s">
        <v>135</v>
      </c>
      <c r="D2500" s="8" t="s">
        <v>441</v>
      </c>
      <c r="E2500" s="8" t="s">
        <v>12</v>
      </c>
      <c r="F2500" s="8" t="s">
        <v>13</v>
      </c>
      <c r="G2500" s="8" t="s">
        <v>130</v>
      </c>
      <c r="H2500" s="16">
        <v>1.0</v>
      </c>
      <c r="I2500" s="15" t="str">
        <f>SUBSTITUTE(Sheet1!K2500, "Rp", "")</f>
        <v>190000</v>
      </c>
    </row>
    <row r="2501">
      <c r="A2501" s="8" t="s">
        <v>3566</v>
      </c>
      <c r="B2501" s="13" t="str">
        <f>HYPERLINK("https://shopee.co.id/Elshe-Skin-Serum-Vitamin-C-20ml--i.68111.1011133201", "https://shopee.co.id/Elshe-Skin-Serum-Vitamin-C-20ml--i.68111.1011133201")</f>
        <v>https://shopee.co.id/Elshe-Skin-Serum-Vitamin-C-20ml--i.68111.1011133201</v>
      </c>
      <c r="C2501" s="8" t="s">
        <v>135</v>
      </c>
      <c r="D2501" s="8" t="s">
        <v>441</v>
      </c>
      <c r="E2501" s="8" t="s">
        <v>12</v>
      </c>
      <c r="F2501" s="8" t="s">
        <v>13</v>
      </c>
      <c r="G2501" s="8" t="s">
        <v>130</v>
      </c>
      <c r="H2501" s="16">
        <v>1.0</v>
      </c>
      <c r="I2501" s="15" t="str">
        <f>SUBSTITUTE(Sheet1!K2501, "Rp", "")</f>
        <v>242000</v>
      </c>
    </row>
    <row r="2502">
      <c r="A2502" s="8" t="s">
        <v>3573</v>
      </c>
      <c r="B2502" s="13" t="str">
        <f>HYPERLINK("https://shopee.co.id/ElsheSkin-Active-Rejuvenating-Night-Serum-20ml-i.825870.7757097325", "https://shopee.co.id/ElsheSkin-Active-Rejuvenating-Night-Serum-20ml-i.825870.7757097325")</f>
        <v>https://shopee.co.id/ElsheSkin-Active-Rejuvenating-Night-Serum-20ml-i.825870.7757097325</v>
      </c>
      <c r="C2502" s="8" t="s">
        <v>135</v>
      </c>
      <c r="D2502" s="8" t="s">
        <v>1184</v>
      </c>
      <c r="E2502" s="8" t="s">
        <v>12</v>
      </c>
      <c r="F2502" s="8" t="s">
        <v>13</v>
      </c>
      <c r="G2502" s="8" t="s">
        <v>21</v>
      </c>
      <c r="H2502" s="16">
        <v>1.0</v>
      </c>
      <c r="I2502" s="15" t="str">
        <f>SUBSTITUTE(Sheet1!K2502, "Rp", "")</f>
        <v>240000</v>
      </c>
    </row>
    <row r="2503">
      <c r="A2503" s="8" t="s">
        <v>3679</v>
      </c>
      <c r="B2503" s="13" t="str">
        <f>HYPERLINK("https://shopee.co.id/ElsheSkin-Smoothing-Serum-For-Acne-Skin-20ml-i.825870.1924014332", "https://shopee.co.id/ElsheSkin-Smoothing-Serum-For-Acne-Skin-20ml-i.825870.1924014332")</f>
        <v>https://shopee.co.id/ElsheSkin-Smoothing-Serum-For-Acne-Skin-20ml-i.825870.1924014332</v>
      </c>
      <c r="C2503" s="8" t="s">
        <v>135</v>
      </c>
      <c r="D2503" s="8" t="s">
        <v>1184</v>
      </c>
      <c r="E2503" s="8" t="s">
        <v>12</v>
      </c>
      <c r="F2503" s="8" t="s">
        <v>13</v>
      </c>
      <c r="G2503" s="8" t="s">
        <v>21</v>
      </c>
      <c r="H2503" s="16">
        <v>1.0</v>
      </c>
      <c r="I2503" s="15" t="str">
        <f>SUBSTITUTE(Sheet1!K2503, "Rp", "")</f>
        <v>189000</v>
      </c>
    </row>
    <row r="2504">
      <c r="A2504" s="8" t="s">
        <v>3959</v>
      </c>
      <c r="B2504" s="13" t="str">
        <f>HYPERLINK("https://shopee.co.id/EMINA-Bright-Stuff-Face-Serum-30ml-i.68111.7986621623", "https://shopee.co.id/EMINA-Bright-Stuff-Face-Serum-30ml-i.68111.7986621623")</f>
        <v>https://shopee.co.id/EMINA-Bright-Stuff-Face-Serum-30ml-i.68111.7986621623</v>
      </c>
      <c r="C2504" s="8" t="s">
        <v>209</v>
      </c>
      <c r="D2504" s="8" t="s">
        <v>441</v>
      </c>
      <c r="E2504" s="8" t="s">
        <v>12</v>
      </c>
      <c r="F2504" s="8" t="s">
        <v>13</v>
      </c>
      <c r="G2504" s="8" t="s">
        <v>130</v>
      </c>
      <c r="H2504" s="16">
        <v>1.0</v>
      </c>
      <c r="I2504" s="15" t="str">
        <f>SUBSTITUTE(Sheet1!K2504, "Rp", "")</f>
        <v>46500</v>
      </c>
    </row>
    <row r="2505">
      <c r="A2505" s="8" t="s">
        <v>3847</v>
      </c>
      <c r="B2505" s="13" t="str">
        <f>HYPERLINK("https://shopee.co.id/Envygreen-Intensive-Vitamin-C-Serum-10gr-i.825870.7850705962", "https://shopee.co.id/Envygreen-Intensive-Vitamin-C-Serum-10gr-i.825870.7850705962")</f>
        <v>https://shopee.co.id/Envygreen-Intensive-Vitamin-C-Serum-10gr-i.825870.7850705962</v>
      </c>
      <c r="C2505" s="8" t="s">
        <v>2034</v>
      </c>
      <c r="D2505" s="8" t="s">
        <v>1184</v>
      </c>
      <c r="E2505" s="8" t="s">
        <v>12</v>
      </c>
      <c r="F2505" s="8" t="s">
        <v>13</v>
      </c>
      <c r="G2505" s="8" t="s">
        <v>21</v>
      </c>
      <c r="H2505" s="16">
        <v>1.0</v>
      </c>
      <c r="I2505" s="15" t="str">
        <f>SUBSTITUTE(Sheet1!K2505, "Rp", "")</f>
        <v>105000</v>
      </c>
    </row>
    <row r="2506">
      <c r="A2506" s="8" t="s">
        <v>3250</v>
      </c>
      <c r="B2506" s="13" t="str">
        <f>HYPERLINK("https://shopee.co.id/ERHA-Bundle-Agemazing-Bright-i.129153987.12314895426", "https://shopee.co.id/ERHA-Bundle-Agemazing-Bright-i.129153987.12314895426")</f>
        <v>https://shopee.co.id/ERHA-Bundle-Agemazing-Bright-i.129153987.12314895426</v>
      </c>
      <c r="C2506" s="8" t="s">
        <v>181</v>
      </c>
      <c r="D2506" s="8" t="s">
        <v>3251</v>
      </c>
      <c r="E2506" s="8" t="s">
        <v>12</v>
      </c>
      <c r="F2506" s="8" t="s">
        <v>13</v>
      </c>
      <c r="G2506" s="8" t="s">
        <v>61</v>
      </c>
      <c r="H2506" s="16">
        <v>1.0</v>
      </c>
      <c r="I2506" s="15" t="str">
        <f>SUBSTITUTE(Sheet1!K2506, "Rp", "")</f>
        <v>483574</v>
      </c>
    </row>
    <row r="2507">
      <c r="A2507" s="8" t="s">
        <v>3647</v>
      </c>
      <c r="B2507" s="13" t="str">
        <f>HYPERLINK("https://shopee.co.id/ERHA-Truwhite-Vit-C-Peptides-Brightening-Serum-20ml-i.68111.2953255242", "https://shopee.co.id/ERHA-Truwhite-Vit-C-Peptides-Brightening-Serum-20ml-i.68111.2953255242")</f>
        <v>https://shopee.co.id/ERHA-Truwhite-Vit-C-Peptides-Brightening-Serum-20ml-i.68111.2953255242</v>
      </c>
      <c r="C2507" s="8" t="s">
        <v>181</v>
      </c>
      <c r="D2507" s="8" t="s">
        <v>441</v>
      </c>
      <c r="E2507" s="8" t="s">
        <v>12</v>
      </c>
      <c r="F2507" s="8" t="s">
        <v>13</v>
      </c>
      <c r="G2507" s="8" t="s">
        <v>130</v>
      </c>
      <c r="H2507" s="16">
        <v>1.0</v>
      </c>
      <c r="I2507" s="15" t="str">
        <f>SUBSTITUTE(Sheet1!K2507, "Rp", "")</f>
        <v>203500</v>
      </c>
    </row>
    <row r="2508">
      <c r="A2508" s="8" t="s">
        <v>3915</v>
      </c>
      <c r="B2508" s="13" t="str">
        <f>HYPERLINK("https://shopee.co.id/ERHAIR-Scalperfect-Soothing-Serum-i.187117294.7887952666", "https://shopee.co.id/ERHAIR-Scalperfect-Soothing-Serum-i.187117294.7887952666")</f>
        <v>https://shopee.co.id/ERHAIR-Scalperfect-Soothing-Serum-i.187117294.7887952666</v>
      </c>
      <c r="C2508" s="8" t="s">
        <v>1361</v>
      </c>
      <c r="D2508" s="8" t="s">
        <v>2366</v>
      </c>
      <c r="E2508" s="8" t="s">
        <v>12</v>
      </c>
      <c r="F2508" s="8" t="s">
        <v>13</v>
      </c>
      <c r="G2508" s="8" t="s">
        <v>469</v>
      </c>
      <c r="H2508" s="16">
        <v>1.0</v>
      </c>
      <c r="I2508" s="15" t="str">
        <f>SUBSTITUTE(Sheet1!K2508, "Rp", "")</f>
        <v>73000</v>
      </c>
    </row>
    <row r="2509">
      <c r="A2509" s="8" t="s">
        <v>3574</v>
      </c>
      <c r="B2509" s="13" t="str">
        <f>HYPERLINK("https://shopee.co.id/Esther-Brightening-Face-Serum-4-Ampoules-i.258793984.5732827976", "https://shopee.co.id/Esther-Brightening-Face-Serum-4-Ampoules-i.258793984.5732827976")</f>
        <v>https://shopee.co.id/Esther-Brightening-Face-Serum-4-Ampoules-i.258793984.5732827976</v>
      </c>
      <c r="C2509" s="8" t="s">
        <v>3398</v>
      </c>
      <c r="D2509" s="8" t="s">
        <v>3399</v>
      </c>
      <c r="E2509" s="8" t="s">
        <v>12</v>
      </c>
      <c r="F2509" s="8" t="s">
        <v>13</v>
      </c>
      <c r="G2509" s="8" t="s">
        <v>350</v>
      </c>
      <c r="H2509" s="16">
        <v>1.0</v>
      </c>
      <c r="I2509" s="15" t="str">
        <f>SUBSTITUTE(Sheet1!K2509, "Rp", "")</f>
        <v>240000</v>
      </c>
    </row>
    <row r="2510">
      <c r="A2510" s="8" t="s">
        <v>3657</v>
      </c>
      <c r="B2510" s="13" t="str">
        <f>HYPERLINK("https://shopee.co.id/Esther-Radiant-Serum-i.258793984.3232990708", "https://shopee.co.id/Esther-Radiant-Serum-i.258793984.3232990708")</f>
        <v>https://shopee.co.id/Esther-Radiant-Serum-i.258793984.3232990708</v>
      </c>
      <c r="C2510" s="8" t="s">
        <v>3398</v>
      </c>
      <c r="D2510" s="8" t="s">
        <v>3399</v>
      </c>
      <c r="E2510" s="8" t="s">
        <v>12</v>
      </c>
      <c r="F2510" s="8" t="s">
        <v>13</v>
      </c>
      <c r="G2510" s="8" t="s">
        <v>350</v>
      </c>
      <c r="H2510" s="16">
        <v>1.0</v>
      </c>
      <c r="I2510" s="15" t="str">
        <f>SUBSTITUTE(Sheet1!K2510, "Rp", "")</f>
        <v>200000</v>
      </c>
    </row>
    <row r="2511">
      <c r="A2511" s="8" t="s">
        <v>3918</v>
      </c>
      <c r="B2511" s="13" t="str">
        <f>HYPERLINK("https://shopee.co.id/Everwhite-Essence-Toner-100Ml-Skincare-Serum-i.114789399.2646081699", "https://shopee.co.id/Everwhite-Essence-Toner-100Ml-Skincare-Serum-i.114789399.2646081699")</f>
        <v>https://shopee.co.id/Everwhite-Essence-Toner-100Ml-Skincare-Serum-i.114789399.2646081699</v>
      </c>
      <c r="C2511" s="8" t="s">
        <v>157</v>
      </c>
      <c r="D2511" s="8" t="s">
        <v>2531</v>
      </c>
      <c r="E2511" s="8" t="s">
        <v>12</v>
      </c>
      <c r="F2511" s="8" t="s">
        <v>13</v>
      </c>
      <c r="G2511" s="8" t="s">
        <v>36</v>
      </c>
      <c r="H2511" s="16">
        <v>1.0</v>
      </c>
      <c r="I2511" s="15" t="str">
        <f>SUBSTITUTE(Sheet1!K2511, "Rp", "")</f>
        <v>71280</v>
      </c>
    </row>
    <row r="2512">
      <c r="A2512" s="8" t="s">
        <v>3795</v>
      </c>
      <c r="B2512" s="13" t="str">
        <f>HYPERLINK("https://shopee.co.id/Everwhite-Peptide-Anti-Aging-Serum-15ml-i.825870.3965778873", "https://shopee.co.id/Everwhite-Peptide-Anti-Aging-Serum-15ml-i.825870.3965778873")</f>
        <v>https://shopee.co.id/Everwhite-Peptide-Anti-Aging-Serum-15ml-i.825870.3965778873</v>
      </c>
      <c r="C2512" s="8" t="s">
        <v>157</v>
      </c>
      <c r="D2512" s="8" t="s">
        <v>1184</v>
      </c>
      <c r="E2512" s="8" t="s">
        <v>12</v>
      </c>
      <c r="F2512" s="8" t="s">
        <v>13</v>
      </c>
      <c r="G2512" s="8" t="s">
        <v>21</v>
      </c>
      <c r="H2512" s="16">
        <v>1.0</v>
      </c>
      <c r="I2512" s="15" t="str">
        <f>SUBSTITUTE(Sheet1!K2512, "Rp", "")</f>
        <v>127000</v>
      </c>
    </row>
    <row r="2513">
      <c r="A2513" s="8" t="s">
        <v>3772</v>
      </c>
      <c r="B2513" s="13" t="str">
        <f>HYPERLINK("https://shopee.co.id/Exclusive-Bundle-Mineral-Botanica-Aloe-Gal-X-Glo-It-Up-Peptide-Serum-i.124549994.5959982360", "https://shopee.co.id/Exclusive-Bundle-Mineral-Botanica-Aloe-Gal-X-Glo-It-Up-Peptide-Serum-i.124549994.5959982360")</f>
        <v>https://shopee.co.id/Exclusive-Bundle-Mineral-Botanica-Aloe-Gal-X-Glo-It-Up-Peptide-Serum-i.124549994.5959982360</v>
      </c>
      <c r="C2513" s="8" t="s">
        <v>807</v>
      </c>
      <c r="D2513" s="8" t="s">
        <v>808</v>
      </c>
      <c r="E2513" s="8" t="s">
        <v>12</v>
      </c>
      <c r="F2513" s="8" t="s">
        <v>13</v>
      </c>
      <c r="G2513" s="8" t="s">
        <v>61</v>
      </c>
      <c r="H2513" s="16">
        <v>1.0</v>
      </c>
      <c r="I2513" s="15" t="str">
        <f>SUBSTITUTE(Sheet1!K2513, "Rp", "")</f>
        <v>140000</v>
      </c>
    </row>
    <row r="2514">
      <c r="A2514" s="8" t="s">
        <v>3923</v>
      </c>
      <c r="B2514" s="13" t="str">
        <f>HYPERLINK("https://shopee.co.id/Eyelash-Serum-Marwah-Skin-Care-i.357101711.9815962173", "https://shopee.co.id/Eyelash-Serum-Marwah-Skin-Care-i.357101711.9815962173")</f>
        <v>https://shopee.co.id/Eyelash-Serum-Marwah-Skin-Care-i.357101711.9815962173</v>
      </c>
      <c r="C2514" s="8" t="s">
        <v>2249</v>
      </c>
      <c r="D2514" s="8" t="s">
        <v>2250</v>
      </c>
      <c r="E2514" s="8" t="s">
        <v>12</v>
      </c>
      <c r="F2514" s="8" t="s">
        <v>13</v>
      </c>
      <c r="G2514" s="8" t="s">
        <v>370</v>
      </c>
      <c r="H2514" s="16">
        <v>1.0</v>
      </c>
      <c r="I2514" s="15" t="str">
        <f>SUBSTITUTE(Sheet1!K2514, "Rp", "")</f>
        <v>70000</v>
      </c>
    </row>
    <row r="2515">
      <c r="A2515" s="8" t="s">
        <v>3589</v>
      </c>
      <c r="B2515" s="13" t="str">
        <f>HYPERLINK("https://shopee.co.id/FACE-UP-AGE-DEFENCE-HAC-LIFT-SERUM-i.131135447.8745263574", "https://shopee.co.id/FACE-UP-AGE-DEFENCE-HAC-LIFT-SERUM-i.131135447.8745263574")</f>
        <v>https://shopee.co.id/FACE-UP-AGE-DEFENCE-HAC-LIFT-SERUM-i.131135447.8745263574</v>
      </c>
      <c r="C2515" s="8" t="s">
        <v>1923</v>
      </c>
      <c r="D2515" s="8" t="s">
        <v>1924</v>
      </c>
      <c r="E2515" s="8" t="s">
        <v>12</v>
      </c>
      <c r="F2515" s="8" t="s">
        <v>13</v>
      </c>
      <c r="G2515" s="8" t="s">
        <v>469</v>
      </c>
      <c r="H2515" s="16">
        <v>1.0</v>
      </c>
      <c r="I2515" s="15" t="str">
        <f>SUBSTITUTE(Sheet1!K2515, "Rp", "")</f>
        <v>235000</v>
      </c>
    </row>
    <row r="2516">
      <c r="A2516" s="8" t="s">
        <v>3440</v>
      </c>
      <c r="B2516" s="13" t="str">
        <f>HYPERLINK("https://shopee.co.id/Femmue-Balance-Moments-i.293180359.5852536965", "https://shopee.co.id/Femmue-Balance-Moments-i.293180359.5852536965")</f>
        <v>https://shopee.co.id/Femmue-Balance-Moments-i.293180359.5852536965</v>
      </c>
      <c r="C2516" s="8" t="s">
        <v>2286</v>
      </c>
      <c r="D2516" s="8" t="s">
        <v>2287</v>
      </c>
      <c r="E2516" s="8" t="s">
        <v>12</v>
      </c>
      <c r="F2516" s="8" t="s">
        <v>13</v>
      </c>
      <c r="G2516" s="8" t="s">
        <v>61</v>
      </c>
      <c r="H2516" s="16">
        <v>1.0</v>
      </c>
      <c r="I2516" s="15" t="str">
        <f>SUBSTITUTE(Sheet1!K2516, "Rp", "")</f>
        <v>322000</v>
      </c>
    </row>
    <row r="2517">
      <c r="A2517" s="8" t="s">
        <v>3640</v>
      </c>
      <c r="B2517" s="13" t="str">
        <f>HYPERLINK("https://shopee.co.id/FIRST-LAB-FIRST-LAB-Probiotic-Serum-i.68111.2258622807", "https://shopee.co.id/FIRST-LAB-FIRST-LAB-Probiotic-Serum-i.68111.2258622807")</f>
        <v>https://shopee.co.id/FIRST-LAB-FIRST-LAB-Probiotic-Serum-i.68111.2258622807</v>
      </c>
      <c r="C2517" s="8" t="s">
        <v>1617</v>
      </c>
      <c r="D2517" s="8" t="s">
        <v>441</v>
      </c>
      <c r="E2517" s="8" t="s">
        <v>12</v>
      </c>
      <c r="F2517" s="8" t="s">
        <v>13</v>
      </c>
      <c r="G2517" s="8" t="s">
        <v>130</v>
      </c>
      <c r="H2517" s="16">
        <v>1.0</v>
      </c>
      <c r="I2517" s="15" t="str">
        <f>SUBSTITUTE(Sheet1!K2517, "Rp", "")</f>
        <v>207240</v>
      </c>
    </row>
    <row r="2518">
      <c r="A2518" s="8" t="s">
        <v>3641</v>
      </c>
      <c r="B2518" s="13" t="str">
        <f>HYPERLINK("https://shopee.co.id/FIRST-LAB-Probiotic-Pore-Tightening-Essence-30ml-i.109981258.5751941178", "https://shopee.co.id/FIRST-LAB-Probiotic-Pore-Tightening-Essence-30ml-i.109981258.5751941178")</f>
        <v>https://shopee.co.id/FIRST-LAB-Probiotic-Pore-Tightening-Essence-30ml-i.109981258.5751941178</v>
      </c>
      <c r="C2518" s="8" t="s">
        <v>1617</v>
      </c>
      <c r="D2518" s="8" t="s">
        <v>2576</v>
      </c>
      <c r="E2518" s="8" t="s">
        <v>12</v>
      </c>
      <c r="F2518" s="8" t="s">
        <v>13</v>
      </c>
      <c r="G2518" s="8" t="s">
        <v>21</v>
      </c>
      <c r="H2518" s="16">
        <v>1.0</v>
      </c>
      <c r="I2518" s="15" t="str">
        <f>SUBSTITUTE(Sheet1!K2518, "Rp", "")</f>
        <v>206360</v>
      </c>
    </row>
    <row r="2519">
      <c r="A2519" s="8" t="s">
        <v>3391</v>
      </c>
      <c r="B2519" s="13" t="str">
        <f>HYPERLINK("https://shopee.co.id/First-Spray-Serum-Peptide-Cleanser-i.489174620.12911454671", "https://shopee.co.id/First-Spray-Serum-Peptide-Cleanser-i.489174620.12911454671")</f>
        <v>https://shopee.co.id/First-Spray-Serum-Peptide-Cleanser-i.489174620.12911454671</v>
      </c>
      <c r="C2519" s="8" t="s">
        <v>1694</v>
      </c>
      <c r="D2519" s="8" t="s">
        <v>3052</v>
      </c>
      <c r="E2519" s="8" t="s">
        <v>12</v>
      </c>
      <c r="F2519" s="8" t="s">
        <v>13</v>
      </c>
      <c r="G2519" s="8" t="s">
        <v>80</v>
      </c>
      <c r="H2519" s="16">
        <v>1.0</v>
      </c>
      <c r="I2519" s="15" t="str">
        <f>SUBSTITUTE(Sheet1!K2519, "Rp", "")</f>
        <v>370000</v>
      </c>
    </row>
    <row r="2520">
      <c r="A2520" s="8" t="s">
        <v>3528</v>
      </c>
      <c r="B2520" s="13" t="str">
        <f>HYPERLINK("https://shopee.co.id/FOR-SKINS-SAKE-Retinol-Serum-30ml-i.68111.3515756101", "https://shopee.co.id/FOR-SKINS-SAKE-Retinol-Serum-30ml-i.68111.3515756101")</f>
        <v>https://shopee.co.id/FOR-SKINS-SAKE-Retinol-Serum-30ml-i.68111.3515756101</v>
      </c>
      <c r="C2520" s="8" t="s">
        <v>3529</v>
      </c>
      <c r="D2520" s="8" t="s">
        <v>441</v>
      </c>
      <c r="E2520" s="8" t="s">
        <v>12</v>
      </c>
      <c r="F2520" s="8" t="s">
        <v>13</v>
      </c>
      <c r="G2520" s="8" t="s">
        <v>130</v>
      </c>
      <c r="H2520" s="16">
        <v>1.0</v>
      </c>
      <c r="I2520" s="15" t="str">
        <f>SUBSTITUTE(Sheet1!K2520, "Rp", "")</f>
        <v>270000</v>
      </c>
    </row>
    <row r="2521">
      <c r="A2521" s="8" t="s">
        <v>3880</v>
      </c>
      <c r="B2521" s="13" t="str">
        <f>HYPERLINK("https://shopee.co.id/GARNIER-Light-Complete-Booster-Serum-15ml-i.30736001.7780275501", "https://shopee.co.id/GARNIER-Light-Complete-Booster-Serum-15ml-i.30736001.7780275501")</f>
        <v>https://shopee.co.id/GARNIER-Light-Complete-Booster-Serum-15ml-i.30736001.7780275501</v>
      </c>
      <c r="C2521" s="8" t="s">
        <v>74</v>
      </c>
      <c r="D2521" s="8" t="s">
        <v>335</v>
      </c>
      <c r="E2521" s="8" t="s">
        <v>12</v>
      </c>
      <c r="F2521" s="8" t="s">
        <v>13</v>
      </c>
      <c r="G2521" s="8" t="s">
        <v>36</v>
      </c>
      <c r="H2521" s="16">
        <v>1.0</v>
      </c>
      <c r="I2521" s="15" t="str">
        <f>SUBSTITUTE(Sheet1!K2521, "Rp", "")</f>
        <v>91500</v>
      </c>
    </row>
    <row r="2522">
      <c r="A2522" s="8" t="s">
        <v>3973</v>
      </c>
      <c r="B2522" s="13" t="str">
        <f>HYPERLINK("https://shopee.co.id/Garnier-Light-Complete-Serum-Cream-Yuzu-410981--i.16735262.6878477327", "https://shopee.co.id/Garnier-Light-Complete-Serum-Cream-Yuzu-410981--i.16735262.6878477327")</f>
        <v>https://shopee.co.id/Garnier-Light-Complete-Serum-Cream-Yuzu-410981--i.16735262.6878477327</v>
      </c>
      <c r="C2522" s="8" t="s">
        <v>74</v>
      </c>
      <c r="D2522" s="8" t="s">
        <v>3598</v>
      </c>
      <c r="E2522" s="8" t="s">
        <v>12</v>
      </c>
      <c r="F2522" s="8" t="s">
        <v>13</v>
      </c>
      <c r="G2522" s="8" t="s">
        <v>36</v>
      </c>
      <c r="H2522" s="16">
        <v>1.0</v>
      </c>
      <c r="I2522" s="15" t="str">
        <f>SUBSTITUTE(Sheet1!K2522, "Rp", "")</f>
        <v>29952</v>
      </c>
    </row>
    <row r="2523">
      <c r="A2523" s="8" t="s">
        <v>3942</v>
      </c>
      <c r="B2523" s="13" t="str">
        <f>HYPERLINK("https://shopee.co.id/Garnier-Light-Complete-White-Speed-Serum-Day-Cream-Extra-SPF-36-PA-Skin-Care-50-ml-i.186214521.6404532323", "https://shopee.co.id/Garnier-Light-Complete-White-Speed-Serum-Day-Cream-Extra-SPF-36-PA-Skin-Care-50-ml-i.186214521.6404532323")</f>
        <v>https://shopee.co.id/Garnier-Light-Complete-White-Speed-Serum-Day-Cream-Extra-SPF-36-PA-Skin-Care-50-ml-i.186214521.6404532323</v>
      </c>
      <c r="C2523" s="8" t="s">
        <v>74</v>
      </c>
      <c r="D2523" s="8" t="s">
        <v>2293</v>
      </c>
      <c r="E2523" s="8" t="s">
        <v>12</v>
      </c>
      <c r="F2523" s="8" t="s">
        <v>13</v>
      </c>
      <c r="G2523" s="8" t="s">
        <v>61</v>
      </c>
      <c r="H2523" s="16">
        <v>1.0</v>
      </c>
      <c r="I2523" s="15" t="str">
        <f>SUBSTITUTE(Sheet1!K2523, "Rp", "")</f>
        <v>58000</v>
      </c>
    </row>
    <row r="2524">
      <c r="A2524" s="8" t="s">
        <v>3785</v>
      </c>
      <c r="B2524" s="13" t="str">
        <f>HYPERLINK("https://shopee.co.id/Garnier-Light-Complete-Yuzu-Vitamin-C-30ml-421894--i.16735262.3765495900", "https://shopee.co.id/Garnier-Light-Complete-Yuzu-Vitamin-C-30ml-421894--i.16735262.3765495900")</f>
        <v>https://shopee.co.id/Garnier-Light-Complete-Yuzu-Vitamin-C-30ml-421894--i.16735262.3765495900</v>
      </c>
      <c r="C2524" s="8" t="s">
        <v>74</v>
      </c>
      <c r="D2524" s="8" t="s">
        <v>3598</v>
      </c>
      <c r="E2524" s="8" t="s">
        <v>12</v>
      </c>
      <c r="F2524" s="8" t="s">
        <v>13</v>
      </c>
      <c r="G2524" s="8" t="s">
        <v>36</v>
      </c>
      <c r="H2524" s="16">
        <v>1.0</v>
      </c>
      <c r="I2524" s="15" t="str">
        <f>SUBSTITUTE(Sheet1!K2524, "Rp", "")</f>
        <v>133200</v>
      </c>
    </row>
    <row r="2525">
      <c r="A2525" s="8" t="s">
        <v>3881</v>
      </c>
      <c r="B2525" s="13" t="str">
        <f>HYPERLINK("https://shopee.co.id/GARNIER-Sakura-White-Booster-Serum-15ml-i.30736001.9519122183", "https://shopee.co.id/GARNIER-Sakura-White-Booster-Serum-15ml-i.30736001.9519122183")</f>
        <v>https://shopee.co.id/GARNIER-Sakura-White-Booster-Serum-15ml-i.30736001.9519122183</v>
      </c>
      <c r="C2525" s="8" t="s">
        <v>74</v>
      </c>
      <c r="D2525" s="8" t="s">
        <v>335</v>
      </c>
      <c r="E2525" s="8" t="s">
        <v>12</v>
      </c>
      <c r="F2525" s="8" t="s">
        <v>13</v>
      </c>
      <c r="G2525" s="8" t="s">
        <v>36</v>
      </c>
      <c r="H2525" s="16">
        <v>1.0</v>
      </c>
      <c r="I2525" s="15" t="str">
        <f>SUBSTITUTE(Sheet1!K2525, "Rp", "")</f>
        <v>91500</v>
      </c>
    </row>
    <row r="2526">
      <c r="A2526" s="8" t="s">
        <v>3907</v>
      </c>
      <c r="B2526" s="13" t="str">
        <f>HYPERLINK("https://shopee.co.id/Garnier-Sakura-White-Hyaluron-30-x-Booster-Serum-Skin-Care-15-mL-i.65323877.9579219876", "https://shopee.co.id/Garnier-Sakura-White-Hyaluron-30-x-Booster-Serum-Skin-Care-15-mL-i.65323877.9579219876")</f>
        <v>https://shopee.co.id/Garnier-Sakura-White-Hyaluron-30-x-Booster-Serum-Skin-Care-15-mL-i.65323877.9579219876</v>
      </c>
      <c r="C2526" s="8" t="s">
        <v>74</v>
      </c>
      <c r="D2526" s="8" t="s">
        <v>1600</v>
      </c>
      <c r="E2526" s="8" t="s">
        <v>12</v>
      </c>
      <c r="F2526" s="8" t="s">
        <v>13</v>
      </c>
      <c r="G2526" s="8" t="s">
        <v>296</v>
      </c>
      <c r="H2526" s="16">
        <v>1.0</v>
      </c>
      <c r="I2526" s="15" t="str">
        <f>SUBSTITUTE(Sheet1!K2526, "Rp", "")</f>
        <v>78100</v>
      </c>
    </row>
    <row r="2527">
      <c r="A2527" s="8" t="s">
        <v>3951</v>
      </c>
      <c r="B2527" s="13" t="str">
        <f>HYPERLINK("https://shopee.co.id/Garnier-Sakura-White-Serum-Day-Cream-SPF30-PA-50-mL-i.65323877.10219057530", "https://shopee.co.id/Garnier-Sakura-White-Serum-Day-Cream-SPF30-PA-50-mL-i.65323877.10219057530")</f>
        <v>https://shopee.co.id/Garnier-Sakura-White-Serum-Day-Cream-SPF30-PA-50-mL-i.65323877.10219057530</v>
      </c>
      <c r="C2527" s="8" t="s">
        <v>74</v>
      </c>
      <c r="D2527" s="8" t="s">
        <v>1600</v>
      </c>
      <c r="E2527" s="8" t="s">
        <v>12</v>
      </c>
      <c r="F2527" s="8" t="s">
        <v>13</v>
      </c>
      <c r="G2527" s="8" t="s">
        <v>296</v>
      </c>
      <c r="H2527" s="16">
        <v>1.0</v>
      </c>
      <c r="I2527" s="15" t="str">
        <f>SUBSTITUTE(Sheet1!K2527, "Rp", "")</f>
        <v>48800</v>
      </c>
    </row>
    <row r="2528">
      <c r="A2528" s="8" t="s">
        <v>3929</v>
      </c>
      <c r="B2528" s="13" t="str">
        <f>HYPERLINK("https://shopee.co.id/Garnier-Sakura-White-Serum-Day-Cream-SPF30-PA-Skin-Care-Untuk-Creah-Merona-50-mL-i.65323877.10419475319", "https://shopee.co.id/Garnier-Sakura-White-Serum-Day-Cream-SPF30-PA-Skin-Care-Untuk-Creah-Merona-50-mL-i.65323877.10419475319")</f>
        <v>https://shopee.co.id/Garnier-Sakura-White-Serum-Day-Cream-SPF30-PA-Skin-Care-Untuk-Creah-Merona-50-mL-i.65323877.10419475319</v>
      </c>
      <c r="C2528" s="8" t="s">
        <v>74</v>
      </c>
      <c r="D2528" s="8" t="s">
        <v>1600</v>
      </c>
      <c r="E2528" s="8" t="s">
        <v>12</v>
      </c>
      <c r="F2528" s="8" t="s">
        <v>13</v>
      </c>
      <c r="G2528" s="8" t="s">
        <v>296</v>
      </c>
      <c r="H2528" s="16">
        <v>1.0</v>
      </c>
      <c r="I2528" s="15" t="str">
        <f>SUBSTITUTE(Sheet1!K2528, "Rp", "")</f>
        <v>66700</v>
      </c>
    </row>
    <row r="2529">
      <c r="A2529" s="8" t="s">
        <v>3894</v>
      </c>
      <c r="B2529" s="13" t="str">
        <f>HYPERLINK("https://shopee.co.id/Garnier-Sakura-Whitening-Serum-cream-SPF30-50-ml-i.186214521.6823875348", "https://shopee.co.id/Garnier-Sakura-Whitening-Serum-cream-SPF30-50-ml-i.186214521.6823875348")</f>
        <v>https://shopee.co.id/Garnier-Sakura-Whitening-Serum-cream-SPF30-50-ml-i.186214521.6823875348</v>
      </c>
      <c r="C2529" s="8" t="s">
        <v>74</v>
      </c>
      <c r="D2529" s="8" t="s">
        <v>2293</v>
      </c>
      <c r="E2529" s="8" t="s">
        <v>12</v>
      </c>
      <c r="F2529" s="8" t="s">
        <v>13</v>
      </c>
      <c r="G2529" s="8" t="s">
        <v>61</v>
      </c>
      <c r="H2529" s="16">
        <v>1.0</v>
      </c>
      <c r="I2529" s="15" t="str">
        <f>SUBSTITUTE(Sheet1!K2529, "Rp", "")</f>
        <v>84900</v>
      </c>
    </row>
    <row r="2530">
      <c r="A2530" s="8" t="s">
        <v>2640</v>
      </c>
      <c r="B2530" s="13" t="str">
        <f>HYPERLINK("https://shopee.co.id/GLAMGLOW-BEST-SERUM-Clearing-And-Anti-Aging-Treatment-i.37242565.8004017888", "https://shopee.co.id/GLAMGLOW-BEST-SERUM-Clearing-And-Anti-Aging-Treatment-i.37242565.8004017888")</f>
        <v>https://shopee.co.id/GLAMGLOW-BEST-SERUM-Clearing-And-Anti-Aging-Treatment-i.37242565.8004017888</v>
      </c>
      <c r="C2530" s="8" t="s">
        <v>2156</v>
      </c>
      <c r="D2530" s="8" t="s">
        <v>2157</v>
      </c>
      <c r="E2530" s="8" t="s">
        <v>12</v>
      </c>
      <c r="F2530" s="8" t="s">
        <v>13</v>
      </c>
      <c r="G2530" s="8" t="s">
        <v>98</v>
      </c>
      <c r="H2530" s="16">
        <v>1.0</v>
      </c>
      <c r="I2530" s="15" t="str">
        <f>SUBSTITUTE(Sheet1!K2530, "Rp", "")</f>
        <v>1350000</v>
      </c>
    </row>
    <row r="2531">
      <c r="A2531" s="8" t="s">
        <v>3341</v>
      </c>
      <c r="B2531" s="13" t="str">
        <f>HYPERLINK("https://shopee.co.id/GLOWINC-POTION-HYDRALIVE-Moisture-Lock-Serum-i.68111.11633736883", "https://shopee.co.id/GLOWINC-POTION-HYDRALIVE-Moisture-Lock-Serum-i.68111.11633736883")</f>
        <v>https://shopee.co.id/GLOWINC-POTION-HYDRALIVE-Moisture-Lock-Serum-i.68111.11633736883</v>
      </c>
      <c r="C2531" s="8" t="s">
        <v>1898</v>
      </c>
      <c r="D2531" s="8" t="s">
        <v>441</v>
      </c>
      <c r="E2531" s="8" t="s">
        <v>12</v>
      </c>
      <c r="F2531" s="8" t="s">
        <v>13</v>
      </c>
      <c r="G2531" s="8" t="s">
        <v>130</v>
      </c>
      <c r="H2531" s="16">
        <v>1.0</v>
      </c>
      <c r="I2531" s="15" t="str">
        <f>SUBSTITUTE(Sheet1!K2531, "Rp", "")</f>
        <v>79000</v>
      </c>
    </row>
    <row r="2532">
      <c r="A2532" s="8" t="s">
        <v>3546</v>
      </c>
      <c r="B2532" s="13" t="str">
        <f>HYPERLINK("https://shopee.co.id/Glowlabs-Gentle-Bright-Serum-Gentle-Glow-Essence-i.336869851.3592745063", "https://shopee.co.id/Glowlabs-Gentle-Bright-Serum-Gentle-Glow-Essence-i.336869851.3592745063")</f>
        <v>https://shopee.co.id/Glowlabs-Gentle-Bright-Serum-Gentle-Glow-Essence-i.336869851.3592745063</v>
      </c>
      <c r="C2532" s="8" t="s">
        <v>407</v>
      </c>
      <c r="D2532" s="8" t="s">
        <v>408</v>
      </c>
      <c r="E2532" s="8" t="s">
        <v>12</v>
      </c>
      <c r="F2532" s="8" t="s">
        <v>13</v>
      </c>
      <c r="G2532" s="8" t="s">
        <v>409</v>
      </c>
      <c r="H2532" s="16">
        <v>1.0</v>
      </c>
      <c r="I2532" s="15" t="str">
        <f>SUBSTITUTE(Sheet1!K2532, "Rp", "")</f>
        <v>256500</v>
      </c>
    </row>
    <row r="2533">
      <c r="A2533" s="8" t="s">
        <v>3324</v>
      </c>
      <c r="B2533" s="13" t="str">
        <f>HYPERLINK("https://shopee.co.id/Glowlabs-Special-Bundling-Retinol-Cica-Night-Serum-i.336869851.9453885237", "https://shopee.co.id/Glowlabs-Special-Bundling-Retinol-Cica-Night-Serum-i.336869851.9453885237")</f>
        <v>https://shopee.co.id/Glowlabs-Special-Bundling-Retinol-Cica-Night-Serum-i.336869851.9453885237</v>
      </c>
      <c r="C2533" s="8" t="s">
        <v>407</v>
      </c>
      <c r="D2533" s="8" t="s">
        <v>408</v>
      </c>
      <c r="E2533" s="8" t="s">
        <v>12</v>
      </c>
      <c r="F2533" s="8" t="s">
        <v>13</v>
      </c>
      <c r="G2533" s="8" t="s">
        <v>409</v>
      </c>
      <c r="H2533" s="16">
        <v>1.0</v>
      </c>
      <c r="I2533" s="15" t="str">
        <f>SUBSTITUTE(Sheet1!K2533, "Rp", "")</f>
        <v>405000</v>
      </c>
    </row>
    <row r="2534">
      <c r="A2534" s="8" t="s">
        <v>3382</v>
      </c>
      <c r="B2534" s="13" t="str">
        <f>HYPERLINK("https://shopee.co.id/Glowlabs-Ultimate-Team-FREE-POUCH-Probiome-Acne-Serum-Gentle-Glow-Essence-Peptide-Moist--i.336869851.8485880305", "https://shopee.co.id/Glowlabs-Ultimate-Team-FREE-POUCH-Probiome-Acne-Serum-Gentle-Glow-Essence-Peptide-Moist--i.336869851.8485880305")</f>
        <v>https://shopee.co.id/Glowlabs-Ultimate-Team-FREE-POUCH-Probiome-Acne-Serum-Gentle-Glow-Essence-Peptide-Moist--i.336869851.8485880305</v>
      </c>
      <c r="C2534" s="8" t="s">
        <v>2240</v>
      </c>
      <c r="D2534" s="8" t="s">
        <v>408</v>
      </c>
      <c r="E2534" s="8" t="s">
        <v>12</v>
      </c>
      <c r="F2534" s="8" t="s">
        <v>13</v>
      </c>
      <c r="G2534" s="8" t="s">
        <v>409</v>
      </c>
      <c r="H2534" s="16">
        <v>1.0</v>
      </c>
      <c r="I2534" s="15" t="str">
        <f>SUBSTITUTE(Sheet1!K2534, "Rp", "")</f>
        <v>374000</v>
      </c>
    </row>
    <row r="2535">
      <c r="A2535" s="8" t="s">
        <v>3754</v>
      </c>
      <c r="B2535" s="13" t="str">
        <f>HYPERLINK("https://shopee.co.id/Hada-Labo-Whitening-Essence-30gr-Serum-Wajah-Perawatan-Wajah-i.121791179.6079973007", "https://shopee.co.id/Hada-Labo-Whitening-Essence-30gr-Serum-Wajah-Perawatan-Wajah-i.121791179.6079973007")</f>
        <v>https://shopee.co.id/Hada-Labo-Whitening-Essence-30gr-Serum-Wajah-Perawatan-Wajah-i.121791179.6079973007</v>
      </c>
      <c r="C2535" s="8" t="s">
        <v>2090</v>
      </c>
      <c r="D2535" s="8" t="s">
        <v>1733</v>
      </c>
      <c r="E2535" s="8" t="s">
        <v>12</v>
      </c>
      <c r="F2535" s="8" t="s">
        <v>13</v>
      </c>
      <c r="G2535" s="8" t="s">
        <v>36</v>
      </c>
      <c r="H2535" s="16">
        <v>1.0</v>
      </c>
      <c r="I2535" s="15" t="str">
        <f>SUBSTITUTE(Sheet1!K2535, "Rp", "")</f>
        <v>149150</v>
      </c>
    </row>
    <row r="2536">
      <c r="A2536" s="8" t="s">
        <v>3837</v>
      </c>
      <c r="B2536" s="13" t="str">
        <f>HYPERLINK("https://shopee.co.id/Hale-Brightening-Potion-Serum-15ml-i.136011044.10202057775", "https://shopee.co.id/Hale-Brightening-Potion-Serum-15ml-i.136011044.10202057775")</f>
        <v>https://shopee.co.id/Hale-Brightening-Potion-Serum-15ml-i.136011044.10202057775</v>
      </c>
      <c r="C2536" s="8" t="s">
        <v>1393</v>
      </c>
      <c r="D2536" s="8" t="s">
        <v>632</v>
      </c>
      <c r="E2536" s="8" t="s">
        <v>12</v>
      </c>
      <c r="F2536" s="8" t="s">
        <v>13</v>
      </c>
      <c r="G2536" s="8" t="s">
        <v>21</v>
      </c>
      <c r="H2536" s="16">
        <v>1.0</v>
      </c>
      <c r="I2536" s="15" t="str">
        <f>SUBSTITUTE(Sheet1!K2536, "Rp", "")</f>
        <v>109000</v>
      </c>
    </row>
    <row r="2537">
      <c r="A2537" s="8" t="s">
        <v>3934</v>
      </c>
      <c r="B2537" s="13" t="str">
        <f>HYPERLINK("https://shopee.co.id/Hanasui-Bright-Up-Serum-25ML-Face-Serum-Serum-Wajah-Mencerahkan-Wajah-i.114789399.3742536681", "https://shopee.co.id/Hanasui-Bright-Up-Serum-25ML-Face-Serum-Serum-Wajah-Mencerahkan-Wajah-i.114789399.3742536681")</f>
        <v>https://shopee.co.id/Hanasui-Bright-Up-Serum-25ML-Face-Serum-Serum-Wajah-Mencerahkan-Wajah-i.114789399.3742536681</v>
      </c>
      <c r="C2537" s="8" t="s">
        <v>784</v>
      </c>
      <c r="D2537" s="8" t="s">
        <v>2531</v>
      </c>
      <c r="E2537" s="8" t="s">
        <v>12</v>
      </c>
      <c r="F2537" s="8" t="s">
        <v>13</v>
      </c>
      <c r="G2537" s="8" t="s">
        <v>36</v>
      </c>
      <c r="H2537" s="16">
        <v>1.0</v>
      </c>
      <c r="I2537" s="15" t="str">
        <f>SUBSTITUTE(Sheet1!K2537, "Rp", "")</f>
        <v>63680</v>
      </c>
    </row>
    <row r="2538">
      <c r="A2538" s="8" t="s">
        <v>3931</v>
      </c>
      <c r="B2538" s="13" t="str">
        <f>HYPERLINK("https://shopee.co.id/Hanasui-Propolis-Serum-25Ml-Serum-Wajah-Face-Serum-Merawat-Kulit-Wajah-i.114789399.7942427517", "https://shopee.co.id/Hanasui-Propolis-Serum-25Ml-Serum-Wajah-Face-Serum-Merawat-Kulit-Wajah-i.114789399.7942427517")</f>
        <v>https://shopee.co.id/Hanasui-Propolis-Serum-25Ml-Serum-Wajah-Face-Serum-Merawat-Kulit-Wajah-i.114789399.7942427517</v>
      </c>
      <c r="C2538" s="8" t="s">
        <v>784</v>
      </c>
      <c r="D2538" s="8" t="s">
        <v>2531</v>
      </c>
      <c r="E2538" s="8" t="s">
        <v>12</v>
      </c>
      <c r="F2538" s="8" t="s">
        <v>13</v>
      </c>
      <c r="G2538" s="8" t="s">
        <v>36</v>
      </c>
      <c r="H2538" s="16">
        <v>1.0</v>
      </c>
      <c r="I2538" s="15" t="str">
        <f>SUBSTITUTE(Sheet1!K2538, "Rp", "")</f>
        <v>65313</v>
      </c>
    </row>
    <row r="2539">
      <c r="A2539" s="8" t="s">
        <v>3691</v>
      </c>
      <c r="B2539" s="13" t="str">
        <f>HYPERLINK("https://shopee.co.id/HERSALL-2pcs-Moon-Fairy-Serum-i.329847628.10627213252", "https://shopee.co.id/HERSALL-2pcs-Moon-Fairy-Serum-i.329847628.10627213252")</f>
        <v>https://shopee.co.id/HERSALL-2pcs-Moon-Fairy-Serum-i.329847628.10627213252</v>
      </c>
      <c r="C2539" s="8" t="s">
        <v>2000</v>
      </c>
      <c r="D2539" s="8" t="s">
        <v>2001</v>
      </c>
      <c r="E2539" s="8" t="s">
        <v>12</v>
      </c>
      <c r="F2539" s="8" t="s">
        <v>13</v>
      </c>
      <c r="G2539" s="8" t="s">
        <v>61</v>
      </c>
      <c r="H2539" s="16">
        <v>1.0</v>
      </c>
      <c r="I2539" s="15" t="str">
        <f>SUBSTITUTE(Sheet1!K2539, "Rp", "")</f>
        <v>184000</v>
      </c>
    </row>
    <row r="2540">
      <c r="A2540" s="8" t="s">
        <v>3677</v>
      </c>
      <c r="B2540" s="13" t="str">
        <f>HYPERLINK("https://shopee.co.id/HERSALL-2pcs-Watermelon-Ice-Cream-i.329847628.8789714696", "https://shopee.co.id/HERSALL-2pcs-Watermelon-Ice-Cream-i.329847628.8789714696")</f>
        <v>https://shopee.co.id/HERSALL-2pcs-Watermelon-Ice-Cream-i.329847628.8789714696</v>
      </c>
      <c r="C2540" s="8" t="s">
        <v>2000</v>
      </c>
      <c r="D2540" s="8" t="s">
        <v>2001</v>
      </c>
      <c r="E2540" s="8" t="s">
        <v>12</v>
      </c>
      <c r="F2540" s="8" t="s">
        <v>13</v>
      </c>
      <c r="G2540" s="8" t="s">
        <v>61</v>
      </c>
      <c r="H2540" s="16">
        <v>1.0</v>
      </c>
      <c r="I2540" s="15" t="str">
        <f>SUBSTITUTE(Sheet1!K2540, "Rp", "")</f>
        <v>190000</v>
      </c>
    </row>
    <row r="2541">
      <c r="A2541" s="8" t="s">
        <v>3355</v>
      </c>
      <c r="B2541" s="13" t="str">
        <f>HYPERLINK("https://shopee.co.id/Histoire-Naturelle-Brightening-Duo-i.315746431.8934518456", "https://shopee.co.id/Histoire-Naturelle-Brightening-Duo-i.315746431.8934518456")</f>
        <v>https://shopee.co.id/Histoire-Naturelle-Brightening-Duo-i.315746431.8934518456</v>
      </c>
      <c r="C2541" s="8" t="s">
        <v>1854</v>
      </c>
      <c r="D2541" s="8" t="s">
        <v>1855</v>
      </c>
      <c r="E2541" s="8" t="s">
        <v>12</v>
      </c>
      <c r="F2541" s="8" t="s">
        <v>13</v>
      </c>
      <c r="G2541" s="8" t="s">
        <v>130</v>
      </c>
      <c r="H2541" s="16">
        <v>1.0</v>
      </c>
      <c r="I2541" s="15" t="str">
        <f>SUBSTITUTE(Sheet1!K2541, "Rp", "")</f>
        <v>388000</v>
      </c>
    </row>
    <row r="2542">
      <c r="A2542" s="8" t="s">
        <v>3268</v>
      </c>
      <c r="B2542" s="13" t="str">
        <f>HYPERLINK("https://shopee.co.id/HISTOIRE-NATURELLE-Double-Lactobacillus-Refine-Serum-i.315746431.3884063305", "https://shopee.co.id/HISTOIRE-NATURELLE-Double-Lactobacillus-Refine-Serum-i.315746431.3884063305")</f>
        <v>https://shopee.co.id/HISTOIRE-NATURELLE-Double-Lactobacillus-Refine-Serum-i.315746431.3884063305</v>
      </c>
      <c r="C2542" s="8" t="s">
        <v>1854</v>
      </c>
      <c r="D2542" s="8" t="s">
        <v>1855</v>
      </c>
      <c r="E2542" s="8" t="s">
        <v>12</v>
      </c>
      <c r="F2542" s="8" t="s">
        <v>13</v>
      </c>
      <c r="G2542" s="8" t="s">
        <v>130</v>
      </c>
      <c r="H2542" s="16">
        <v>1.0</v>
      </c>
      <c r="I2542" s="15" t="str">
        <f>SUBSTITUTE(Sheet1!K2542, "Rp", "")</f>
        <v>458000</v>
      </c>
    </row>
    <row r="2543">
      <c r="A2543" s="8" t="s">
        <v>3094</v>
      </c>
      <c r="B2543" s="13" t="str">
        <f>HYPERLINK("https://shopee.co.id/Holika-Holika-Bundling-Aloe-Soothing-Essence-i.18856010.2002147817", "https://shopee.co.id/Holika-Holika-Bundling-Aloe-Soothing-Essence-i.18856010.2002147817")</f>
        <v>https://shopee.co.id/Holika-Holika-Bundling-Aloe-Soothing-Essence-i.18856010.2002147817</v>
      </c>
      <c r="C2543" s="8" t="s">
        <v>2265</v>
      </c>
      <c r="D2543" s="8" t="s">
        <v>2266</v>
      </c>
      <c r="E2543" s="8" t="s">
        <v>12</v>
      </c>
      <c r="F2543" s="8" t="s">
        <v>13</v>
      </c>
      <c r="G2543" s="8" t="s">
        <v>21</v>
      </c>
      <c r="H2543" s="16">
        <v>1.0</v>
      </c>
      <c r="I2543" s="15" t="str">
        <f>SUBSTITUTE(Sheet1!K2543, "Rp", "")</f>
        <v>632000</v>
      </c>
    </row>
    <row r="2544">
      <c r="A2544" s="8" t="s">
        <v>3437</v>
      </c>
      <c r="B2544" s="13" t="str">
        <f>HYPERLINK("https://shopee.co.id/Holika-Holika-Honey-Royalactin-Propolis-Ampoule-Set-i.18856010.8044482928", "https://shopee.co.id/Holika-Holika-Honey-Royalactin-Propolis-Ampoule-Set-i.18856010.8044482928")</f>
        <v>https://shopee.co.id/Holika-Holika-Honey-Royalactin-Propolis-Ampoule-Set-i.18856010.8044482928</v>
      </c>
      <c r="C2544" s="8" t="s">
        <v>2265</v>
      </c>
      <c r="D2544" s="8" t="s">
        <v>2266</v>
      </c>
      <c r="E2544" s="8" t="s">
        <v>12</v>
      </c>
      <c r="F2544" s="8" t="s">
        <v>13</v>
      </c>
      <c r="G2544" s="8" t="s">
        <v>21</v>
      </c>
      <c r="H2544" s="16">
        <v>1.0</v>
      </c>
      <c r="I2544" s="15" t="str">
        <f>SUBSTITUTE(Sheet1!K2544, "Rp", "")</f>
        <v>323000</v>
      </c>
    </row>
    <row r="2545">
      <c r="A2545" s="8" t="s">
        <v>2848</v>
      </c>
      <c r="B2545" s="13" t="str">
        <f>HYPERLINK("https://shopee.co.id/Holika-Holika-Prime-Youth-Black-Snail-Repair-Essence-i.18856010.838803932", "https://shopee.co.id/Holika-Holika-Prime-Youth-Black-Snail-Repair-Essence-i.18856010.838803932")</f>
        <v>https://shopee.co.id/Holika-Holika-Prime-Youth-Black-Snail-Repair-Essence-i.18856010.838803932</v>
      </c>
      <c r="C2545" s="8" t="s">
        <v>2265</v>
      </c>
      <c r="D2545" s="8" t="s">
        <v>2266</v>
      </c>
      <c r="E2545" s="8" t="s">
        <v>12</v>
      </c>
      <c r="F2545" s="8" t="s">
        <v>13</v>
      </c>
      <c r="G2545" s="8" t="s">
        <v>21</v>
      </c>
      <c r="H2545" s="16">
        <v>1.0</v>
      </c>
      <c r="I2545" s="15" t="str">
        <f>SUBSTITUTE(Sheet1!K2545, "Rp", "")</f>
        <v>966000</v>
      </c>
    </row>
    <row r="2546">
      <c r="A2546" s="8" t="s">
        <v>3979</v>
      </c>
      <c r="B2546" s="13" t="str">
        <f>HYPERLINK("https://shopee.co.id/Holika-Holika-Pure-Essence-Mugwort-Bubble-Cleansing-Pack-1pc--i.18856010.7756723975", "https://shopee.co.id/Holika-Holika-Pure-Essence-Mugwort-Bubble-Cleansing-Pack-1pc--i.18856010.7756723975")</f>
        <v>https://shopee.co.id/Holika-Holika-Pure-Essence-Mugwort-Bubble-Cleansing-Pack-1pc--i.18856010.7756723975</v>
      </c>
      <c r="C2546" s="8" t="s">
        <v>2265</v>
      </c>
      <c r="D2546" s="8" t="s">
        <v>2266</v>
      </c>
      <c r="E2546" s="8" t="s">
        <v>12</v>
      </c>
      <c r="F2546" s="8" t="s">
        <v>13</v>
      </c>
      <c r="G2546" s="8" t="s">
        <v>21</v>
      </c>
      <c r="H2546" s="16">
        <v>1.0</v>
      </c>
      <c r="I2546" s="15" t="str">
        <f>SUBSTITUTE(Sheet1!K2546, "Rp", "")</f>
        <v>19000</v>
      </c>
    </row>
    <row r="2547">
      <c r="A2547" s="8" t="s">
        <v>3878</v>
      </c>
      <c r="B2547" s="13" t="str">
        <f>HYPERLINK("https://shopee.co.id/Humphrey-hairloss-advance-serum-2x20ml-i.121791179.6251735088", "https://shopee.co.id/Humphrey-hairloss-advance-serum-2x20ml-i.121791179.6251735088")</f>
        <v>https://shopee.co.id/Humphrey-hairloss-advance-serum-2x20ml-i.121791179.6251735088</v>
      </c>
      <c r="C2547" s="8" t="s">
        <v>3879</v>
      </c>
      <c r="D2547" s="8" t="s">
        <v>1733</v>
      </c>
      <c r="E2547" s="8" t="s">
        <v>12</v>
      </c>
      <c r="F2547" s="8" t="s">
        <v>13</v>
      </c>
      <c r="G2547" s="8" t="s">
        <v>36</v>
      </c>
      <c r="H2547" s="16">
        <v>1.0</v>
      </c>
      <c r="I2547" s="15" t="str">
        <f>SUBSTITUTE(Sheet1!K2547, "Rp", "")</f>
        <v>92800</v>
      </c>
    </row>
    <row r="2548">
      <c r="A2548" s="8" t="s">
        <v>3885</v>
      </c>
      <c r="B2548" s="13" t="str">
        <f>HYPERLINK("https://shopee.co.id/HUMPHREY-Hairloss-Serum-i.68111.11302582079", "https://shopee.co.id/HUMPHREY-Hairloss-Serum-i.68111.11302582079")</f>
        <v>https://shopee.co.id/HUMPHREY-Hairloss-Serum-i.68111.11302582079</v>
      </c>
      <c r="C2548" s="8" t="s">
        <v>3879</v>
      </c>
      <c r="D2548" s="8" t="s">
        <v>441</v>
      </c>
      <c r="E2548" s="8" t="s">
        <v>12</v>
      </c>
      <c r="F2548" s="8" t="s">
        <v>13</v>
      </c>
      <c r="G2548" s="8" t="s">
        <v>130</v>
      </c>
      <c r="H2548" s="16">
        <v>1.0</v>
      </c>
      <c r="I2548" s="15" t="str">
        <f>SUBSTITUTE(Sheet1!K2548, "Rp", "")</f>
        <v>89900</v>
      </c>
    </row>
    <row r="2549">
      <c r="A2549" s="8" t="s">
        <v>3884</v>
      </c>
      <c r="B2549" s="13" t="str">
        <f>HYPERLINK("https://shopee.co.id/HUMPHREY-Niacinamide-10-Intensive-Serum-20ml-i.68111.10102604171", "https://shopee.co.id/HUMPHREY-Niacinamide-10-Intensive-Serum-20ml-i.68111.10102604171")</f>
        <v>https://shopee.co.id/HUMPHREY-Niacinamide-10-Intensive-Serum-20ml-i.68111.10102604171</v>
      </c>
      <c r="C2549" s="8" t="s">
        <v>1832</v>
      </c>
      <c r="D2549" s="8" t="s">
        <v>441</v>
      </c>
      <c r="E2549" s="8" t="s">
        <v>12</v>
      </c>
      <c r="F2549" s="8" t="s">
        <v>13</v>
      </c>
      <c r="G2549" s="8" t="s">
        <v>130</v>
      </c>
      <c r="H2549" s="16">
        <v>1.0</v>
      </c>
      <c r="I2549" s="15" t="str">
        <f>SUBSTITUTE(Sheet1!K2549, "Rp", "")</f>
        <v>89925</v>
      </c>
    </row>
    <row r="2550">
      <c r="A2550" s="8" t="s">
        <v>3947</v>
      </c>
      <c r="B2550" s="13" t="str">
        <f>HYPERLINK("https://shopee.co.id/HUMPHREY-Serum-Vitamin-C-Collagen-Plus-20ml-i.68111.4690754796", "https://shopee.co.id/HUMPHREY-Serum-Vitamin-C-Collagen-Plus-20ml-i.68111.4690754796")</f>
        <v>https://shopee.co.id/HUMPHREY-Serum-Vitamin-C-Collagen-Plus-20ml-i.68111.4690754796</v>
      </c>
      <c r="C2550" s="8" t="s">
        <v>1832</v>
      </c>
      <c r="D2550" s="8" t="s">
        <v>441</v>
      </c>
      <c r="E2550" s="8" t="s">
        <v>12</v>
      </c>
      <c r="F2550" s="8" t="s">
        <v>13</v>
      </c>
      <c r="G2550" s="8" t="s">
        <v>130</v>
      </c>
      <c r="H2550" s="16">
        <v>1.0</v>
      </c>
      <c r="I2550" s="15" t="str">
        <f>SUBSTITUTE(Sheet1!K2550, "Rp", "")</f>
        <v>56175</v>
      </c>
    </row>
    <row r="2551">
      <c r="A2551" s="8" t="s">
        <v>3940</v>
      </c>
      <c r="B2551" s="13" t="str">
        <f>HYPERLINK("https://shopee.co.id/Humphrey-Vitamin-C-Collagen-Serum-20ml-i.121791179.1863486744", "https://shopee.co.id/Humphrey-Vitamin-C-Collagen-Serum-20ml-i.121791179.1863486744")</f>
        <v>https://shopee.co.id/Humphrey-Vitamin-C-Collagen-Serum-20ml-i.121791179.1863486744</v>
      </c>
      <c r="C2551" s="8" t="s">
        <v>1832</v>
      </c>
      <c r="D2551" s="8" t="s">
        <v>1733</v>
      </c>
      <c r="E2551" s="8" t="s">
        <v>12</v>
      </c>
      <c r="F2551" s="8" t="s">
        <v>13</v>
      </c>
      <c r="G2551" s="8" t="s">
        <v>36</v>
      </c>
      <c r="H2551" s="16">
        <v>1.0</v>
      </c>
      <c r="I2551" s="15" t="str">
        <f>SUBSTITUTE(Sheet1!K2551, "Rp", "")</f>
        <v>58400</v>
      </c>
    </row>
    <row r="2552">
      <c r="A2552" s="8" t="s">
        <v>3919</v>
      </c>
      <c r="B2552" s="13" t="str">
        <f>HYPERLINK("https://shopee.co.id/I-Face-Vitamin-C-Serum-10-Ml-Mencerahkan-Dan-Melembabkan-Kulit-Original-100--i.185943783.5011883851", "https://shopee.co.id/I-Face-Vitamin-C-Serum-10-Ml-Mencerahkan-Dan-Melembabkan-Kulit-Original-100--i.185943783.5011883851")</f>
        <v>https://shopee.co.id/I-Face-Vitamin-C-Serum-10-Ml-Mencerahkan-Dan-Melembabkan-Kulit-Original-100--i.185943783.5011883851</v>
      </c>
      <c r="C2552" s="8" t="s">
        <v>1116</v>
      </c>
      <c r="D2552" s="8" t="s">
        <v>3429</v>
      </c>
      <c r="E2552" s="8" t="s">
        <v>12</v>
      </c>
      <c r="F2552" s="8" t="s">
        <v>13</v>
      </c>
      <c r="G2552" s="8" t="s">
        <v>36</v>
      </c>
      <c r="H2552" s="16">
        <v>1.0</v>
      </c>
      <c r="I2552" s="15" t="str">
        <f>SUBSTITUTE(Sheet1!K2552, "Rp", "")</f>
        <v>71000</v>
      </c>
    </row>
    <row r="2553">
      <c r="A2553" s="8" t="s">
        <v>3447</v>
      </c>
      <c r="B2553" s="13" t="str">
        <f>HYPERLINK("https://shopee.co.id/ID-AZ-Face-Fit-V-Fit-ler-Ampoule-15ml-i.825870.7202301785", "https://shopee.co.id/ID-AZ-Face-Fit-V-Fit-ler-Ampoule-15ml-i.825870.7202301785")</f>
        <v>https://shopee.co.id/ID-AZ-Face-Fit-V-Fit-ler-Ampoule-15ml-i.825870.7202301785</v>
      </c>
      <c r="C2553" s="8" t="s">
        <v>3448</v>
      </c>
      <c r="D2553" s="8" t="s">
        <v>1184</v>
      </c>
      <c r="E2553" s="8" t="s">
        <v>12</v>
      </c>
      <c r="F2553" s="8" t="s">
        <v>13</v>
      </c>
      <c r="G2553" s="8" t="s">
        <v>21</v>
      </c>
      <c r="H2553" s="16">
        <v>1.0</v>
      </c>
      <c r="I2553" s="15" t="str">
        <f>SUBSTITUTE(Sheet1!K2553, "Rp", "")</f>
        <v>319000</v>
      </c>
    </row>
    <row r="2554">
      <c r="A2554" s="8" t="s">
        <v>3636</v>
      </c>
      <c r="B2554" s="13" t="str">
        <f>HYPERLINK("https://shopee.co.id/Indoganic-Beauty-Brightening-Vitamin-C-Serum-with-Glutathione-15ml-i.825870.7315511634", "https://shopee.co.id/Indoganic-Beauty-Brightening-Vitamin-C-Serum-with-Glutathione-15ml-i.825870.7315511634")</f>
        <v>https://shopee.co.id/Indoganic-Beauty-Brightening-Vitamin-C-Serum-with-Glutathione-15ml-i.825870.7315511634</v>
      </c>
      <c r="C2554" s="8" t="s">
        <v>995</v>
      </c>
      <c r="D2554" s="8" t="s">
        <v>1184</v>
      </c>
      <c r="E2554" s="8" t="s">
        <v>12</v>
      </c>
      <c r="F2554" s="8" t="s">
        <v>13</v>
      </c>
      <c r="G2554" s="8" t="s">
        <v>21</v>
      </c>
      <c r="H2554" s="16">
        <v>1.0</v>
      </c>
      <c r="I2554" s="15" t="str">
        <f>SUBSTITUTE(Sheet1!K2554, "Rp", "")</f>
        <v>209000</v>
      </c>
    </row>
    <row r="2555">
      <c r="A2555" s="8" t="s">
        <v>3762</v>
      </c>
      <c r="B2555" s="13" t="str">
        <f>HYPERLINK("https://shopee.co.id/INDOGANIC-Beauty-Rose-Essence-C-60ml-i.68111.9370067072", "https://shopee.co.id/INDOGANIC-Beauty-Rose-Essence-C-60ml-i.68111.9370067072")</f>
        <v>https://shopee.co.id/INDOGANIC-Beauty-Rose-Essence-C-60ml-i.68111.9370067072</v>
      </c>
      <c r="C2555" s="8" t="s">
        <v>995</v>
      </c>
      <c r="D2555" s="8" t="s">
        <v>441</v>
      </c>
      <c r="E2555" s="8" t="s">
        <v>12</v>
      </c>
      <c r="F2555" s="8" t="s">
        <v>13</v>
      </c>
      <c r="G2555" s="8" t="s">
        <v>130</v>
      </c>
      <c r="H2555" s="16">
        <v>1.0</v>
      </c>
      <c r="I2555" s="15" t="str">
        <f>SUBSTITUTE(Sheet1!K2555, "Rp", "")</f>
        <v>143100</v>
      </c>
    </row>
    <row r="2556">
      <c r="A2556" s="8" t="s">
        <v>3381</v>
      </c>
      <c r="B2556" s="13" t="str">
        <f>HYPERLINK("https://shopee.co.id/Indoganic-Promo-Brightening-Vit-C-Serum-Rose-Quartz-Roller-i.4706308.5569869430", "https://shopee.co.id/Indoganic-Promo-Brightening-Vit-C-Serum-Rose-Quartz-Roller-i.4706308.5569869430")</f>
        <v>https://shopee.co.id/Indoganic-Promo-Brightening-Vit-C-Serum-Rose-Quartz-Roller-i.4706308.5569869430</v>
      </c>
      <c r="C2556" s="8" t="s">
        <v>995</v>
      </c>
      <c r="D2556" s="8" t="s">
        <v>996</v>
      </c>
      <c r="E2556" s="8" t="s">
        <v>12</v>
      </c>
      <c r="F2556" s="8" t="s">
        <v>13</v>
      </c>
      <c r="G2556" s="8" t="s">
        <v>241</v>
      </c>
      <c r="H2556" s="16">
        <v>1.0</v>
      </c>
      <c r="I2556" s="15" t="str">
        <f>SUBSTITUTE(Sheet1!K2556, "Rp", "")</f>
        <v>374400</v>
      </c>
    </row>
    <row r="2557">
      <c r="A2557" s="8" t="s">
        <v>3906</v>
      </c>
      <c r="B2557" s="13" t="str">
        <f>HYPERLINK("https://shopee.co.id/Indoganic-Rose-Essence-C-20ml-i.825870.9572894565", "https://shopee.co.id/Indoganic-Rose-Essence-C-20ml-i.825870.9572894565")</f>
        <v>https://shopee.co.id/Indoganic-Rose-Essence-C-20ml-i.825870.9572894565</v>
      </c>
      <c r="C2557" s="8" t="s">
        <v>995</v>
      </c>
      <c r="D2557" s="8" t="s">
        <v>1184</v>
      </c>
      <c r="E2557" s="8" t="s">
        <v>12</v>
      </c>
      <c r="F2557" s="8" t="s">
        <v>13</v>
      </c>
      <c r="G2557" s="8" t="s">
        <v>21</v>
      </c>
      <c r="H2557" s="16">
        <v>1.0</v>
      </c>
      <c r="I2557" s="15" t="str">
        <f>SUBSTITUTE(Sheet1!K2557, "Rp", "")</f>
        <v>79000</v>
      </c>
    </row>
    <row r="2558">
      <c r="A2558" s="8" t="s">
        <v>3260</v>
      </c>
      <c r="B2558" s="13" t="str">
        <f>HYPERLINK("https://shopee.co.id/Iunik-Black-Snail-Restore-Serum-15ml-i.825870.9936389560", "https://shopee.co.id/Iunik-Black-Snail-Restore-Serum-15ml-i.825870.9936389560")</f>
        <v>https://shopee.co.id/Iunik-Black-Snail-Restore-Serum-15ml-i.825870.9936389560</v>
      </c>
      <c r="C2558" s="8" t="s">
        <v>1658</v>
      </c>
      <c r="D2558" s="8" t="s">
        <v>1184</v>
      </c>
      <c r="E2558" s="8" t="s">
        <v>12</v>
      </c>
      <c r="F2558" s="8" t="s">
        <v>13</v>
      </c>
      <c r="G2558" s="8" t="s">
        <v>21</v>
      </c>
      <c r="H2558" s="16">
        <v>1.0</v>
      </c>
      <c r="I2558" s="15" t="str">
        <f>SUBSTITUTE(Sheet1!K2558, "Rp", "")</f>
        <v>99400</v>
      </c>
    </row>
    <row r="2559">
      <c r="A2559" s="8" t="s">
        <v>3058</v>
      </c>
      <c r="B2559" s="13" t="str">
        <f>HYPERLINK("https://shopee.co.id/Iunik-Black-Snail-Restore-Serum-50ml-i.825870.2357252510", "https://shopee.co.id/Iunik-Black-Snail-Restore-Serum-50ml-i.825870.2357252510")</f>
        <v>https://shopee.co.id/Iunik-Black-Snail-Restore-Serum-50ml-i.825870.2357252510</v>
      </c>
      <c r="C2559" s="8" t="s">
        <v>1658</v>
      </c>
      <c r="D2559" s="8" t="s">
        <v>1184</v>
      </c>
      <c r="E2559" s="8" t="s">
        <v>12</v>
      </c>
      <c r="F2559" s="8" t="s">
        <v>13</v>
      </c>
      <c r="G2559" s="8" t="s">
        <v>21</v>
      </c>
      <c r="H2559" s="16">
        <v>1.0</v>
      </c>
      <c r="I2559" s="15" t="str">
        <f>SUBSTITUTE(Sheet1!K2559, "Rp", "")</f>
        <v>201480</v>
      </c>
    </row>
    <row r="2560">
      <c r="A2560" s="8" t="s">
        <v>3871</v>
      </c>
      <c r="B2560" s="13" t="str">
        <f>HYPERLINK("https://shopee.co.id/Iunik-Rose-Galactomyces-Synergy-Serum-15ml-i.270765534.3653354824", "https://shopee.co.id/Iunik-Rose-Galactomyces-Synergy-Serum-15ml-i.270765534.3653354824")</f>
        <v>https://shopee.co.id/Iunik-Rose-Galactomyces-Synergy-Serum-15ml-i.270765534.3653354824</v>
      </c>
      <c r="C2560" s="8" t="s">
        <v>1658</v>
      </c>
      <c r="D2560" s="8" t="s">
        <v>1659</v>
      </c>
      <c r="E2560" s="8" t="s">
        <v>12</v>
      </c>
      <c r="F2560" s="8" t="s">
        <v>13</v>
      </c>
      <c r="G2560" s="8" t="s">
        <v>21</v>
      </c>
      <c r="H2560" s="16">
        <v>1.0</v>
      </c>
      <c r="I2560" s="15" t="str">
        <f>SUBSTITUTE(Sheet1!K2560, "Rp", "")</f>
        <v>98000</v>
      </c>
    </row>
    <row r="2561">
      <c r="A2561" s="8" t="s">
        <v>3825</v>
      </c>
      <c r="B2561" s="13" t="str">
        <f>HYPERLINK("https://shopee.co.id/Jarkeen-Porecelain-Skin-Serum-i.79492424.7038210903", "https://shopee.co.id/Jarkeen-Porecelain-Skin-Serum-i.79492424.7038210903")</f>
        <v>https://shopee.co.id/Jarkeen-Porecelain-Skin-Serum-i.79492424.7038210903</v>
      </c>
      <c r="C2561" s="8" t="s">
        <v>738</v>
      </c>
      <c r="D2561" s="8" t="s">
        <v>3456</v>
      </c>
      <c r="E2561" s="8" t="s">
        <v>12</v>
      </c>
      <c r="F2561" s="8" t="s">
        <v>13</v>
      </c>
      <c r="G2561" s="8" t="s">
        <v>469</v>
      </c>
      <c r="H2561" s="16">
        <v>1.0</v>
      </c>
      <c r="I2561" s="15" t="str">
        <f>SUBSTITUTE(Sheet1!K2561, "Rp", "")</f>
        <v>115500</v>
      </c>
    </row>
    <row r="2562">
      <c r="A2562" s="8" t="s">
        <v>3815</v>
      </c>
      <c r="B2562" s="13" t="str">
        <f>HYPERLINK("https://shopee.co.id/Jarte-Cica-Care-Ampoule-20ml-i.136011044.9213659715", "https://shopee.co.id/Jarte-Cica-Care-Ampoule-20ml-i.136011044.9213659715")</f>
        <v>https://shopee.co.id/Jarte-Cica-Care-Ampoule-20ml-i.136011044.9213659715</v>
      </c>
      <c r="C2562" s="8" t="s">
        <v>3816</v>
      </c>
      <c r="D2562" s="8" t="s">
        <v>632</v>
      </c>
      <c r="E2562" s="8" t="s">
        <v>12</v>
      </c>
      <c r="F2562" s="8" t="s">
        <v>13</v>
      </c>
      <c r="G2562" s="8" t="s">
        <v>21</v>
      </c>
      <c r="H2562" s="16">
        <v>1.0</v>
      </c>
      <c r="I2562" s="15" t="str">
        <f>SUBSTITUTE(Sheet1!K2562, "Rp", "")</f>
        <v>119000</v>
      </c>
    </row>
    <row r="2563">
      <c r="A2563" s="8" t="s">
        <v>3841</v>
      </c>
      <c r="B2563" s="13" t="str">
        <f>HYPERLINK("https://shopee.co.id/JARTE-Cica-Care-Ampoule-20ml-i.270965687.10505358358", "https://shopee.co.id/JARTE-Cica-Care-Ampoule-20ml-i.270965687.10505358358")</f>
        <v>https://shopee.co.id/JARTE-Cica-Care-Ampoule-20ml-i.270965687.10505358358</v>
      </c>
      <c r="C2563" s="8" t="s">
        <v>3816</v>
      </c>
      <c r="D2563" s="8" t="s">
        <v>379</v>
      </c>
      <c r="E2563" s="8" t="s">
        <v>12</v>
      </c>
      <c r="F2563" s="8" t="s">
        <v>13</v>
      </c>
      <c r="G2563" s="8" t="s">
        <v>380</v>
      </c>
      <c r="H2563" s="16">
        <v>1.0</v>
      </c>
      <c r="I2563" s="15" t="str">
        <f>SUBSTITUTE(Sheet1!K2563, "Rp", "")</f>
        <v>107100</v>
      </c>
    </row>
    <row r="2564">
      <c r="A2564" s="8" t="s">
        <v>2485</v>
      </c>
      <c r="B2564" s="13" t="str">
        <f>HYPERLINK("https://shopee.co.id/KANEBO-Illuminating-Serum-30ml-i.169111593.6331012915", "https://shopee.co.id/KANEBO-Illuminating-Serum-30ml-i.169111593.6331012915")</f>
        <v>https://shopee.co.id/KANEBO-Illuminating-Serum-30ml-i.169111593.6331012915</v>
      </c>
      <c r="C2564" s="8" t="s">
        <v>1473</v>
      </c>
      <c r="D2564" s="8" t="s">
        <v>1474</v>
      </c>
      <c r="E2564" s="8" t="s">
        <v>12</v>
      </c>
      <c r="F2564" s="8" t="s">
        <v>13</v>
      </c>
      <c r="G2564" s="8" t="s">
        <v>532</v>
      </c>
      <c r="H2564" s="16">
        <v>1.0</v>
      </c>
      <c r="I2564" s="15" t="str">
        <f>SUBSTITUTE(Sheet1!K2564, "Rp", "")</f>
        <v>1750000</v>
      </c>
    </row>
    <row r="2565">
      <c r="A2565" s="8" t="s">
        <v>2169</v>
      </c>
      <c r="B2565" s="13" t="str">
        <f>HYPERLINK("https://shopee.co.id/KANEBO-Illuminating-Serum-Kit-i.169111593.3249564115", "https://shopee.co.id/KANEBO-Illuminating-Serum-Kit-i.169111593.3249564115")</f>
        <v>https://shopee.co.id/KANEBO-Illuminating-Serum-Kit-i.169111593.3249564115</v>
      </c>
      <c r="C2565" s="8" t="s">
        <v>1473</v>
      </c>
      <c r="D2565" s="8" t="s">
        <v>1474</v>
      </c>
      <c r="E2565" s="8" t="s">
        <v>12</v>
      </c>
      <c r="F2565" s="8" t="s">
        <v>13</v>
      </c>
      <c r="G2565" s="8" t="s">
        <v>532</v>
      </c>
      <c r="H2565" s="16">
        <v>1.0</v>
      </c>
      <c r="I2565" s="15" t="str">
        <f>SUBSTITUTE(Sheet1!K2565, "Rp", "")</f>
        <v>2650000</v>
      </c>
    </row>
    <row r="2566">
      <c r="A2566" s="8" t="s">
        <v>3067</v>
      </c>
      <c r="B2566" s="13" t="str">
        <f>HYPERLINK("https://shopee.co.id/KANEBO-Skin-Gloss-Oil-Water-50ML-i.169111593.5001801453", "https://shopee.co.id/KANEBO-Skin-Gloss-Oil-Water-50ML-i.169111593.5001801453")</f>
        <v>https://shopee.co.id/KANEBO-Skin-Gloss-Oil-Water-50ML-i.169111593.5001801453</v>
      </c>
      <c r="C2566" s="8" t="s">
        <v>1473</v>
      </c>
      <c r="D2566" s="8" t="s">
        <v>1474</v>
      </c>
      <c r="E2566" s="8" t="s">
        <v>12</v>
      </c>
      <c r="F2566" s="8" t="s">
        <v>13</v>
      </c>
      <c r="G2566" s="8" t="s">
        <v>532</v>
      </c>
      <c r="H2566" s="16">
        <v>1.0</v>
      </c>
      <c r="I2566" s="15" t="str">
        <f>SUBSTITUTE(Sheet1!K2566, "Rp", "")</f>
        <v>665000</v>
      </c>
    </row>
    <row r="2567">
      <c r="A2567" s="8" t="s">
        <v>3789</v>
      </c>
      <c r="B2567" s="13" t="str">
        <f>HYPERLINK("https://shopee.co.id/Keaj-Beaute-Acne-Care-Serum-Wajah-Berjerawat-Mugwort-Niacinamide-BHA-Salycilic-Organik-BISA-COD--i.324866227.10902607283", "https://shopee.co.id/Keaj-Beaute-Acne-Care-Serum-Wajah-Berjerawat-Mugwort-Niacinamide-BHA-Salycilic-Organik-BISA-COD--i.324866227.10902607283")</f>
        <v>https://shopee.co.id/Keaj-Beaute-Acne-Care-Serum-Wajah-Berjerawat-Mugwort-Niacinamide-BHA-Salycilic-Organik-BISA-COD--i.324866227.10902607283</v>
      </c>
      <c r="C2567" s="8" t="s">
        <v>3359</v>
      </c>
      <c r="D2567" s="8" t="s">
        <v>3360</v>
      </c>
      <c r="E2567" s="8" t="s">
        <v>12</v>
      </c>
      <c r="F2567" s="8" t="s">
        <v>13</v>
      </c>
      <c r="G2567" s="8" t="s">
        <v>2690</v>
      </c>
      <c r="H2567" s="16">
        <v>1.0</v>
      </c>
      <c r="I2567" s="15" t="str">
        <f>SUBSTITUTE(Sheet1!K2567, "Rp", "")</f>
        <v>129000</v>
      </c>
    </row>
    <row r="2568">
      <c r="A2568" s="8" t="s">
        <v>3659</v>
      </c>
      <c r="B2568" s="13" t="str">
        <f>HYPERLINK("https://shopee.co.id/Keep-Cool-and-Soothe-Serum-50ml-i.136011044.3640477823", "https://shopee.co.id/Keep-Cool-and-Soothe-Serum-50ml-i.136011044.3640477823")</f>
        <v>https://shopee.co.id/Keep-Cool-and-Soothe-Serum-50ml-i.136011044.3640477823</v>
      </c>
      <c r="C2568" s="8" t="s">
        <v>1202</v>
      </c>
      <c r="D2568" s="8" t="s">
        <v>632</v>
      </c>
      <c r="E2568" s="8" t="s">
        <v>12</v>
      </c>
      <c r="F2568" s="8" t="s">
        <v>13</v>
      </c>
      <c r="G2568" s="8" t="s">
        <v>21</v>
      </c>
      <c r="H2568" s="16">
        <v>1.0</v>
      </c>
      <c r="I2568" s="15" t="str">
        <f>SUBSTITUTE(Sheet1!K2568, "Rp", "")</f>
        <v>199000</v>
      </c>
    </row>
    <row r="2569">
      <c r="A2569" s="8" t="s">
        <v>3817</v>
      </c>
      <c r="B2569" s="13" t="str">
        <f>HYPERLINK("https://shopee.co.id/KKV-Everwhite-Brightening-Essence-Serum-15g-Beauty-i.313431312.4693656655", "https://shopee.co.id/KKV-Everwhite-Brightening-Essence-Serum-15g-Beauty-i.313431312.4693656655")</f>
        <v>https://shopee.co.id/KKV-Everwhite-Brightening-Essence-Serum-15g-Beauty-i.313431312.4693656655</v>
      </c>
      <c r="C2569" s="8" t="s">
        <v>157</v>
      </c>
      <c r="D2569" s="8" t="s">
        <v>1524</v>
      </c>
      <c r="E2569" s="8" t="s">
        <v>12</v>
      </c>
      <c r="F2569" s="8" t="s">
        <v>13</v>
      </c>
      <c r="G2569" s="8" t="s">
        <v>21</v>
      </c>
      <c r="H2569" s="16">
        <v>1.0</v>
      </c>
      <c r="I2569" s="15" t="str">
        <f>SUBSTITUTE(Sheet1!K2569, "Rp", "")</f>
        <v>119000</v>
      </c>
    </row>
    <row r="2570">
      <c r="A2570" s="8" t="s">
        <v>3966</v>
      </c>
      <c r="B2570" s="13" t="str">
        <f>HYPERLINK("https://shopee.co.id/KKV-Garnier-Light-Complete-Booster-Serum-40ML-i.261911729.7841504910", "https://shopee.co.id/KKV-Garnier-Light-Complete-Booster-Serum-40ML-i.261911729.7841504910")</f>
        <v>https://shopee.co.id/KKV-Garnier-Light-Complete-Booster-Serum-40ML-i.261911729.7841504910</v>
      </c>
      <c r="C2570" s="8" t="s">
        <v>74</v>
      </c>
      <c r="D2570" s="8" t="s">
        <v>1485</v>
      </c>
      <c r="E2570" s="8" t="s">
        <v>12</v>
      </c>
      <c r="F2570" s="8" t="s">
        <v>13</v>
      </c>
      <c r="G2570" s="8" t="s">
        <v>61</v>
      </c>
      <c r="H2570" s="16">
        <v>1.0</v>
      </c>
      <c r="I2570" s="15" t="str">
        <f>SUBSTITUTE(Sheet1!K2570, "Rp", "")</f>
        <v>39900</v>
      </c>
    </row>
    <row r="2571">
      <c r="A2571" s="8" t="s">
        <v>3936</v>
      </c>
      <c r="B2571" s="13" t="str">
        <f>HYPERLINK("https://shopee.co.id/KKV-Humphrey-Golden-Whitening-Serum-plus-20ml-i.313431312.3261769563", "https://shopee.co.id/KKV-Humphrey-Golden-Whitening-Serum-plus-20ml-i.313431312.3261769563")</f>
        <v>https://shopee.co.id/KKV-Humphrey-Golden-Whitening-Serum-plus-20ml-i.313431312.3261769563</v>
      </c>
      <c r="C2571" s="8" t="s">
        <v>1832</v>
      </c>
      <c r="D2571" s="8" t="s">
        <v>1524</v>
      </c>
      <c r="E2571" s="8" t="s">
        <v>12</v>
      </c>
      <c r="F2571" s="8" t="s">
        <v>13</v>
      </c>
      <c r="G2571" s="8" t="s">
        <v>61</v>
      </c>
      <c r="H2571" s="16">
        <v>1.0</v>
      </c>
      <c r="I2571" s="15" t="str">
        <f>SUBSTITUTE(Sheet1!K2571, "Rp", "")</f>
        <v>59920</v>
      </c>
    </row>
    <row r="2572">
      <c r="A2572" s="8" t="s">
        <v>3781</v>
      </c>
      <c r="B2572" s="13" t="str">
        <f>HYPERLINK("https://shopee.co.id/KKV-SOMETHINC-5-Niacinamide-Moisture-Sabi-Beet-Serum-Skincare-20ml-Beauty-i.313431312.9074521901", "https://shopee.co.id/KKV-SOMETHINC-5-Niacinamide-Moisture-Sabi-Beet-Serum-Skincare-20ml-Beauty-i.313431312.9074521901")</f>
        <v>https://shopee.co.id/KKV-SOMETHINC-5-Niacinamide-Moisture-Sabi-Beet-Serum-Skincare-20ml-Beauty-i.313431312.9074521901</v>
      </c>
      <c r="C2572" s="8" t="s">
        <v>45</v>
      </c>
      <c r="D2572" s="8" t="s">
        <v>1524</v>
      </c>
      <c r="E2572" s="8" t="s">
        <v>12</v>
      </c>
      <c r="F2572" s="8" t="s">
        <v>13</v>
      </c>
      <c r="G2572" s="8" t="s">
        <v>61</v>
      </c>
      <c r="H2572" s="16">
        <v>1.0</v>
      </c>
      <c r="I2572" s="15" t="str">
        <f>SUBSTITUTE(Sheet1!K2572, "Rp", "")</f>
        <v>135571</v>
      </c>
    </row>
    <row r="2573">
      <c r="A2573" s="8" t="s">
        <v>3417</v>
      </c>
      <c r="B2573" s="13" t="str">
        <f>HYPERLINK("https://shopee.co.id/Klairs-Freshly-Juiced-Vitamin-Drop-35ml-i.10689.1085016160", "https://shopee.co.id/Klairs-Freshly-Juiced-Vitamin-Drop-35ml-i.10689.1085016160")</f>
        <v>https://shopee.co.id/Klairs-Freshly-Juiced-Vitamin-Drop-35ml-i.10689.1085016160</v>
      </c>
      <c r="C2573" s="8" t="s">
        <v>432</v>
      </c>
      <c r="D2573" s="8" t="s">
        <v>745</v>
      </c>
      <c r="E2573" s="8" t="s">
        <v>12</v>
      </c>
      <c r="F2573" s="8" t="s">
        <v>13</v>
      </c>
      <c r="G2573" s="8" t="s">
        <v>61</v>
      </c>
      <c r="H2573" s="16">
        <v>1.0</v>
      </c>
      <c r="I2573" s="15" t="str">
        <f>SUBSTITUTE(Sheet1!K2573, "Rp", "")</f>
        <v>350000</v>
      </c>
    </row>
    <row r="2574">
      <c r="A2574" s="8" t="s">
        <v>3459</v>
      </c>
      <c r="B2574" s="13" t="str">
        <f>HYPERLINK("https://shopee.co.id/KLAIRS-Rich-Moist-Soothing-Serum-80ml-i.68111.315875734", "https://shopee.co.id/KLAIRS-Rich-Moist-Soothing-Serum-80ml-i.68111.315875734")</f>
        <v>https://shopee.co.id/KLAIRS-Rich-Moist-Soothing-Serum-80ml-i.68111.315875734</v>
      </c>
      <c r="C2574" s="8" t="s">
        <v>432</v>
      </c>
      <c r="D2574" s="8" t="s">
        <v>441</v>
      </c>
      <c r="E2574" s="8" t="s">
        <v>12</v>
      </c>
      <c r="F2574" s="8" t="s">
        <v>13</v>
      </c>
      <c r="G2574" s="8" t="s">
        <v>130</v>
      </c>
      <c r="H2574" s="16">
        <v>1.0</v>
      </c>
      <c r="I2574" s="15" t="str">
        <f>SUBSTITUTE(Sheet1!K2574, "Rp", "")</f>
        <v>313500</v>
      </c>
    </row>
    <row r="2575">
      <c r="A2575" s="8" t="s">
        <v>3763</v>
      </c>
      <c r="B2575" s="13" t="str">
        <f>HYPERLINK("https://shopee.co.id/Kleveru-Vitamin-C-10-Ferulic-Serum-15ml-i.825870.9951394203", "https://shopee.co.id/Kleveru-Vitamin-C-10-Ferulic-Serum-15ml-i.825870.9951394203")</f>
        <v>https://shopee.co.id/Kleveru-Vitamin-C-10-Ferulic-Serum-15ml-i.825870.9951394203</v>
      </c>
      <c r="C2575" s="8" t="s">
        <v>2408</v>
      </c>
      <c r="D2575" s="8" t="s">
        <v>1184</v>
      </c>
      <c r="E2575" s="8" t="s">
        <v>12</v>
      </c>
      <c r="F2575" s="8" t="s">
        <v>13</v>
      </c>
      <c r="G2575" s="8" t="s">
        <v>21</v>
      </c>
      <c r="H2575" s="16">
        <v>1.0</v>
      </c>
      <c r="I2575" s="15" t="str">
        <f>SUBSTITUTE(Sheet1!K2575, "Rp", "")</f>
        <v>143000</v>
      </c>
    </row>
    <row r="2576">
      <c r="A2576" s="8" t="s">
        <v>3832</v>
      </c>
      <c r="B2576" s="13" t="str">
        <f>HYPERLINK("https://shopee.co.id/Kulit-Sehat-Bebas-Jerawat-Serum-Very-Berry-Acne-Serum-Hyalu-i.101578297.10922915010", "https://shopee.co.id/Kulit-Sehat-Bebas-Jerawat-Serum-Very-Berry-Acne-Serum-Hyalu-i.101578297.10922915010")</f>
        <v>https://shopee.co.id/Kulit-Sehat-Bebas-Jerawat-Serum-Very-Berry-Acne-Serum-Hyalu-i.101578297.10922915010</v>
      </c>
      <c r="C2576" s="8" t="s">
        <v>2430</v>
      </c>
      <c r="D2576" s="8" t="s">
        <v>2431</v>
      </c>
      <c r="E2576" s="8" t="s">
        <v>12</v>
      </c>
      <c r="F2576" s="8" t="s">
        <v>13</v>
      </c>
      <c r="G2576" s="8" t="s">
        <v>21</v>
      </c>
      <c r="H2576" s="16">
        <v>1.0</v>
      </c>
      <c r="I2576" s="15" t="str">
        <f>SUBSTITUTE(Sheet1!K2576, "Rp", "")</f>
        <v>113400</v>
      </c>
    </row>
    <row r="2577">
      <c r="A2577" s="8" t="s">
        <v>3261</v>
      </c>
      <c r="B2577" s="13" t="str">
        <f>HYPERLINK("https://shopee.co.id/L-Oreal-Paris-Revitalift-Crystal-Essence-Limited-Ed-130-ml-x-2-Pcs-i.62579622.6037749874", "https://shopee.co.id/L-Oreal-Paris-Revitalift-Crystal-Essence-Limited-Ed-130-ml-x-2-Pcs-i.62579622.6037749874")</f>
        <v>https://shopee.co.id/L-Oreal-Paris-Revitalift-Crystal-Essence-Limited-Ed-130-ml-x-2-Pcs-i.62579622.6037749874</v>
      </c>
      <c r="C2577" s="8" t="s">
        <v>105</v>
      </c>
      <c r="D2577" s="8" t="s">
        <v>106</v>
      </c>
      <c r="E2577" s="8" t="s">
        <v>12</v>
      </c>
      <c r="F2577" s="8" t="s">
        <v>13</v>
      </c>
      <c r="G2577" s="8" t="s">
        <v>61</v>
      </c>
      <c r="H2577" s="16">
        <v>1.0</v>
      </c>
      <c r="I2577" s="15" t="str">
        <f>SUBSTITUTE(Sheet1!K2577, "Rp", "")</f>
        <v>468900</v>
      </c>
    </row>
    <row r="2578">
      <c r="A2578" s="8" t="s">
        <v>3559</v>
      </c>
      <c r="B2578" s="13" t="str">
        <f>HYPERLINK("https://shopee.co.id/Lacoco-5-Bakuchiol-Essence-30-ml-i.110573301.10937665282", "https://shopee.co.id/Lacoco-5-Bakuchiol-Essence-30-ml-i.110573301.10937665282")</f>
        <v>https://shopee.co.id/Lacoco-5-Bakuchiol-Essence-30-ml-i.110573301.10937665282</v>
      </c>
      <c r="C2578" s="8" t="s">
        <v>501</v>
      </c>
      <c r="D2578" s="8" t="s">
        <v>227</v>
      </c>
      <c r="E2578" s="8" t="s">
        <v>12</v>
      </c>
      <c r="F2578" s="8" t="s">
        <v>13</v>
      </c>
      <c r="G2578" s="8" t="s">
        <v>61</v>
      </c>
      <c r="H2578" s="16">
        <v>1.0</v>
      </c>
      <c r="I2578" s="15" t="str">
        <f>SUBSTITUTE(Sheet1!K2578, "Rp", "")</f>
        <v>247500</v>
      </c>
    </row>
    <row r="2579">
      <c r="A2579" s="8" t="s">
        <v>2704</v>
      </c>
      <c r="B2579" s="13" t="str">
        <f>HYPERLINK("https://shopee.co.id/Lacoco-Hydrating-Divine-Essence-50ml-i.136011044.9105115380", "https://shopee.co.id/Lacoco-Hydrating-Divine-Essence-50ml-i.136011044.9105115380")</f>
        <v>https://shopee.co.id/Lacoco-Hydrating-Divine-Essence-50ml-i.136011044.9105115380</v>
      </c>
      <c r="C2579" s="8" t="s">
        <v>501</v>
      </c>
      <c r="D2579" s="8" t="s">
        <v>632</v>
      </c>
      <c r="E2579" s="8" t="s">
        <v>12</v>
      </c>
      <c r="F2579" s="8" t="s">
        <v>13</v>
      </c>
      <c r="G2579" s="8" t="s">
        <v>21</v>
      </c>
      <c r="H2579" s="16">
        <v>1.0</v>
      </c>
      <c r="I2579" s="15" t="str">
        <f>SUBSTITUTE(Sheet1!K2579, "Rp", "")</f>
        <v>212500</v>
      </c>
    </row>
    <row r="2580">
      <c r="A2580" s="8" t="s">
        <v>2704</v>
      </c>
      <c r="B2580" s="13" t="str">
        <f>HYPERLINK("https://shopee.co.id/Lacoco-Hydrating-Divine-Essence-50ml-i.10689.10201068973", "https://shopee.co.id/Lacoco-Hydrating-Divine-Essence-50ml-i.10689.10201068973")</f>
        <v>https://shopee.co.id/Lacoco-Hydrating-Divine-Essence-50ml-i.10689.10201068973</v>
      </c>
      <c r="C2580" s="8" t="s">
        <v>501</v>
      </c>
      <c r="D2580" s="8" t="s">
        <v>745</v>
      </c>
      <c r="E2580" s="8" t="s">
        <v>12</v>
      </c>
      <c r="F2580" s="8" t="s">
        <v>13</v>
      </c>
      <c r="G2580" s="8" t="s">
        <v>61</v>
      </c>
      <c r="H2580" s="16">
        <v>1.0</v>
      </c>
      <c r="I2580" s="15" t="str">
        <f>SUBSTITUTE(Sheet1!K2580, "Rp", "")</f>
        <v>250000</v>
      </c>
    </row>
    <row r="2581">
      <c r="A2581" s="8" t="s">
        <v>3096</v>
      </c>
      <c r="B2581" s="13" t="str">
        <f>HYPERLINK("https://shopee.co.id/Laneige-PR-Youth-Emulsion-100ml-OL21--i.52917348.2916611706", "https://shopee.co.id/Laneige-PR-Youth-Emulsion-100ml-OL21--i.52917348.2916611706")</f>
        <v>https://shopee.co.id/Laneige-PR-Youth-Emulsion-100ml-OL21--i.52917348.2916611706</v>
      </c>
      <c r="C2581" s="8" t="s">
        <v>364</v>
      </c>
      <c r="D2581" s="8" t="s">
        <v>365</v>
      </c>
      <c r="E2581" s="8" t="s">
        <v>12</v>
      </c>
      <c r="F2581" s="8" t="s">
        <v>13</v>
      </c>
      <c r="G2581" s="8" t="s">
        <v>61</v>
      </c>
      <c r="H2581" s="16">
        <v>1.0</v>
      </c>
      <c r="I2581" s="15" t="str">
        <f>SUBSTITUTE(Sheet1!K2581, "Rp", "")</f>
        <v>629100</v>
      </c>
    </row>
    <row r="2582">
      <c r="A2582" s="8" t="s">
        <v>3898</v>
      </c>
      <c r="B2582" s="13" t="str">
        <f>HYPERLINK("https://shopee.co.id/Liplapin-Glow-Activating-Serum-i.17081863.8714491888", "https://shopee.co.id/Liplapin-Glow-Activating-Serum-i.17081863.8714491888")</f>
        <v>https://shopee.co.id/Liplapin-Glow-Activating-Serum-i.17081863.8714491888</v>
      </c>
      <c r="C2582" s="8" t="s">
        <v>3899</v>
      </c>
      <c r="D2582" s="8" t="s">
        <v>2497</v>
      </c>
      <c r="E2582" s="8" t="s">
        <v>12</v>
      </c>
      <c r="F2582" s="8" t="s">
        <v>13</v>
      </c>
      <c r="G2582" s="8" t="s">
        <v>21</v>
      </c>
      <c r="H2582" s="16">
        <v>1.0</v>
      </c>
      <c r="I2582" s="15" t="str">
        <f>SUBSTITUTE(Sheet1!K2582, "Rp", "")</f>
        <v>83300</v>
      </c>
    </row>
    <row r="2583">
      <c r="A2583" s="8" t="s">
        <v>3471</v>
      </c>
      <c r="B2583" s="13" t="str">
        <f>HYPERLINK("https://shopee.co.id/Lokos-me-Bundle-Dark-Spot-Glowing-and-Brightening-i.5109240.11420850889", "https://shopee.co.id/Lokos-me-Bundle-Dark-Spot-Glowing-and-Brightening-i.5109240.11420850889")</f>
        <v>https://shopee.co.id/Lokos-me-Bundle-Dark-Spot-Glowing-and-Brightening-i.5109240.11420850889</v>
      </c>
      <c r="C2583" s="8" t="s">
        <v>3296</v>
      </c>
      <c r="D2583" s="8" t="s">
        <v>3297</v>
      </c>
      <c r="E2583" s="8" t="s">
        <v>12</v>
      </c>
      <c r="F2583" s="8" t="s">
        <v>13</v>
      </c>
      <c r="G2583" s="8" t="s">
        <v>1130</v>
      </c>
      <c r="H2583" s="16">
        <v>1.0</v>
      </c>
      <c r="I2583" s="15" t="str">
        <f>SUBSTITUTE(Sheet1!K2583, "Rp", "")</f>
        <v>300000</v>
      </c>
    </row>
    <row r="2584">
      <c r="A2584" s="8" t="s">
        <v>3742</v>
      </c>
      <c r="B2584" s="13" t="str">
        <f>HYPERLINK("https://shopee.co.id/Lokos-me-Tone-Up-Serum-With-Beads-i.5109240.6257916020", "https://shopee.co.id/Lokos-me-Tone-Up-Serum-With-Beads-i.5109240.6257916020")</f>
        <v>https://shopee.co.id/Lokos-me-Tone-Up-Serum-With-Beads-i.5109240.6257916020</v>
      </c>
      <c r="C2584" s="8" t="s">
        <v>3296</v>
      </c>
      <c r="D2584" s="8" t="s">
        <v>3297</v>
      </c>
      <c r="E2584" s="8" t="s">
        <v>12</v>
      </c>
      <c r="F2584" s="8" t="s">
        <v>13</v>
      </c>
      <c r="G2584" s="8" t="s">
        <v>1130</v>
      </c>
      <c r="H2584" s="16">
        <v>1.0</v>
      </c>
      <c r="I2584" s="15" t="str">
        <f>SUBSTITUTE(Sheet1!K2584, "Rp", "")</f>
        <v>155000</v>
      </c>
    </row>
    <row r="2585">
      <c r="A2585" s="8" t="s">
        <v>3353</v>
      </c>
      <c r="B2585" s="13" t="str">
        <f>HYPERLINK("https://shopee.co.id/LORE-Brightamin-C-Serum-30-ml-i.68740273.2253615387", "https://shopee.co.id/LORE-Brightamin-C-Serum-30-ml-i.68740273.2253615387")</f>
        <v>https://shopee.co.id/LORE-Brightamin-C-Serum-30-ml-i.68740273.2253615387</v>
      </c>
      <c r="C2585" s="8" t="s">
        <v>2565</v>
      </c>
      <c r="D2585" s="8" t="s">
        <v>2566</v>
      </c>
      <c r="E2585" s="8" t="s">
        <v>12</v>
      </c>
      <c r="F2585" s="8" t="s">
        <v>13</v>
      </c>
      <c r="G2585" s="8" t="s">
        <v>409</v>
      </c>
      <c r="H2585" s="16">
        <v>1.0</v>
      </c>
      <c r="I2585" s="15" t="str">
        <f>SUBSTITUTE(Sheet1!K2585, "Rp", "")</f>
        <v>389000</v>
      </c>
    </row>
    <row r="2586">
      <c r="A2586" s="8" t="s">
        <v>3430</v>
      </c>
      <c r="B2586" s="13" t="str">
        <f>HYPERLINK("https://shopee.co.id/Loreal-Dex-Rev-Crystal-Micro-Essen-130-ml-i.186214521.6216797824", "https://shopee.co.id/Loreal-Dex-Rev-Crystal-Micro-Essen-130-ml-i.186214521.6216797824")</f>
        <v>https://shopee.co.id/Loreal-Dex-Rev-Crystal-Micro-Essen-130-ml-i.186214521.6216797824</v>
      </c>
      <c r="C2586" s="8" t="s">
        <v>105</v>
      </c>
      <c r="D2586" s="8" t="s">
        <v>2293</v>
      </c>
      <c r="E2586" s="8" t="s">
        <v>12</v>
      </c>
      <c r="F2586" s="8" t="s">
        <v>13</v>
      </c>
      <c r="G2586" s="8" t="s">
        <v>61</v>
      </c>
      <c r="H2586" s="16">
        <v>1.0</v>
      </c>
      <c r="I2586" s="15" t="str">
        <f>SUBSTITUTE(Sheet1!K2586, "Rp", "")</f>
        <v>337500</v>
      </c>
    </row>
    <row r="2587">
      <c r="A2587" s="8" t="s">
        <v>3721</v>
      </c>
      <c r="B2587" s="13" t="str">
        <f>HYPERLINK("https://shopee.co.id/LT-Pro-Intensive-Care-Serum-18gr-i.187117294.8449824344", "https://shopee.co.id/LT-Pro-Intensive-Care-Serum-18gr-i.187117294.8449824344")</f>
        <v>https://shopee.co.id/LT-Pro-Intensive-Care-Serum-18gr-i.187117294.8449824344</v>
      </c>
      <c r="C2587" s="8" t="s">
        <v>2413</v>
      </c>
      <c r="D2587" s="8" t="s">
        <v>2366</v>
      </c>
      <c r="E2587" s="8" t="s">
        <v>12</v>
      </c>
      <c r="F2587" s="8" t="s">
        <v>13</v>
      </c>
      <c r="G2587" s="8" t="s">
        <v>469</v>
      </c>
      <c r="H2587" s="16">
        <v>1.0</v>
      </c>
      <c r="I2587" s="15" t="str">
        <f>SUBSTITUTE(Sheet1!K2587, "Rp", "")</f>
        <v>165000</v>
      </c>
    </row>
    <row r="2588">
      <c r="A2588" s="8" t="s">
        <v>3875</v>
      </c>
      <c r="B2588" s="13" t="str">
        <f>HYPERLINK("https://shopee.co.id/LUMIER-ANTI-AGING-AND-REPAIR-NIGHT-SERUM-GREEN-CAVIAR-INTENSIVE-ENERGY-SERUM-i.231467354.9516130956", "https://shopee.co.id/LUMIER-ANTI-AGING-AND-REPAIR-NIGHT-SERUM-GREEN-CAVIAR-INTENSIVE-ENERGY-SERUM-i.231467354.9516130956")</f>
        <v>https://shopee.co.id/LUMIER-ANTI-AGING-AND-REPAIR-NIGHT-SERUM-GREEN-CAVIAR-INTENSIVE-ENERGY-SERUM-i.231467354.9516130956</v>
      </c>
      <c r="C2588" s="8" t="s">
        <v>2878</v>
      </c>
      <c r="D2588" s="8" t="s">
        <v>2879</v>
      </c>
      <c r="E2588" s="8" t="s">
        <v>12</v>
      </c>
      <c r="F2588" s="8" t="s">
        <v>13</v>
      </c>
      <c r="G2588" s="8" t="s">
        <v>532</v>
      </c>
      <c r="H2588" s="16">
        <v>1.0</v>
      </c>
      <c r="I2588" s="15" t="str">
        <f>SUBSTITUTE(Sheet1!K2588, "Rp", "")</f>
        <v>94500</v>
      </c>
    </row>
    <row r="2589">
      <c r="A2589" s="8" t="s">
        <v>3838</v>
      </c>
      <c r="B2589" s="13" t="str">
        <f>HYPERLINK("https://shopee.co.id/MAKE-OVER-Hydration-Serum-33ml-i.68111.1522302606", "https://shopee.co.id/MAKE-OVER-Hydration-Serum-33ml-i.68111.1522302606")</f>
        <v>https://shopee.co.id/MAKE-OVER-Hydration-Serum-33ml-i.68111.1522302606</v>
      </c>
      <c r="C2589" s="8" t="s">
        <v>290</v>
      </c>
      <c r="D2589" s="8" t="s">
        <v>441</v>
      </c>
      <c r="E2589" s="8" t="s">
        <v>12</v>
      </c>
      <c r="F2589" s="8" t="s">
        <v>13</v>
      </c>
      <c r="G2589" s="8" t="s">
        <v>130</v>
      </c>
      <c r="H2589" s="16">
        <v>1.0</v>
      </c>
      <c r="I2589" s="15" t="str">
        <f>SUBSTITUTE(Sheet1!K2589, "Rp", "")</f>
        <v>109000</v>
      </c>
    </row>
    <row r="2590">
      <c r="A2590" s="8" t="s">
        <v>3431</v>
      </c>
      <c r="B2590" s="13" t="str">
        <f>HYPERLINK("https://shopee.co.id/Mamonde-First-Energy-Serum-100ml-i.160417197.2413281205", "https://shopee.co.id/Mamonde-First-Energy-Serum-100ml-i.160417197.2413281205")</f>
        <v>https://shopee.co.id/Mamonde-First-Energy-Serum-100ml-i.160417197.2413281205</v>
      </c>
      <c r="C2590" s="8" t="s">
        <v>447</v>
      </c>
      <c r="D2590" s="8" t="s">
        <v>448</v>
      </c>
      <c r="E2590" s="8" t="s">
        <v>12</v>
      </c>
      <c r="F2590" s="8" t="s">
        <v>13</v>
      </c>
      <c r="G2590" s="8" t="s">
        <v>61</v>
      </c>
      <c r="H2590" s="16">
        <v>1.0</v>
      </c>
      <c r="I2590" s="15" t="str">
        <f>SUBSTITUTE(Sheet1!K2590, "Rp", "")</f>
        <v>336100</v>
      </c>
    </row>
    <row r="2591">
      <c r="A2591" s="8" t="s">
        <v>3330</v>
      </c>
      <c r="B2591" s="13" t="str">
        <f>HYPERLINK("https://shopee.co.id/Mamonde-First-Energy-Serum-100ml-Global--i.160417197.6067260557", "https://shopee.co.id/Mamonde-First-Energy-Serum-100ml-Global--i.160417197.6067260557")</f>
        <v>https://shopee.co.id/Mamonde-First-Energy-Serum-100ml-Global--i.160417197.6067260557</v>
      </c>
      <c r="C2591" s="8" t="s">
        <v>447</v>
      </c>
      <c r="D2591" s="8" t="s">
        <v>448</v>
      </c>
      <c r="E2591" s="8" t="s">
        <v>12</v>
      </c>
      <c r="F2591" s="8" t="s">
        <v>13</v>
      </c>
      <c r="G2591" s="8" t="s">
        <v>61</v>
      </c>
      <c r="H2591" s="16">
        <v>1.0</v>
      </c>
      <c r="I2591" s="15" t="str">
        <f>SUBSTITUTE(Sheet1!K2591, "Rp", "")</f>
        <v>399000</v>
      </c>
    </row>
    <row r="2592">
      <c r="A2592" s="8" t="s">
        <v>3818</v>
      </c>
      <c r="B2592" s="13" t="str">
        <f>HYPERLINK("https://shopee.co.id/MEDGLOW-CLINIC-Coldpress-Teatree-Oil-Serum-Aesthetic-Skincare-Anti-Jerawat-Acne-Komedo-Sebum-BPOM-i.285885972.5351894093", "https://shopee.co.id/MEDGLOW-CLINIC-Coldpress-Teatree-Oil-Serum-Aesthetic-Skincare-Anti-Jerawat-Acne-Komedo-Sebum-BPOM-i.285885972.5351894093")</f>
        <v>https://shopee.co.id/MEDGLOW-CLINIC-Coldpress-Teatree-Oil-Serum-Aesthetic-Skincare-Anti-Jerawat-Acne-Komedo-Sebum-BPOM-i.285885972.5351894093</v>
      </c>
      <c r="C2592" s="8" t="s">
        <v>949</v>
      </c>
      <c r="D2592" s="8" t="s">
        <v>950</v>
      </c>
      <c r="E2592" s="8" t="s">
        <v>12</v>
      </c>
      <c r="F2592" s="8" t="s">
        <v>13</v>
      </c>
      <c r="G2592" s="8" t="s">
        <v>380</v>
      </c>
      <c r="H2592" s="16">
        <v>1.0</v>
      </c>
      <c r="I2592" s="15" t="str">
        <f>SUBSTITUTE(Sheet1!K2592, "Rp", "")</f>
        <v>118750</v>
      </c>
    </row>
    <row r="2593">
      <c r="A2593" s="8" t="s">
        <v>3836</v>
      </c>
      <c r="B2593" s="13" t="str">
        <f>HYPERLINK("https://shopee.co.id/MEDGLOW-CLINIC-Hyaluronic-Acid-Serum-Aesthetic-Skincare-Serum-Firming-Lifting-Anti-Aging-BPOM-i.285885972.7949889054", "https://shopee.co.id/MEDGLOW-CLINIC-Hyaluronic-Acid-Serum-Aesthetic-Skincare-Serum-Firming-Lifting-Anti-Aging-BPOM-i.285885972.7949889054")</f>
        <v>https://shopee.co.id/MEDGLOW-CLINIC-Hyaluronic-Acid-Serum-Aesthetic-Skincare-Serum-Firming-Lifting-Anti-Aging-BPOM-i.285885972.7949889054</v>
      </c>
      <c r="C2593" s="8" t="s">
        <v>949</v>
      </c>
      <c r="D2593" s="8" t="s">
        <v>950</v>
      </c>
      <c r="E2593" s="8" t="s">
        <v>12</v>
      </c>
      <c r="F2593" s="8" t="s">
        <v>13</v>
      </c>
      <c r="G2593" s="8" t="s">
        <v>380</v>
      </c>
      <c r="H2593" s="16">
        <v>1.0</v>
      </c>
      <c r="I2593" s="15" t="str">
        <f>SUBSTITUTE(Sheet1!K2593, "Rp", "")</f>
        <v>109250</v>
      </c>
    </row>
    <row r="2594">
      <c r="A2594" s="8" t="s">
        <v>3761</v>
      </c>
      <c r="B2594" s="13" t="str">
        <f>HYPERLINK("https://shopee.co.id/MELANOX-PREMIUM-W-SERUM-15ML-i.121791179.1863492760", "https://shopee.co.id/MELANOX-PREMIUM-W-SERUM-15ML-i.121791179.1863492760")</f>
        <v>https://shopee.co.id/MELANOX-PREMIUM-W-SERUM-15ML-i.121791179.1863492760</v>
      </c>
      <c r="C2594" s="8" t="s">
        <v>1606</v>
      </c>
      <c r="D2594" s="8" t="s">
        <v>1733</v>
      </c>
      <c r="E2594" s="8" t="s">
        <v>12</v>
      </c>
      <c r="F2594" s="8" t="s">
        <v>13</v>
      </c>
      <c r="G2594" s="8" t="s">
        <v>36</v>
      </c>
      <c r="H2594" s="16">
        <v>1.0</v>
      </c>
      <c r="I2594" s="15" t="str">
        <f>SUBSTITUTE(Sheet1!K2594, "Rp", "")</f>
        <v>143450</v>
      </c>
    </row>
    <row r="2595">
      <c r="A2595" s="8" t="s">
        <v>2225</v>
      </c>
      <c r="B2595" s="13" t="str">
        <f>HYPERLINK("https://shopee.co.id/Mesoestetic-Aox-Ferulic-30ml-i.353481368.9704139796", "https://shopee.co.id/Mesoestetic-Aox-Ferulic-30ml-i.353481368.9704139796")</f>
        <v>https://shopee.co.id/Mesoestetic-Aox-Ferulic-30ml-i.353481368.9704139796</v>
      </c>
      <c r="C2595" s="8" t="s">
        <v>2226</v>
      </c>
      <c r="D2595" s="8" t="s">
        <v>2227</v>
      </c>
      <c r="E2595" s="8" t="s">
        <v>12</v>
      </c>
      <c r="F2595" s="8" t="s">
        <v>13</v>
      </c>
      <c r="G2595" s="8" t="s">
        <v>21</v>
      </c>
      <c r="H2595" s="16">
        <v>1.0</v>
      </c>
      <c r="I2595" s="15" t="str">
        <f>SUBSTITUTE(Sheet1!K2595, "Rp", "")</f>
        <v>2500000</v>
      </c>
    </row>
    <row r="2596">
      <c r="A2596" s="8" t="s">
        <v>3198</v>
      </c>
      <c r="B2596" s="13" t="str">
        <f>HYPERLINK("https://shopee.co.id/Mila-D-opiz-Ampoule-Vitamin-C-5ml-Miladopiz-i.322619273.4957974041", "https://shopee.co.id/Mila-D-opiz-Ampoule-Vitamin-C-5ml-Miladopiz-i.322619273.4957974041")</f>
        <v>https://shopee.co.id/Mila-D-opiz-Ampoule-Vitamin-C-5ml-Miladopiz-i.322619273.4957974041</v>
      </c>
      <c r="C2596" s="8" t="s">
        <v>2182</v>
      </c>
      <c r="D2596" s="8" t="s">
        <v>2183</v>
      </c>
      <c r="E2596" s="8" t="s">
        <v>12</v>
      </c>
      <c r="F2596" s="8" t="s">
        <v>13</v>
      </c>
      <c r="G2596" s="8" t="s">
        <v>469</v>
      </c>
      <c r="H2596" s="16">
        <v>1.0</v>
      </c>
      <c r="I2596" s="15" t="str">
        <f>SUBSTITUTE(Sheet1!K2596, "Rp", "")</f>
        <v>520000</v>
      </c>
    </row>
    <row r="2597">
      <c r="A2597" s="8" t="s">
        <v>2711</v>
      </c>
      <c r="B2597" s="13" t="str">
        <f>HYPERLINK("https://shopee.co.id/Mila-D-opiz-White-Shade-Vision-serum-30ml-Miladopiz-i.322619273.7657970246", "https://shopee.co.id/Mila-D-opiz-White-Shade-Vision-serum-30ml-Miladopiz-i.322619273.7657970246")</f>
        <v>https://shopee.co.id/Mila-D-opiz-White-Shade-Vision-serum-30ml-Miladopiz-i.322619273.7657970246</v>
      </c>
      <c r="C2597" s="8" t="s">
        <v>2182</v>
      </c>
      <c r="D2597" s="8" t="s">
        <v>2183</v>
      </c>
      <c r="E2597" s="8" t="s">
        <v>12</v>
      </c>
      <c r="F2597" s="8" t="s">
        <v>13</v>
      </c>
      <c r="G2597" s="8" t="s">
        <v>469</v>
      </c>
      <c r="H2597" s="16">
        <v>1.0</v>
      </c>
      <c r="I2597" s="15" t="str">
        <f>SUBSTITUTE(Sheet1!K2597, "Rp", "")</f>
        <v>1200000</v>
      </c>
    </row>
    <row r="2598">
      <c r="A2598" s="8" t="s">
        <v>3873</v>
      </c>
      <c r="B2598" s="13" t="str">
        <f>HYPERLINK("https://shopee.co.id/Mineral-Botanica-Brightening-Face-Serum-i.30736001.1043896686", "https://shopee.co.id/Mineral-Botanica-Brightening-Face-Serum-i.30736001.1043896686")</f>
        <v>https://shopee.co.id/Mineral-Botanica-Brightening-Face-Serum-i.30736001.1043896686</v>
      </c>
      <c r="C2598" s="8" t="s">
        <v>807</v>
      </c>
      <c r="D2598" s="8" t="s">
        <v>335</v>
      </c>
      <c r="E2598" s="8" t="s">
        <v>12</v>
      </c>
      <c r="F2598" s="8" t="s">
        <v>13</v>
      </c>
      <c r="G2598" s="8" t="s">
        <v>36</v>
      </c>
      <c r="H2598" s="16">
        <v>1.0</v>
      </c>
      <c r="I2598" s="15" t="str">
        <f>SUBSTITUTE(Sheet1!K2598, "Rp", "")</f>
        <v>95900</v>
      </c>
    </row>
    <row r="2599">
      <c r="A2599" s="8" t="s">
        <v>3895</v>
      </c>
      <c r="B2599" s="13" t="str">
        <f>HYPERLINK("https://shopee.co.id/Mineral-Botanica-Brightening-Face-Serum-15ml-i.121791179.3432071091", "https://shopee.co.id/Mineral-Botanica-Brightening-Face-Serum-15ml-i.121791179.3432071091")</f>
        <v>https://shopee.co.id/Mineral-Botanica-Brightening-Face-Serum-15ml-i.121791179.3432071091</v>
      </c>
      <c r="C2599" s="8" t="s">
        <v>807</v>
      </c>
      <c r="D2599" s="8" t="s">
        <v>1733</v>
      </c>
      <c r="E2599" s="8" t="s">
        <v>12</v>
      </c>
      <c r="F2599" s="8" t="s">
        <v>13</v>
      </c>
      <c r="G2599" s="8" t="s">
        <v>36</v>
      </c>
      <c r="H2599" s="16">
        <v>1.0</v>
      </c>
      <c r="I2599" s="15" t="str">
        <f>SUBSTITUTE(Sheet1!K2599, "Rp", "")</f>
        <v>84400</v>
      </c>
    </row>
    <row r="2600">
      <c r="A2600" s="8" t="s">
        <v>3949</v>
      </c>
      <c r="B2600" s="13" t="str">
        <f>HYPERLINK("https://shopee.co.id/Mireya-Skin-Booster-Essence-Serum-Bakuchiol-Collagen-The-Retinol-Alternative-i.101578297.11752132982", "https://shopee.co.id/Mireya-Skin-Booster-Essence-Serum-Bakuchiol-Collagen-The-Retinol-Alternative-i.101578297.11752132982")</f>
        <v>https://shopee.co.id/Mireya-Skin-Booster-Essence-Serum-Bakuchiol-Collagen-The-Retinol-Alternative-i.101578297.11752132982</v>
      </c>
      <c r="C2600" s="8" t="s">
        <v>2430</v>
      </c>
      <c r="D2600" s="8" t="s">
        <v>2431</v>
      </c>
      <c r="E2600" s="8" t="s">
        <v>12</v>
      </c>
      <c r="F2600" s="8" t="s">
        <v>13</v>
      </c>
      <c r="G2600" s="8" t="s">
        <v>21</v>
      </c>
      <c r="H2600" s="16">
        <v>1.0</v>
      </c>
      <c r="I2600" s="15" t="str">
        <f>SUBSTITUTE(Sheet1!K2600, "Rp", "")</f>
        <v>53550</v>
      </c>
    </row>
    <row r="2601">
      <c r="A2601" s="8" t="s">
        <v>3800</v>
      </c>
      <c r="B2601" s="13" t="str">
        <f>HYPERLINK("https://shopee.co.id/MSBB-Beaunature-Matcha-Yuzu-Essence-Water-i.288588702.6696052242", "https://shopee.co.id/MSBB-Beaunature-Matcha-Yuzu-Essence-Water-i.288588702.6696052242")</f>
        <v>https://shopee.co.id/MSBB-Beaunature-Matcha-Yuzu-Essence-Water-i.288588702.6696052242</v>
      </c>
      <c r="C2601" s="8" t="s">
        <v>2510</v>
      </c>
      <c r="D2601" s="8" t="s">
        <v>79</v>
      </c>
      <c r="E2601" s="8" t="s">
        <v>12</v>
      </c>
      <c r="F2601" s="8" t="s">
        <v>13</v>
      </c>
      <c r="G2601" s="8" t="s">
        <v>80</v>
      </c>
      <c r="H2601" s="16">
        <v>1.0</v>
      </c>
      <c r="I2601" s="15" t="str">
        <f>SUBSTITUTE(Sheet1!K2601, "Rp", "")</f>
        <v>125000</v>
      </c>
    </row>
    <row r="2602">
      <c r="A2602" s="8" t="s">
        <v>3876</v>
      </c>
      <c r="B2602" s="13" t="str">
        <f>HYPERLINK("https://shopee.co.id/MSBB-Dear-Me-Beauty-2-Salicylic-Acid-BHA-Lemon-Extract-Face-Serum-12ml-i.288588702.8158822283", "https://shopee.co.id/MSBB-Dear-Me-Beauty-2-Salicylic-Acid-BHA-Lemon-Extract-Face-Serum-12ml-i.288588702.8158822283")</f>
        <v>https://shopee.co.id/MSBB-Dear-Me-Beauty-2-Salicylic-Acid-BHA-Lemon-Extract-Face-Serum-12ml-i.288588702.8158822283</v>
      </c>
      <c r="C2602" s="8" t="s">
        <v>78</v>
      </c>
      <c r="D2602" s="8" t="s">
        <v>79</v>
      </c>
      <c r="E2602" s="8" t="s">
        <v>12</v>
      </c>
      <c r="F2602" s="8" t="s">
        <v>13</v>
      </c>
      <c r="G2602" s="8" t="s">
        <v>80</v>
      </c>
      <c r="H2602" s="16">
        <v>1.0</v>
      </c>
      <c r="I2602" s="15" t="str">
        <f>SUBSTITUTE(Sheet1!K2602, "Rp", "")</f>
        <v>94050</v>
      </c>
    </row>
    <row r="2603">
      <c r="A2603" s="8" t="s">
        <v>3716</v>
      </c>
      <c r="B2603" s="13" t="str">
        <f>HYPERLINK("https://shopee.co.id/MSBB-Elsheskin-Smoothing-Serum-For-Acne-Skin-i.288588702.6767974189", "https://shopee.co.id/MSBB-Elsheskin-Smoothing-Serum-For-Acne-Skin-i.288588702.6767974189")</f>
        <v>https://shopee.co.id/MSBB-Elsheskin-Smoothing-Serum-For-Acne-Skin-i.288588702.6767974189</v>
      </c>
      <c r="C2603" s="8" t="s">
        <v>135</v>
      </c>
      <c r="D2603" s="8" t="s">
        <v>79</v>
      </c>
      <c r="E2603" s="8" t="s">
        <v>12</v>
      </c>
      <c r="F2603" s="8" t="s">
        <v>13</v>
      </c>
      <c r="G2603" s="8" t="s">
        <v>80</v>
      </c>
      <c r="H2603" s="16">
        <v>1.0</v>
      </c>
      <c r="I2603" s="15" t="str">
        <f>SUBSTITUTE(Sheet1!K2603, "Rp", "")</f>
        <v>170100</v>
      </c>
    </row>
    <row r="2604">
      <c r="A2604" s="8" t="s">
        <v>3575</v>
      </c>
      <c r="B2604" s="13" t="str">
        <f>HYPERLINK("https://shopee.co.id/MSBB-For-Skin-s-Sake-Vitamin-C-Serum-i.288588702.9639320439", "https://shopee.co.id/MSBB-For-Skin-s-Sake-Vitamin-C-Serum-i.288588702.9639320439")</f>
        <v>https://shopee.co.id/MSBB-For-Skin-s-Sake-Vitamin-C-Serum-i.288588702.9639320439</v>
      </c>
      <c r="C2604" s="8" t="s">
        <v>78</v>
      </c>
      <c r="D2604" s="8" t="s">
        <v>79</v>
      </c>
      <c r="E2604" s="8" t="s">
        <v>12</v>
      </c>
      <c r="F2604" s="8" t="s">
        <v>13</v>
      </c>
      <c r="G2604" s="8" t="s">
        <v>80</v>
      </c>
      <c r="H2604" s="16">
        <v>1.0</v>
      </c>
      <c r="I2604" s="15" t="str">
        <f>SUBSTITUTE(Sheet1!K2604, "Rp", "")</f>
        <v>240000</v>
      </c>
    </row>
    <row r="2605">
      <c r="A2605" s="8" t="s">
        <v>3760</v>
      </c>
      <c r="B2605" s="13" t="str">
        <f>HYPERLINK("https://shopee.co.id/MSBB-Haum-LCID-Salicylic-Acid-2-28-Ml-i.288588702.11532616029", "https://shopee.co.id/MSBB-Haum-LCID-Salicylic-Acid-2-28-Ml-i.288588702.11532616029")</f>
        <v>https://shopee.co.id/MSBB-Haum-LCID-Salicylic-Acid-2-28-Ml-i.288588702.11532616029</v>
      </c>
      <c r="C2605" s="8" t="s">
        <v>78</v>
      </c>
      <c r="D2605" s="8" t="s">
        <v>79</v>
      </c>
      <c r="E2605" s="8" t="s">
        <v>12</v>
      </c>
      <c r="F2605" s="8" t="s">
        <v>13</v>
      </c>
      <c r="G2605" s="8" t="s">
        <v>80</v>
      </c>
      <c r="H2605" s="16">
        <v>1.0</v>
      </c>
      <c r="I2605" s="15" t="str">
        <f>SUBSTITUTE(Sheet1!K2605, "Rp", "")</f>
        <v>148000</v>
      </c>
    </row>
    <row r="2606">
      <c r="A2606" s="8" t="s">
        <v>3788</v>
      </c>
      <c r="B2606" s="13" t="str">
        <f>HYPERLINK("https://shopee.co.id/MSBB-Purivera-White-Willow-Toner-Essence-Centella-BHA-Willow-Bark-2-As-Salicylic-Acid-i.288588702.9073158338", "https://shopee.co.id/MSBB-Purivera-White-Willow-Toner-Essence-Centella-BHA-Willow-Bark-2-As-Salicylic-Acid-i.288588702.9073158338")</f>
        <v>https://shopee.co.id/MSBB-Purivera-White-Willow-Toner-Essence-Centella-BHA-Willow-Bark-2-As-Salicylic-Acid-i.288588702.9073158338</v>
      </c>
      <c r="C2606" s="8" t="s">
        <v>428</v>
      </c>
      <c r="D2606" s="8" t="s">
        <v>79</v>
      </c>
      <c r="E2606" s="8" t="s">
        <v>12</v>
      </c>
      <c r="F2606" s="8" t="s">
        <v>13</v>
      </c>
      <c r="G2606" s="8" t="s">
        <v>80</v>
      </c>
      <c r="H2606" s="16">
        <v>1.0</v>
      </c>
      <c r="I2606" s="15" t="str">
        <f>SUBSTITUTE(Sheet1!K2606, "Rp", "")</f>
        <v>130000</v>
      </c>
    </row>
    <row r="2607">
      <c r="A2607" s="8" t="s">
        <v>3877</v>
      </c>
      <c r="B2607" s="13" t="str">
        <f>HYPERLINK("https://shopee.co.id/MSBB-The-Aubree-Ginseng-Renewing-First-Serum-30-ml-i.288588702.6360570951", "https://shopee.co.id/MSBB-The-Aubree-Ginseng-Renewing-First-Serum-30-ml-i.288588702.6360570951")</f>
        <v>https://shopee.co.id/MSBB-The-Aubree-Ginseng-Renewing-First-Serum-30-ml-i.288588702.6360570951</v>
      </c>
      <c r="C2607" s="8" t="s">
        <v>772</v>
      </c>
      <c r="D2607" s="8" t="s">
        <v>79</v>
      </c>
      <c r="E2607" s="8" t="s">
        <v>12</v>
      </c>
      <c r="F2607" s="8" t="s">
        <v>13</v>
      </c>
      <c r="G2607" s="8" t="s">
        <v>80</v>
      </c>
      <c r="H2607" s="16">
        <v>1.0</v>
      </c>
      <c r="I2607" s="15" t="str">
        <f>SUBSTITUTE(Sheet1!K2607, "Rp", "")</f>
        <v>94050</v>
      </c>
    </row>
    <row r="2608">
      <c r="A2608" s="8" t="s">
        <v>3889</v>
      </c>
      <c r="B2608" s="13" t="str">
        <f>HYPERLINK("https://shopee.co.id/MSBB-Tropistories-Eucheuma-Serum-i.288588702.11344168444", "https://shopee.co.id/MSBB-Tropistories-Eucheuma-Serum-i.288588702.11344168444")</f>
        <v>https://shopee.co.id/MSBB-Tropistories-Eucheuma-Serum-i.288588702.11344168444</v>
      </c>
      <c r="C2608" s="8" t="s">
        <v>78</v>
      </c>
      <c r="D2608" s="8" t="s">
        <v>79</v>
      </c>
      <c r="E2608" s="8" t="s">
        <v>12</v>
      </c>
      <c r="F2608" s="8" t="s">
        <v>13</v>
      </c>
      <c r="G2608" s="8" t="s">
        <v>80</v>
      </c>
      <c r="H2608" s="16">
        <v>1.0</v>
      </c>
      <c r="I2608" s="15" t="str">
        <f>SUBSTITUTE(Sheet1!K2608, "Rp", "")</f>
        <v>89000</v>
      </c>
    </row>
    <row r="2609">
      <c r="A2609" s="8" t="s">
        <v>3567</v>
      </c>
      <c r="B2609" s="13" t="str">
        <f>HYPERLINK("https://shopee.co.id/MSBB-Votre-Peau-Brightening-Essence-i.288588702.3880573375", "https://shopee.co.id/MSBB-Votre-Peau-Brightening-Essence-i.288588702.3880573375")</f>
        <v>https://shopee.co.id/MSBB-Votre-Peau-Brightening-Essence-i.288588702.3880573375</v>
      </c>
      <c r="C2609" s="8" t="s">
        <v>471</v>
      </c>
      <c r="D2609" s="8" t="s">
        <v>79</v>
      </c>
      <c r="E2609" s="8" t="s">
        <v>12</v>
      </c>
      <c r="F2609" s="8" t="s">
        <v>13</v>
      </c>
      <c r="G2609" s="8" t="s">
        <v>80</v>
      </c>
      <c r="H2609" s="16">
        <v>1.0</v>
      </c>
      <c r="I2609" s="15" t="str">
        <f>SUBSTITUTE(Sheet1!K2609, "Rp", "")</f>
        <v>241530</v>
      </c>
    </row>
    <row r="2610">
      <c r="A2610" s="8" t="s">
        <v>3658</v>
      </c>
      <c r="B2610" s="13" t="str">
        <f>HYPERLINK("https://shopee.co.id/MSBB-Westcare-Bounce-And-Glow-Serum-i.288588702.5576998214", "https://shopee.co.id/MSBB-Westcare-Bounce-And-Glow-Serum-i.288588702.5576998214")</f>
        <v>https://shopee.co.id/MSBB-Westcare-Bounce-And-Glow-Serum-i.288588702.5576998214</v>
      </c>
      <c r="C2610" s="8" t="s">
        <v>1402</v>
      </c>
      <c r="D2610" s="8" t="s">
        <v>79</v>
      </c>
      <c r="E2610" s="8" t="s">
        <v>12</v>
      </c>
      <c r="F2610" s="8" t="s">
        <v>13</v>
      </c>
      <c r="G2610" s="8" t="s">
        <v>80</v>
      </c>
      <c r="H2610" s="16">
        <v>1.0</v>
      </c>
      <c r="I2610" s="15" t="str">
        <f>SUBSTITUTE(Sheet1!K2610, "Rp", "")</f>
        <v>200000</v>
      </c>
    </row>
    <row r="2611">
      <c r="A2611" s="8" t="s">
        <v>2262</v>
      </c>
      <c r="B2611" s="13" t="str">
        <f>HYPERLINK("https://shopee.co.id/Nacific-Fresh-Cica-Plus-Clear-Serum-50ml-i.10689.5617640853", "https://shopee.co.id/Nacific-Fresh-Cica-Plus-Clear-Serum-50ml-i.10689.5617640853")</f>
        <v>https://shopee.co.id/Nacific-Fresh-Cica-Plus-Clear-Serum-50ml-i.10689.5617640853</v>
      </c>
      <c r="C2611" s="8" t="s">
        <v>344</v>
      </c>
      <c r="D2611" s="8" t="s">
        <v>745</v>
      </c>
      <c r="E2611" s="8" t="s">
        <v>12</v>
      </c>
      <c r="F2611" s="8" t="s">
        <v>13</v>
      </c>
      <c r="G2611" s="8" t="s">
        <v>61</v>
      </c>
      <c r="H2611" s="16">
        <v>1.0</v>
      </c>
      <c r="I2611" s="15" t="str">
        <f>SUBSTITUTE(Sheet1!K2611, "Rp", "")</f>
        <v>207500</v>
      </c>
    </row>
    <row r="2612">
      <c r="A2612" s="8" t="s">
        <v>1449</v>
      </c>
      <c r="B2612" s="13" t="str">
        <f>HYPERLINK("https://shopee.co.id/Nacific-Fresh-Herb-Origin-Serum-50ml-i.10689.2905627899", "https://shopee.co.id/Nacific-Fresh-Herb-Origin-Serum-50ml-i.10689.2905627899")</f>
        <v>https://shopee.co.id/Nacific-Fresh-Herb-Origin-Serum-50ml-i.10689.2905627899</v>
      </c>
      <c r="C2612" s="8" t="s">
        <v>344</v>
      </c>
      <c r="D2612" s="8" t="s">
        <v>745</v>
      </c>
      <c r="E2612" s="8" t="s">
        <v>12</v>
      </c>
      <c r="F2612" s="8" t="s">
        <v>13</v>
      </c>
      <c r="G2612" s="8" t="s">
        <v>61</v>
      </c>
      <c r="H2612" s="16">
        <v>1.0</v>
      </c>
      <c r="I2612" s="15" t="str">
        <f>SUBSTITUTE(Sheet1!K2612, "Rp", "")</f>
        <v>208000</v>
      </c>
    </row>
    <row r="2613">
      <c r="A2613" s="8" t="s">
        <v>917</v>
      </c>
      <c r="B2613" s="13" t="str">
        <f>HYPERLINK("https://shopee.co.id/NACIFIC-Fresh-Herb-Origin-Serum-50ml-i.68111.651349314", "https://shopee.co.id/NACIFIC-Fresh-Herb-Origin-Serum-50ml-i.68111.651349314")</f>
        <v>https://shopee.co.id/NACIFIC-Fresh-Herb-Origin-Serum-50ml-i.68111.651349314</v>
      </c>
      <c r="C2613" s="8" t="s">
        <v>344</v>
      </c>
      <c r="D2613" s="8" t="s">
        <v>441</v>
      </c>
      <c r="E2613" s="8" t="s">
        <v>12</v>
      </c>
      <c r="F2613" s="8" t="s">
        <v>13</v>
      </c>
      <c r="G2613" s="8" t="s">
        <v>130</v>
      </c>
      <c r="H2613" s="16">
        <v>1.0</v>
      </c>
      <c r="I2613" s="15" t="str">
        <f>SUBSTITUTE(Sheet1!K2613, "Rp", "")</f>
        <v>228000</v>
      </c>
    </row>
    <row r="2614">
      <c r="A2614" s="8" t="s">
        <v>3596</v>
      </c>
      <c r="B2614" s="13" t="str">
        <f>HYPERLINK("https://shopee.co.id/NACIFIC-Phyto-Niacin-Whitening-Essence-i.68111.2275691725", "https://shopee.co.id/NACIFIC-Phyto-Niacin-Whitening-Essence-i.68111.2275691725")</f>
        <v>https://shopee.co.id/NACIFIC-Phyto-Niacin-Whitening-Essence-i.68111.2275691725</v>
      </c>
      <c r="C2614" s="8" t="s">
        <v>344</v>
      </c>
      <c r="D2614" s="8" t="s">
        <v>441</v>
      </c>
      <c r="E2614" s="8" t="s">
        <v>12</v>
      </c>
      <c r="F2614" s="8" t="s">
        <v>13</v>
      </c>
      <c r="G2614" s="8" t="s">
        <v>130</v>
      </c>
      <c r="H2614" s="16">
        <v>1.0</v>
      </c>
      <c r="I2614" s="15" t="str">
        <f>SUBSTITUTE(Sheet1!K2614, "Rp", "")</f>
        <v>228000</v>
      </c>
    </row>
    <row r="2615">
      <c r="A2615" s="8" t="s">
        <v>3746</v>
      </c>
      <c r="B2615" s="13" t="str">
        <f>HYPERLINK("https://shopee.co.id/NACIFIC-Real-Floral-Essence-Calendula-i.125116082.8664344253", "https://shopee.co.id/NACIFIC-Real-Floral-Essence-Calendula-i.125116082.8664344253")</f>
        <v>https://shopee.co.id/NACIFIC-Real-Floral-Essence-Calendula-i.125116082.8664344253</v>
      </c>
      <c r="C2615" s="8" t="s">
        <v>344</v>
      </c>
      <c r="D2615" s="8" t="s">
        <v>713</v>
      </c>
      <c r="E2615" s="8" t="s">
        <v>12</v>
      </c>
      <c r="F2615" s="8" t="s">
        <v>13</v>
      </c>
      <c r="G2615" s="8" t="s">
        <v>61</v>
      </c>
      <c r="H2615" s="16">
        <v>1.0</v>
      </c>
      <c r="I2615" s="15" t="str">
        <f>SUBSTITUTE(Sheet1!K2615, "Rp", "")</f>
        <v>152000</v>
      </c>
    </row>
    <row r="2616">
      <c r="A2616" s="8" t="s">
        <v>3722</v>
      </c>
      <c r="B2616" s="13" t="str">
        <f>HYPERLINK("https://shopee.co.id/Nadfaskin-Vitamin-C-Serum-20ml-i.10689.2954374046", "https://shopee.co.id/Nadfaskin-Vitamin-C-Serum-20ml-i.10689.2954374046")</f>
        <v>https://shopee.co.id/Nadfaskin-Vitamin-C-Serum-20ml-i.10689.2954374046</v>
      </c>
      <c r="C2616" s="8" t="s">
        <v>1157</v>
      </c>
      <c r="D2616" s="8" t="s">
        <v>745</v>
      </c>
      <c r="E2616" s="8" t="s">
        <v>12</v>
      </c>
      <c r="F2616" s="8" t="s">
        <v>13</v>
      </c>
      <c r="G2616" s="8" t="s">
        <v>61</v>
      </c>
      <c r="H2616" s="16">
        <v>1.0</v>
      </c>
      <c r="I2616" s="15" t="str">
        <f>SUBSTITUTE(Sheet1!K2616, "Rp", "")</f>
        <v>165000</v>
      </c>
    </row>
    <row r="2617">
      <c r="A2617" s="8" t="s">
        <v>3725</v>
      </c>
      <c r="B2617" s="13" t="str">
        <f>HYPERLINK("https://shopee.co.id/Natur-Miracle-Brightening-Face-Serum-Vitamin-C-and-Sour-Lime-i.68111.4858380555", "https://shopee.co.id/Natur-Miracle-Brightening-Face-Serum-Vitamin-C-and-Sour-Lime-i.68111.4858380555")</f>
        <v>https://shopee.co.id/Natur-Miracle-Brightening-Face-Serum-Vitamin-C-and-Sour-Lime-i.68111.4858380555</v>
      </c>
      <c r="C2617" s="8" t="s">
        <v>1234</v>
      </c>
      <c r="D2617" s="8" t="s">
        <v>441</v>
      </c>
      <c r="E2617" s="8" t="s">
        <v>12</v>
      </c>
      <c r="F2617" s="8" t="s">
        <v>13</v>
      </c>
      <c r="G2617" s="8" t="s">
        <v>130</v>
      </c>
      <c r="H2617" s="16">
        <v>1.0</v>
      </c>
      <c r="I2617" s="15" t="str">
        <f>SUBSTITUTE(Sheet1!K2617, "Rp", "")</f>
        <v>161500</v>
      </c>
    </row>
    <row r="2618">
      <c r="A2618" s="8" t="s">
        <v>2915</v>
      </c>
      <c r="B2618" s="13" t="str">
        <f>HYPERLINK("https://shopee.co.id/NATURE-REPUBLIC-Bundle-Hyalon-Active-10-i.78838801.3493334472", "https://shopee.co.id/NATURE-REPUBLIC-Bundle-Hyalon-Active-10-i.78838801.3493334472")</f>
        <v>https://shopee.co.id/NATURE-REPUBLIC-Bundle-Hyalon-Active-10-i.78838801.3493334472</v>
      </c>
      <c r="C2618" s="8" t="s">
        <v>1079</v>
      </c>
      <c r="D2618" s="8" t="s">
        <v>1080</v>
      </c>
      <c r="E2618" s="8" t="s">
        <v>12</v>
      </c>
      <c r="F2618" s="8" t="s">
        <v>13</v>
      </c>
      <c r="G2618" s="8" t="s">
        <v>532</v>
      </c>
      <c r="H2618" s="16">
        <v>1.0</v>
      </c>
      <c r="I2618" s="15" t="str">
        <f>SUBSTITUTE(Sheet1!K2618, "Rp", "")</f>
        <v>888000</v>
      </c>
    </row>
    <row r="2619">
      <c r="A2619" s="8" t="s">
        <v>3182</v>
      </c>
      <c r="B2619" s="13" t="str">
        <f>HYPERLINK("https://shopee.co.id/NATURE-REPUBLIC-Collagen-Dream-70-Essence-i.78838801.2161931543", "https://shopee.co.id/NATURE-REPUBLIC-Collagen-Dream-70-Essence-i.78838801.2161931543")</f>
        <v>https://shopee.co.id/NATURE-REPUBLIC-Collagen-Dream-70-Essence-i.78838801.2161931543</v>
      </c>
      <c r="C2619" s="8" t="s">
        <v>1079</v>
      </c>
      <c r="D2619" s="8" t="s">
        <v>1080</v>
      </c>
      <c r="E2619" s="8" t="s">
        <v>12</v>
      </c>
      <c r="F2619" s="8" t="s">
        <v>13</v>
      </c>
      <c r="G2619" s="8" t="s">
        <v>532</v>
      </c>
      <c r="H2619" s="16">
        <v>1.0</v>
      </c>
      <c r="I2619" s="15" t="str">
        <f>SUBSTITUTE(Sheet1!K2619, "Rp", "")</f>
        <v>535000</v>
      </c>
    </row>
    <row r="2620">
      <c r="A2620" s="8" t="s">
        <v>3307</v>
      </c>
      <c r="B2620" s="13" t="str">
        <f>HYPERLINK("https://shopee.co.id/NATURE-REPUBLIC-Hyalon-Active-10-Blue-Capsule-Serum-Special-Set-i.78838801.5863329139", "https://shopee.co.id/NATURE-REPUBLIC-Hyalon-Active-10-Blue-Capsule-Serum-Special-Set-i.78838801.5863329139")</f>
        <v>https://shopee.co.id/NATURE-REPUBLIC-Hyalon-Active-10-Blue-Capsule-Serum-Special-Set-i.78838801.5863329139</v>
      </c>
      <c r="C2620" s="8" t="s">
        <v>1079</v>
      </c>
      <c r="D2620" s="8" t="s">
        <v>1080</v>
      </c>
      <c r="E2620" s="8" t="s">
        <v>12</v>
      </c>
      <c r="F2620" s="8" t="s">
        <v>13</v>
      </c>
      <c r="G2620" s="8" t="s">
        <v>532</v>
      </c>
      <c r="H2620" s="16">
        <v>1.0</v>
      </c>
      <c r="I2620" s="15" t="str">
        <f>SUBSTITUTE(Sheet1!K2620, "Rp", "")</f>
        <v>429000</v>
      </c>
    </row>
    <row r="2621">
      <c r="A2621" s="8" t="s">
        <v>3423</v>
      </c>
      <c r="B2621" s="13" t="str">
        <f>HYPERLINK("https://shopee.co.id/NATURE-REPUBLIC-Super-Aqua-Max-Watery-Essence-Rr--i.78838801.1408527321", "https://shopee.co.id/NATURE-REPUBLIC-Super-Aqua-Max-Watery-Essence-Rr--i.78838801.1408527321")</f>
        <v>https://shopee.co.id/NATURE-REPUBLIC-Super-Aqua-Max-Watery-Essence-Rr--i.78838801.1408527321</v>
      </c>
      <c r="C2621" s="8" t="s">
        <v>3424</v>
      </c>
      <c r="D2621" s="8" t="s">
        <v>1080</v>
      </c>
      <c r="E2621" s="8" t="s">
        <v>12</v>
      </c>
      <c r="F2621" s="8" t="s">
        <v>13</v>
      </c>
      <c r="G2621" s="8" t="s">
        <v>532</v>
      </c>
      <c r="H2621" s="16">
        <v>1.0</v>
      </c>
      <c r="I2621" s="15" t="str">
        <f>SUBSTITUTE(Sheet1!K2621, "Rp", "")</f>
        <v>342000</v>
      </c>
    </row>
    <row r="2622">
      <c r="A2622" s="8" t="s">
        <v>3614</v>
      </c>
      <c r="B2622" s="13" t="str">
        <f>HYPERLINK("https://shopee.co.id/Nayou-Skin-Galactomyces-Glow-Serum-i.172662975.4458755141", "https://shopee.co.id/Nayou-Skin-Galactomyces-Glow-Serum-i.172662975.4458755141")</f>
        <v>https://shopee.co.id/Nayou-Skin-Galactomyces-Glow-Serum-i.172662975.4458755141</v>
      </c>
      <c r="C2622" s="8" t="s">
        <v>3615</v>
      </c>
      <c r="D2622" s="8" t="s">
        <v>3616</v>
      </c>
      <c r="E2622" s="8" t="s">
        <v>12</v>
      </c>
      <c r="F2622" s="8" t="s">
        <v>13</v>
      </c>
      <c r="G2622" s="8" t="s">
        <v>469</v>
      </c>
      <c r="H2622" s="16">
        <v>1.0</v>
      </c>
      <c r="I2622" s="15" t="str">
        <f>SUBSTITUTE(Sheet1!K2622, "Rp", "")</f>
        <v>219000</v>
      </c>
    </row>
    <row r="2623">
      <c r="A2623" s="8" t="s">
        <v>3600</v>
      </c>
      <c r="B2623" s="13" t="str">
        <f>HYPERLINK("https://shopee.co.id/NEOGEN-Dermalogy-Real-Vit-C-serum-i.270965687.9483733204", "https://shopee.co.id/NEOGEN-Dermalogy-Real-Vit-C-serum-i.270965687.9483733204")</f>
        <v>https://shopee.co.id/NEOGEN-Dermalogy-Real-Vit-C-serum-i.270965687.9483733204</v>
      </c>
      <c r="C2623" s="8" t="s">
        <v>2093</v>
      </c>
      <c r="D2623" s="8" t="s">
        <v>379</v>
      </c>
      <c r="E2623" s="8" t="s">
        <v>12</v>
      </c>
      <c r="F2623" s="8" t="s">
        <v>13</v>
      </c>
      <c r="G2623" s="8" t="s">
        <v>380</v>
      </c>
      <c r="H2623" s="16">
        <v>1.0</v>
      </c>
      <c r="I2623" s="15" t="str">
        <f>SUBSTITUTE(Sheet1!K2623, "Rp", "")</f>
        <v>227000</v>
      </c>
    </row>
    <row r="2624">
      <c r="A2624" s="8" t="s">
        <v>3945</v>
      </c>
      <c r="B2624" s="13" t="str">
        <f>HYPERLINK("https://shopee.co.id/Nivea-Make-Up-Starter-2in1-Day-Serum-SPF33-30-ml-i.186214521.6215937121", "https://shopee.co.id/Nivea-Make-Up-Starter-2in1-Day-Serum-SPF33-30-ml-i.186214521.6215937121")</f>
        <v>https://shopee.co.id/Nivea-Make-Up-Starter-2in1-Day-Serum-SPF33-30-ml-i.186214521.6215937121</v>
      </c>
      <c r="C2624" s="8" t="s">
        <v>1571</v>
      </c>
      <c r="D2624" s="8" t="s">
        <v>2293</v>
      </c>
      <c r="E2624" s="8" t="s">
        <v>12</v>
      </c>
      <c r="F2624" s="8" t="s">
        <v>13</v>
      </c>
      <c r="G2624" s="8" t="s">
        <v>61</v>
      </c>
      <c r="H2624" s="16">
        <v>1.0</v>
      </c>
      <c r="I2624" s="15" t="str">
        <f>SUBSTITUTE(Sheet1!K2624, "Rp", "")</f>
        <v>57500</v>
      </c>
    </row>
    <row r="2625">
      <c r="A2625" s="8" t="s">
        <v>3487</v>
      </c>
      <c r="B2625" s="13" t="str">
        <f>HYPERLINK("https://shopee.co.id/NOVEXPERT-BOOSTER-Serum-With-Hyaluronic-Acid-i.37242565.547762257", "https://shopee.co.id/NOVEXPERT-BOOSTER-Serum-With-Hyaluronic-Acid-i.37242565.547762257")</f>
        <v>https://shopee.co.id/NOVEXPERT-BOOSTER-Serum-With-Hyaluronic-Acid-i.37242565.547762257</v>
      </c>
      <c r="C2625" s="8" t="s">
        <v>2218</v>
      </c>
      <c r="D2625" s="8" t="s">
        <v>2157</v>
      </c>
      <c r="E2625" s="8" t="s">
        <v>12</v>
      </c>
      <c r="F2625" s="8" t="s">
        <v>13</v>
      </c>
      <c r="G2625" s="8" t="s">
        <v>98</v>
      </c>
      <c r="H2625" s="16">
        <v>1.0</v>
      </c>
      <c r="I2625" s="15" t="str">
        <f>SUBSTITUTE(Sheet1!K2625, "Rp", "")</f>
        <v>295000</v>
      </c>
    </row>
    <row r="2626">
      <c r="A2626" s="8" t="s">
        <v>2912</v>
      </c>
      <c r="B2626" s="13" t="str">
        <f>HYPERLINK("https://shopee.co.id/Novexpert-Booster-Serum-Vitamin-C-30ml-i.825870.1679973710", "https://shopee.co.id/Novexpert-Booster-Serum-Vitamin-C-30ml-i.825870.1679973710")</f>
        <v>https://shopee.co.id/Novexpert-Booster-Serum-Vitamin-C-30ml-i.825870.1679973710</v>
      </c>
      <c r="C2626" s="8" t="s">
        <v>2218</v>
      </c>
      <c r="D2626" s="8" t="s">
        <v>1184</v>
      </c>
      <c r="E2626" s="8" t="s">
        <v>12</v>
      </c>
      <c r="F2626" s="8" t="s">
        <v>13</v>
      </c>
      <c r="G2626" s="8" t="s">
        <v>21</v>
      </c>
      <c r="H2626" s="16">
        <v>1.0</v>
      </c>
      <c r="I2626" s="15" t="str">
        <f>SUBSTITUTE(Sheet1!K2626, "Rp", "")</f>
        <v>890000</v>
      </c>
    </row>
    <row r="2627">
      <c r="A2627" s="8" t="s">
        <v>3488</v>
      </c>
      <c r="B2627" s="13" t="str">
        <f>HYPERLINK("https://shopee.co.id/NOVEXPERT-Booster-Serum-With-Hyaluronic-Acid-10ML-i.37242565.3562116286", "https://shopee.co.id/NOVEXPERT-Booster-Serum-With-Hyaluronic-Acid-10ML-i.37242565.3562116286")</f>
        <v>https://shopee.co.id/NOVEXPERT-Booster-Serum-With-Hyaluronic-Acid-10ML-i.37242565.3562116286</v>
      </c>
      <c r="C2627" s="8" t="s">
        <v>2218</v>
      </c>
      <c r="D2627" s="8" t="s">
        <v>2157</v>
      </c>
      <c r="E2627" s="8" t="s">
        <v>12</v>
      </c>
      <c r="F2627" s="8" t="s">
        <v>13</v>
      </c>
      <c r="G2627" s="8" t="s">
        <v>98</v>
      </c>
      <c r="H2627" s="16">
        <v>1.0</v>
      </c>
      <c r="I2627" s="15" t="str">
        <f>SUBSTITUTE(Sheet1!K2627, "Rp", "")</f>
        <v>295000</v>
      </c>
    </row>
    <row r="2628">
      <c r="A2628" s="8" t="s">
        <v>3697</v>
      </c>
      <c r="B2628" s="13" t="str">
        <f>HYPERLINK("https://shopee.co.id/NPURE-Face-Serum-Marigold-Series-Anti-Aging-Series--i.270965687.6470596972", "https://shopee.co.id/NPURE-Face-Serum-Marigold-Series-Anti-Aging-Series--i.270965687.6470596972")</f>
        <v>https://shopee.co.id/NPURE-Face-Serum-Marigold-Series-Anti-Aging-Series--i.270965687.6470596972</v>
      </c>
      <c r="C2628" s="8" t="s">
        <v>266</v>
      </c>
      <c r="D2628" s="8" t="s">
        <v>379</v>
      </c>
      <c r="E2628" s="8" t="s">
        <v>12</v>
      </c>
      <c r="F2628" s="8" t="s">
        <v>13</v>
      </c>
      <c r="G2628" s="8" t="s">
        <v>380</v>
      </c>
      <c r="H2628" s="16">
        <v>1.0</v>
      </c>
      <c r="I2628" s="15" t="str">
        <f>SUBSTITUTE(Sheet1!K2628, "Rp", "")</f>
        <v>179100</v>
      </c>
    </row>
    <row r="2629">
      <c r="A2629" s="8" t="s">
        <v>3927</v>
      </c>
      <c r="B2629" s="13" t="str">
        <f>HYPERLINK("https://shopee.co.id/Nu-Aroma-Rice-Bran-Oil-Natural-Serum-Wajah-Serum-Kulit-Serum-Rambut--i.262175945.6058888918", "https://shopee.co.id/Nu-Aroma-Rice-Bran-Oil-Natural-Serum-Wajah-Serum-Kulit-Serum-Rambut--i.262175945.6058888918")</f>
        <v>https://shopee.co.id/Nu-Aroma-Rice-Bran-Oil-Natural-Serum-Wajah-Serum-Kulit-Serum-Rambut--i.262175945.6058888918</v>
      </c>
      <c r="C2629" s="8" t="s">
        <v>2863</v>
      </c>
      <c r="D2629" s="8" t="s">
        <v>2864</v>
      </c>
      <c r="E2629" s="8" t="s">
        <v>12</v>
      </c>
      <c r="F2629" s="8" t="s">
        <v>13</v>
      </c>
      <c r="G2629" s="8" t="s">
        <v>945</v>
      </c>
      <c r="H2629" s="16">
        <v>1.0</v>
      </c>
      <c r="I2629" s="15" t="str">
        <f>SUBSTITUTE(Sheet1!K2629, "Rp", "")</f>
        <v>67000</v>
      </c>
    </row>
    <row r="2630">
      <c r="A2630" s="8" t="s">
        <v>3962</v>
      </c>
      <c r="B2630" s="13" t="str">
        <f>HYPERLINK("https://shopee.co.id/Nu-Aroma-Sunflower-Oil-Natural-Serum-Wajah-Serum-Kulit-Serum-Rambut--i.262175945.5357195928", "https://shopee.co.id/Nu-Aroma-Sunflower-Oil-Natural-Serum-Wajah-Serum-Kulit-Serum-Rambut--i.262175945.5357195928")</f>
        <v>https://shopee.co.id/Nu-Aroma-Sunflower-Oil-Natural-Serum-Wajah-Serum-Kulit-Serum-Rambut--i.262175945.5357195928</v>
      </c>
      <c r="C2630" s="8" t="s">
        <v>1665</v>
      </c>
      <c r="D2630" s="8" t="s">
        <v>2864</v>
      </c>
      <c r="E2630" s="8" t="s">
        <v>12</v>
      </c>
      <c r="F2630" s="8" t="s">
        <v>13</v>
      </c>
      <c r="G2630" s="8" t="s">
        <v>945</v>
      </c>
      <c r="H2630" s="16">
        <v>1.0</v>
      </c>
      <c r="I2630" s="15" t="str">
        <f>SUBSTITUTE(Sheet1!K2630, "Rp", "")</f>
        <v>42770</v>
      </c>
    </row>
    <row r="2631">
      <c r="A2631" s="8" t="s">
        <v>3824</v>
      </c>
      <c r="B2631" s="13" t="str">
        <f>HYPERLINK("https://shopee.co.id/Nutrishe-Intensive-Bright-Glow-Serum-20ml-i.825870.13409320753", "https://shopee.co.id/Nutrishe-Intensive-Bright-Glow-Serum-20ml-i.825870.13409320753")</f>
        <v>https://shopee.co.id/Nutrishe-Intensive-Bright-Glow-Serum-20ml-i.825870.13409320753</v>
      </c>
      <c r="C2631" s="8" t="s">
        <v>195</v>
      </c>
      <c r="D2631" s="8" t="s">
        <v>1184</v>
      </c>
      <c r="E2631" s="8" t="s">
        <v>12</v>
      </c>
      <c r="F2631" s="8" t="s">
        <v>13</v>
      </c>
      <c r="G2631" s="8" t="s">
        <v>21</v>
      </c>
      <c r="H2631" s="16">
        <v>1.0</v>
      </c>
      <c r="I2631" s="15" t="str">
        <f>SUBSTITUTE(Sheet1!K2631, "Rp", "")</f>
        <v>117000</v>
      </c>
    </row>
    <row r="2632">
      <c r="A2632" s="8" t="s">
        <v>3765</v>
      </c>
      <c r="B2632" s="13" t="str">
        <f>HYPERLINK("https://shopee.co.id/Oh-My-Skin-Essence-X-Henabrow-Pitera-Petal-Serum-i.226760579.3996671650", "https://shopee.co.id/Oh-My-Skin-Essence-X-Henabrow-Pitera-Petal-Serum-i.226760579.3996671650")</f>
        <v>https://shopee.co.id/Oh-My-Skin-Essence-X-Henabrow-Pitera-Petal-Serum-i.226760579.3996671650</v>
      </c>
      <c r="C2632" s="8" t="s">
        <v>3766</v>
      </c>
      <c r="D2632" s="8" t="s">
        <v>673</v>
      </c>
      <c r="E2632" s="8" t="s">
        <v>12</v>
      </c>
      <c r="F2632" s="8" t="s">
        <v>13</v>
      </c>
      <c r="G2632" s="8" t="s">
        <v>674</v>
      </c>
      <c r="H2632" s="16">
        <v>1.0</v>
      </c>
      <c r="I2632" s="15" t="str">
        <f>SUBSTITUTE(Sheet1!K2632, "Rp", "")</f>
        <v>141000</v>
      </c>
    </row>
    <row r="2633">
      <c r="A2633" s="8" t="s">
        <v>3711</v>
      </c>
      <c r="B2633" s="13" t="str">
        <f>HYPERLINK("https://shopee.co.id/Olay-Regen-Micro-Sculpting-Serum-50Ml-i.186214521.6925662286", "https://shopee.co.id/Olay-Regen-Micro-Sculpting-Serum-50Ml-i.186214521.6925662286")</f>
        <v>https://shopee.co.id/Olay-Regen-Micro-Sculpting-Serum-50Ml-i.186214521.6925662286</v>
      </c>
      <c r="C2633" s="8" t="s">
        <v>317</v>
      </c>
      <c r="D2633" s="8" t="s">
        <v>2293</v>
      </c>
      <c r="E2633" s="8" t="s">
        <v>12</v>
      </c>
      <c r="F2633" s="8" t="s">
        <v>13</v>
      </c>
      <c r="G2633" s="8" t="s">
        <v>61</v>
      </c>
      <c r="H2633" s="16">
        <v>1.0</v>
      </c>
      <c r="I2633" s="15" t="str">
        <f>SUBSTITUTE(Sheet1!K2633, "Rp", "")</f>
        <v>174000</v>
      </c>
    </row>
    <row r="2634">
      <c r="A2634" s="8" t="s">
        <v>3624</v>
      </c>
      <c r="B2634" s="13" t="str">
        <f>HYPERLINK("https://shopee.co.id/Olay-Regenerist-Youth-Pre-Essence-40ml-i.186214521.4927848441", "https://shopee.co.id/Olay-Regenerist-Youth-Pre-Essence-40ml-i.186214521.4927848441")</f>
        <v>https://shopee.co.id/Olay-Regenerist-Youth-Pre-Essence-40ml-i.186214521.4927848441</v>
      </c>
      <c r="C2634" s="8" t="s">
        <v>317</v>
      </c>
      <c r="D2634" s="8" t="s">
        <v>2293</v>
      </c>
      <c r="E2634" s="8" t="s">
        <v>12</v>
      </c>
      <c r="F2634" s="8" t="s">
        <v>13</v>
      </c>
      <c r="G2634" s="8" t="s">
        <v>61</v>
      </c>
      <c r="H2634" s="16">
        <v>1.0</v>
      </c>
      <c r="I2634" s="15" t="str">
        <f>SUBSTITUTE(Sheet1!K2634, "Rp", "")</f>
        <v>215600</v>
      </c>
    </row>
    <row r="2635">
      <c r="A2635" s="8" t="s">
        <v>3548</v>
      </c>
      <c r="B2635" s="13" t="str">
        <f>HYPERLINK("https://shopee.co.id/Paket-Bersih-Bersinar-i.240100481.13913993310", "https://shopee.co.id/Paket-Bersih-Bersinar-i.240100481.13913993310")</f>
        <v>https://shopee.co.id/Paket-Bersih-Bersinar-i.240100481.13913993310</v>
      </c>
      <c r="C2635" s="8" t="s">
        <v>1195</v>
      </c>
      <c r="D2635" s="8" t="s">
        <v>1196</v>
      </c>
      <c r="E2635" s="8" t="s">
        <v>12</v>
      </c>
      <c r="F2635" s="8" t="s">
        <v>13</v>
      </c>
      <c r="G2635" s="8" t="s">
        <v>98</v>
      </c>
      <c r="H2635" s="16">
        <v>1.0</v>
      </c>
      <c r="I2635" s="15" t="str">
        <f>SUBSTITUTE(Sheet1!K2635, "Rp", "")</f>
        <v>255000</v>
      </c>
    </row>
    <row r="2636">
      <c r="A2636" s="8" t="s">
        <v>3449</v>
      </c>
      <c r="B2636" s="13" t="str">
        <f>HYPERLINK("https://shopee.co.id/Paket-Serum-Tzuki-Sabun-Cream-dan-Serum-i.230136619.10723902106", "https://shopee.co.id/Paket-Serum-Tzuki-Sabun-Cream-dan-Serum-i.230136619.10723902106")</f>
        <v>https://shopee.co.id/Paket-Serum-Tzuki-Sabun-Cream-dan-Serum-i.230136619.10723902106</v>
      </c>
      <c r="C2636" s="8" t="s">
        <v>3450</v>
      </c>
      <c r="D2636" s="8" t="s">
        <v>3451</v>
      </c>
      <c r="E2636" s="8" t="s">
        <v>12</v>
      </c>
      <c r="F2636" s="8" t="s">
        <v>13</v>
      </c>
      <c r="G2636" s="8" t="s">
        <v>1085</v>
      </c>
      <c r="H2636" s="16">
        <v>1.0</v>
      </c>
      <c r="I2636" s="15" t="str">
        <f>SUBSTITUTE(Sheet1!K2636, "Rp", "")</f>
        <v>319000</v>
      </c>
    </row>
    <row r="2637">
      <c r="A2637" s="8" t="s">
        <v>3883</v>
      </c>
      <c r="B2637" s="13" t="str">
        <f>HYPERLINK("https://shopee.co.id/PIXY-White-Aqua-Concentrate-Brightening-Serum-18ml-i.187117294.4317413293", "https://shopee.co.id/PIXY-White-Aqua-Concentrate-Brightening-Serum-18ml-i.187117294.4317413293")</f>
        <v>https://shopee.co.id/PIXY-White-Aqua-Concentrate-Brightening-Serum-18ml-i.187117294.4317413293</v>
      </c>
      <c r="C2637" s="8" t="s">
        <v>1398</v>
      </c>
      <c r="D2637" s="8" t="s">
        <v>2366</v>
      </c>
      <c r="E2637" s="8" t="s">
        <v>12</v>
      </c>
      <c r="F2637" s="8" t="s">
        <v>13</v>
      </c>
      <c r="G2637" s="8" t="s">
        <v>469</v>
      </c>
      <c r="H2637" s="16">
        <v>1.0</v>
      </c>
      <c r="I2637" s="15" t="str">
        <f>SUBSTITUTE(Sheet1!K2637, "Rp", "")</f>
        <v>90000</v>
      </c>
    </row>
    <row r="2638">
      <c r="A2638" s="8" t="s">
        <v>3891</v>
      </c>
      <c r="B2638" s="13" t="str">
        <f>HYPERLINK("https://shopee.co.id/PIXY-white-aqua-HYDRA-MOIST-ESSENCE-125-ML-i.187117294.7240030111", "https://shopee.co.id/PIXY-white-aqua-HYDRA-MOIST-ESSENCE-125-ML-i.187117294.7240030111")</f>
        <v>https://shopee.co.id/PIXY-white-aqua-HYDRA-MOIST-ESSENCE-125-ML-i.187117294.7240030111</v>
      </c>
      <c r="C2638" s="8" t="s">
        <v>1398</v>
      </c>
      <c r="D2638" s="8" t="s">
        <v>2366</v>
      </c>
      <c r="E2638" s="8" t="s">
        <v>12</v>
      </c>
      <c r="F2638" s="8" t="s">
        <v>13</v>
      </c>
      <c r="G2638" s="8" t="s">
        <v>469</v>
      </c>
      <c r="H2638" s="16">
        <v>1.0</v>
      </c>
      <c r="I2638" s="15" t="str">
        <f>SUBSTITUTE(Sheet1!K2638, "Rp", "")</f>
        <v>88000</v>
      </c>
    </row>
    <row r="2639">
      <c r="A2639" s="8" t="s">
        <v>3680</v>
      </c>
      <c r="B2639" s="13" t="str">
        <f>HYPERLINK("https://shopee.co.id/Ponds-Age-Miracle-Face-Serum-30-mL-Ponds-Age-Miracle-Facial-Foam-100-gr-i.65323877.8779911332", "https://shopee.co.id/Ponds-Age-Miracle-Face-Serum-30-mL-Ponds-Age-Miracle-Facial-Foam-100-gr-i.65323877.8779911332")</f>
        <v>https://shopee.co.id/Ponds-Age-Miracle-Face-Serum-30-mL-Ponds-Age-Miracle-Facial-Foam-100-gr-i.65323877.8779911332</v>
      </c>
      <c r="C2639" s="8" t="s">
        <v>325</v>
      </c>
      <c r="D2639" s="8" t="s">
        <v>1600</v>
      </c>
      <c r="E2639" s="8" t="s">
        <v>12</v>
      </c>
      <c r="F2639" s="8" t="s">
        <v>13</v>
      </c>
      <c r="G2639" s="8" t="s">
        <v>296</v>
      </c>
      <c r="H2639" s="16">
        <v>1.0</v>
      </c>
      <c r="I2639" s="15" t="str">
        <f>SUBSTITUTE(Sheet1!K2639, "Rp", "")</f>
        <v>188900</v>
      </c>
    </row>
    <row r="2640">
      <c r="A2640" s="8" t="s">
        <v>3694</v>
      </c>
      <c r="B2640" s="13" t="str">
        <f>HYPERLINK("https://shopee.co.id/Ponds-Age-Miracle-Serum-30ml-Miracle-Serum-Ponds-miracle-i.114789399.2646940577", "https://shopee.co.id/Ponds-Age-Miracle-Serum-30ml-Miracle-Serum-Ponds-miracle-i.114789399.2646940577")</f>
        <v>https://shopee.co.id/Ponds-Age-Miracle-Serum-30ml-Miracle-Serum-Ponds-miracle-i.114789399.2646940577</v>
      </c>
      <c r="C2640" s="8" t="s">
        <v>325</v>
      </c>
      <c r="D2640" s="8" t="s">
        <v>2531</v>
      </c>
      <c r="E2640" s="8" t="s">
        <v>12</v>
      </c>
      <c r="F2640" s="8" t="s">
        <v>13</v>
      </c>
      <c r="G2640" s="8" t="s">
        <v>36</v>
      </c>
      <c r="H2640" s="16">
        <v>1.0</v>
      </c>
      <c r="I2640" s="15" t="str">
        <f>SUBSTITUTE(Sheet1!K2640, "Rp", "")</f>
        <v>180420</v>
      </c>
    </row>
    <row r="2641">
      <c r="A2641" s="8" t="s">
        <v>3608</v>
      </c>
      <c r="B2641" s="13" t="str">
        <f>HYPERLINK("https://shopee.co.id/Power-Ampoule-Pro-Nutri-35ml-i.58386356.5188171736", "https://shopee.co.id/Power-Ampoule-Pro-Nutri-35ml-i.58386356.5188171736")</f>
        <v>https://shopee.co.id/Power-Ampoule-Pro-Nutri-35ml-i.58386356.5188171736</v>
      </c>
      <c r="C2641" s="8" t="s">
        <v>2339</v>
      </c>
      <c r="D2641" s="8" t="s">
        <v>2340</v>
      </c>
      <c r="E2641" s="8" t="s">
        <v>12</v>
      </c>
      <c r="F2641" s="8" t="s">
        <v>13</v>
      </c>
      <c r="G2641" s="8" t="s">
        <v>21</v>
      </c>
      <c r="H2641" s="16">
        <v>1.0</v>
      </c>
      <c r="I2641" s="15" t="str">
        <f>SUBSTITUTE(Sheet1!K2641, "Rp", "")</f>
        <v>222580</v>
      </c>
    </row>
    <row r="2642">
      <c r="A2642" s="8" t="s">
        <v>3609</v>
      </c>
      <c r="B2642" s="13" t="str">
        <f>HYPERLINK("https://shopee.co.id/Power-Ampoule-Vita-White-35ml-i.58386356.9219123296", "https://shopee.co.id/Power-Ampoule-Vita-White-35ml-i.58386356.9219123296")</f>
        <v>https://shopee.co.id/Power-Ampoule-Vita-White-35ml-i.58386356.9219123296</v>
      </c>
      <c r="C2642" s="8" t="s">
        <v>2339</v>
      </c>
      <c r="D2642" s="8" t="s">
        <v>2340</v>
      </c>
      <c r="E2642" s="8" t="s">
        <v>12</v>
      </c>
      <c r="F2642" s="8" t="s">
        <v>13</v>
      </c>
      <c r="G2642" s="8" t="s">
        <v>21</v>
      </c>
      <c r="H2642" s="16">
        <v>1.0</v>
      </c>
      <c r="I2642" s="15" t="str">
        <f>SUBSTITUTE(Sheet1!K2642, "Rp", "")</f>
        <v>222580</v>
      </c>
    </row>
    <row r="2643">
      <c r="A2643" s="8" t="s">
        <v>3504</v>
      </c>
      <c r="B2643" s="13" t="str">
        <f>HYPERLINK("https://shopee.co.id/Pureheals-Propolis-Ampoule-size-30-ml-Edit-by-Sociolla--i.224957239.11435731564", "https://shopee.co.id/Pureheals-Propolis-Ampoule-size-30-ml-Edit-by-Sociolla--i.224957239.11435731564")</f>
        <v>https://shopee.co.id/Pureheals-Propolis-Ampoule-size-30-ml-Edit-by-Sociolla--i.224957239.11435731564</v>
      </c>
      <c r="C2643" s="8" t="s">
        <v>3505</v>
      </c>
      <c r="D2643" s="8" t="s">
        <v>492</v>
      </c>
      <c r="E2643" s="8" t="s">
        <v>12</v>
      </c>
      <c r="F2643" s="8" t="s">
        <v>13</v>
      </c>
      <c r="G2643" s="8" t="s">
        <v>21</v>
      </c>
      <c r="H2643" s="16">
        <v>1.0</v>
      </c>
      <c r="I2643" s="15" t="str">
        <f>SUBSTITUTE(Sheet1!K2643, "Rp", "")</f>
        <v>285000</v>
      </c>
    </row>
    <row r="2644">
      <c r="A2644" s="8" t="s">
        <v>3438</v>
      </c>
      <c r="B2644" s="13" t="str">
        <f>HYPERLINK("https://shopee.co.id/PURITO-Fermented-Complex-94-Boosting-Essence-i.233721470.4019318909", "https://shopee.co.id/PURITO-Fermented-Complex-94-Boosting-Essence-i.233721470.4019318909")</f>
        <v>https://shopee.co.id/PURITO-Fermented-Complex-94-Boosting-Essence-i.233721470.4019318909</v>
      </c>
      <c r="C2644" s="8" t="s">
        <v>1993</v>
      </c>
      <c r="D2644" s="8" t="s">
        <v>1994</v>
      </c>
      <c r="E2644" s="8" t="s">
        <v>12</v>
      </c>
      <c r="F2644" s="8" t="s">
        <v>13</v>
      </c>
      <c r="G2644" s="8" t="s">
        <v>21</v>
      </c>
      <c r="H2644" s="16">
        <v>1.0</v>
      </c>
      <c r="I2644" s="15" t="str">
        <f>SUBSTITUTE(Sheet1!K2644, "Rp", "")</f>
        <v>322500</v>
      </c>
    </row>
    <row r="2645">
      <c r="A2645" s="8" t="s">
        <v>3439</v>
      </c>
      <c r="B2645" s="13" t="str">
        <f>HYPERLINK("https://shopee.co.id/PURITO-Galacto-Niacin-97-Power-Essence-i.233721470.4268438278", "https://shopee.co.id/PURITO-Galacto-Niacin-97-Power-Essence-i.233721470.4268438278")</f>
        <v>https://shopee.co.id/PURITO-Galacto-Niacin-97-Power-Essence-i.233721470.4268438278</v>
      </c>
      <c r="C2645" s="8" t="s">
        <v>1993</v>
      </c>
      <c r="D2645" s="8" t="s">
        <v>1994</v>
      </c>
      <c r="E2645" s="8" t="s">
        <v>12</v>
      </c>
      <c r="F2645" s="8" t="s">
        <v>13</v>
      </c>
      <c r="G2645" s="8" t="s">
        <v>21</v>
      </c>
      <c r="H2645" s="16">
        <v>1.0</v>
      </c>
      <c r="I2645" s="15" t="str">
        <f>SUBSTITUTE(Sheet1!K2645, "Rp", "")</f>
        <v>322500</v>
      </c>
    </row>
    <row r="2646">
      <c r="A2646" s="8" t="s">
        <v>3834</v>
      </c>
      <c r="B2646" s="13" t="str">
        <f>HYPERLINK("https://shopee.co.id/PURIVERA-BOTANICALS-Everlasting-Tamanu-Serum-Oil-Scar-Repair-Bopeng-Truecica-Snail-Cica-Alte-i.68111.10715273485", "https://shopee.co.id/PURIVERA-BOTANICALS-Everlasting-Tamanu-Serum-Oil-Scar-Repair-Bopeng-Truecica-Snail-Cica-Alte-i.68111.10715273485")</f>
        <v>https://shopee.co.id/PURIVERA-BOTANICALS-Everlasting-Tamanu-Serum-Oil-Scar-Repair-Bopeng-Truecica-Snail-Cica-Alte-i.68111.10715273485</v>
      </c>
      <c r="C2646" s="8" t="s">
        <v>940</v>
      </c>
      <c r="D2646" s="8" t="s">
        <v>441</v>
      </c>
      <c r="E2646" s="8" t="s">
        <v>12</v>
      </c>
      <c r="F2646" s="8" t="s">
        <v>13</v>
      </c>
      <c r="G2646" s="8" t="s">
        <v>130</v>
      </c>
      <c r="H2646" s="16">
        <v>1.0</v>
      </c>
      <c r="I2646" s="15" t="str">
        <f>SUBSTITUTE(Sheet1!K2646, "Rp", "")</f>
        <v>110400</v>
      </c>
    </row>
    <row r="2647">
      <c r="A2647" s="8" t="s">
        <v>3903</v>
      </c>
      <c r="B2647" s="13" t="str">
        <f>HYPERLINK("https://shopee.co.id/Purivera-Premium-Evening-Primrose-Oil-30ml-i.8320815.3454202637", "https://shopee.co.id/Purivera-Premium-Evening-Primrose-Oil-30ml-i.8320815.3454202637")</f>
        <v>https://shopee.co.id/Purivera-Premium-Evening-Primrose-Oil-30ml-i.8320815.3454202637</v>
      </c>
      <c r="C2647" s="8" t="s">
        <v>428</v>
      </c>
      <c r="D2647" s="8" t="s">
        <v>3904</v>
      </c>
      <c r="E2647" s="8" t="s">
        <v>12</v>
      </c>
      <c r="F2647" s="8" t="s">
        <v>13</v>
      </c>
      <c r="G2647" s="8" t="s">
        <v>469</v>
      </c>
      <c r="H2647" s="16">
        <v>1.0</v>
      </c>
      <c r="I2647" s="15" t="str">
        <f>SUBSTITUTE(Sheet1!K2647, "Rp", "")</f>
        <v>80000</v>
      </c>
    </row>
    <row r="2648">
      <c r="A2648" s="8" t="s">
        <v>3304</v>
      </c>
      <c r="B2648" s="13" t="str">
        <f>HYPERLINK("https://shopee.co.id/Quesella-Galactomyces-Treatment-Essence-30ml-i.10689.5360302038", "https://shopee.co.id/Quesella-Galactomyces-Treatment-Essence-30ml-i.10689.5360302038")</f>
        <v>https://shopee.co.id/Quesella-Galactomyces-Treatment-Essence-30ml-i.10689.5360302038</v>
      </c>
      <c r="C2648" s="8" t="s">
        <v>3305</v>
      </c>
      <c r="D2648" s="8" t="s">
        <v>745</v>
      </c>
      <c r="E2648" s="8" t="s">
        <v>12</v>
      </c>
      <c r="F2648" s="8" t="s">
        <v>13</v>
      </c>
      <c r="G2648" s="8" t="s">
        <v>61</v>
      </c>
      <c r="H2648" s="16">
        <v>1.0</v>
      </c>
      <c r="I2648" s="15" t="str">
        <f>SUBSTITUTE(Sheet1!K2648, "Rp", "")</f>
        <v>136500</v>
      </c>
    </row>
    <row r="2649">
      <c r="A2649" s="8" t="s">
        <v>3775</v>
      </c>
      <c r="B2649" s="13" t="str">
        <f>HYPERLINK("https://shopee.co.id/Radi-Skin-Hyaluronic-Acid-Moist-Serum-20ml-i.825870.2712994125", "https://shopee.co.id/Radi-Skin-Hyaluronic-Acid-Moist-Serum-20ml-i.825870.2712994125")</f>
        <v>https://shopee.co.id/Radi-Skin-Hyaluronic-Acid-Moist-Serum-20ml-i.825870.2712994125</v>
      </c>
      <c r="C2649" s="8" t="s">
        <v>1879</v>
      </c>
      <c r="D2649" s="8" t="s">
        <v>1184</v>
      </c>
      <c r="E2649" s="8" t="s">
        <v>12</v>
      </c>
      <c r="F2649" s="8" t="s">
        <v>13</v>
      </c>
      <c r="G2649" s="8" t="s">
        <v>21</v>
      </c>
      <c r="H2649" s="16">
        <v>1.0</v>
      </c>
      <c r="I2649" s="15" t="str">
        <f>SUBSTITUTE(Sheet1!K2649, "Rp", "")</f>
        <v>139000</v>
      </c>
    </row>
    <row r="2650">
      <c r="A2650" s="8" t="s">
        <v>3406</v>
      </c>
      <c r="B2650" s="13" t="str">
        <f>HYPERLINK("https://shopee.co.id/Radi-Skin-Serum-Bundle-Set-i.147850476.5410647658", "https://shopee.co.id/Radi-Skin-Serum-Bundle-Set-i.147850476.5410647658")</f>
        <v>https://shopee.co.id/Radi-Skin-Serum-Bundle-Set-i.147850476.5410647658</v>
      </c>
      <c r="C2650" s="8" t="s">
        <v>1879</v>
      </c>
      <c r="D2650" s="8" t="s">
        <v>1880</v>
      </c>
      <c r="E2650" s="8" t="s">
        <v>12</v>
      </c>
      <c r="F2650" s="8" t="s">
        <v>13</v>
      </c>
      <c r="G2650" s="8" t="s">
        <v>61</v>
      </c>
      <c r="H2650" s="16">
        <v>1.0</v>
      </c>
      <c r="I2650" s="15" t="str">
        <f>SUBSTITUTE(Sheet1!K2650, "Rp", "")</f>
        <v>359000</v>
      </c>
    </row>
    <row r="2651">
      <c r="A2651" s="8" t="s">
        <v>3801</v>
      </c>
      <c r="B2651" s="13" t="str">
        <f>HYPERLINK("https://shopee.co.id/Raiku-Age-Defense-Serum-30ml--i.82041605.9053360169", "https://shopee.co.id/Raiku-Age-Defense-Serum-30ml--i.82041605.9053360169")</f>
        <v>https://shopee.co.id/Raiku-Age-Defense-Serum-30ml--i.82041605.9053360169</v>
      </c>
      <c r="C2651" s="8" t="s">
        <v>2281</v>
      </c>
      <c r="D2651" s="8" t="s">
        <v>2282</v>
      </c>
      <c r="E2651" s="8" t="s">
        <v>12</v>
      </c>
      <c r="F2651" s="8" t="s">
        <v>13</v>
      </c>
      <c r="G2651" s="8" t="s">
        <v>21</v>
      </c>
      <c r="H2651" s="16">
        <v>1.0</v>
      </c>
      <c r="I2651" s="15" t="str">
        <f>SUBSTITUTE(Sheet1!K2651, "Rp", "")</f>
        <v>123690</v>
      </c>
    </row>
    <row r="2652">
      <c r="A2652" s="8" t="s">
        <v>3718</v>
      </c>
      <c r="B2652" s="13" t="str">
        <f>HYPERLINK("https://shopee.co.id/Raiku-Hydrating-Glow-Serum-30ml-i.825870.6277618872", "https://shopee.co.id/Raiku-Hydrating-Glow-Serum-30ml-i.825870.6277618872")</f>
        <v>https://shopee.co.id/Raiku-Hydrating-Glow-Serum-30ml-i.825870.6277618872</v>
      </c>
      <c r="C2652" s="8" t="s">
        <v>2281</v>
      </c>
      <c r="D2652" s="8" t="s">
        <v>1184</v>
      </c>
      <c r="E2652" s="8" t="s">
        <v>12</v>
      </c>
      <c r="F2652" s="8" t="s">
        <v>13</v>
      </c>
      <c r="G2652" s="8" t="s">
        <v>21</v>
      </c>
      <c r="H2652" s="16">
        <v>1.0</v>
      </c>
      <c r="I2652" s="15" t="str">
        <f>SUBSTITUTE(Sheet1!K2652, "Rp", "")</f>
        <v>168000</v>
      </c>
    </row>
    <row r="2653">
      <c r="A2653" s="8" t="s">
        <v>3848</v>
      </c>
      <c r="B2653" s="13" t="str">
        <f>HYPERLINK("https://shopee.co.id/Rubiena-Anti-Aging-Serum-i.191323030.7941215929", "https://shopee.co.id/Rubiena-Anti-Aging-Serum-i.191323030.7941215929")</f>
        <v>https://shopee.co.id/Rubiena-Anti-Aging-Serum-i.191323030.7941215929</v>
      </c>
      <c r="C2653" s="8" t="s">
        <v>3667</v>
      </c>
      <c r="D2653" s="8" t="s">
        <v>3668</v>
      </c>
      <c r="E2653" s="8" t="s">
        <v>12</v>
      </c>
      <c r="F2653" s="8" t="s">
        <v>13</v>
      </c>
      <c r="G2653" s="8" t="s">
        <v>61</v>
      </c>
      <c r="H2653" s="16">
        <v>1.0</v>
      </c>
      <c r="I2653" s="15" t="str">
        <f>SUBSTITUTE(Sheet1!K2653, "Rp", "")</f>
        <v>104000</v>
      </c>
    </row>
    <row r="2654">
      <c r="A2654" s="8" t="s">
        <v>3886</v>
      </c>
      <c r="B2654" s="13" t="str">
        <f>HYPERLINK("https://shopee.co.id/Safi-Age-Defy-Gold-Water-30-30-Banded-i.30736001.10712284898", "https://shopee.co.id/Safi-Age-Defy-Gold-Water-30-30-Banded-i.30736001.10712284898")</f>
        <v>https://shopee.co.id/Safi-Age-Defy-Gold-Water-30-30-Banded-i.30736001.10712284898</v>
      </c>
      <c r="C2654" s="8" t="s">
        <v>278</v>
      </c>
      <c r="D2654" s="8" t="s">
        <v>335</v>
      </c>
      <c r="E2654" s="8" t="s">
        <v>12</v>
      </c>
      <c r="F2654" s="8" t="s">
        <v>13</v>
      </c>
      <c r="G2654" s="8" t="s">
        <v>36</v>
      </c>
      <c r="H2654" s="16">
        <v>1.0</v>
      </c>
      <c r="I2654" s="15" t="str">
        <f>SUBSTITUTE(Sheet1!K2654, "Rp", "")</f>
        <v>89900</v>
      </c>
    </row>
    <row r="2655">
      <c r="A2655" s="8" t="s">
        <v>3948</v>
      </c>
      <c r="B2655" s="13" t="str">
        <f>HYPERLINK("https://shopee.co.id/Safi-Age-Defy-Gold-Water-Essence-30-mL-i.65323877.8179240522", "https://shopee.co.id/Safi-Age-Defy-Gold-Water-Essence-30-mL-i.65323877.8179240522")</f>
        <v>https://shopee.co.id/Safi-Age-Defy-Gold-Water-Essence-30-mL-i.65323877.8179240522</v>
      </c>
      <c r="C2655" s="8" t="s">
        <v>278</v>
      </c>
      <c r="D2655" s="8" t="s">
        <v>1600</v>
      </c>
      <c r="E2655" s="8" t="s">
        <v>12</v>
      </c>
      <c r="F2655" s="8" t="s">
        <v>13</v>
      </c>
      <c r="G2655" s="8" t="s">
        <v>296</v>
      </c>
      <c r="H2655" s="16">
        <v>1.0</v>
      </c>
      <c r="I2655" s="15" t="str">
        <f>SUBSTITUTE(Sheet1!K2655, "Rp", "")</f>
        <v>54000</v>
      </c>
    </row>
    <row r="2656">
      <c r="A2656" s="8" t="s">
        <v>3864</v>
      </c>
      <c r="B2656" s="13" t="str">
        <f>HYPERLINK("https://shopee.co.id/Sarae-Glowing-Essence-with-CICA-Hyaluronic-Acid-Face-Mist-Centella-Asiatica-100-ml-x-2-pcs-i.20723335.10644105845", "https://shopee.co.id/Sarae-Glowing-Essence-with-CICA-Hyaluronic-Acid-Face-Mist-Centella-Asiatica-100-ml-x-2-pcs-i.20723335.10644105845")</f>
        <v>https://shopee.co.id/Sarae-Glowing-Essence-with-CICA-Hyaluronic-Acid-Face-Mist-Centella-Asiatica-100-ml-x-2-pcs-i.20723335.10644105845</v>
      </c>
      <c r="C2656" s="8" t="s">
        <v>2042</v>
      </c>
      <c r="D2656" s="8" t="s">
        <v>2043</v>
      </c>
      <c r="E2656" s="8" t="s">
        <v>12</v>
      </c>
      <c r="F2656" s="8" t="s">
        <v>13</v>
      </c>
      <c r="G2656" s="8" t="s">
        <v>241</v>
      </c>
      <c r="H2656" s="16">
        <v>1.0</v>
      </c>
      <c r="I2656" s="15" t="str">
        <f>SUBSTITUTE(Sheet1!K2656, "Rp", "")</f>
        <v>99000</v>
      </c>
    </row>
    <row r="2657">
      <c r="A2657" s="8" t="s">
        <v>3683</v>
      </c>
      <c r="B2657" s="13" t="str">
        <f>HYPERLINK("https://shopee.co.id/SBC-Skin-Whitening-Complex-Serum-20ml-i.825870.6016468082", "https://shopee.co.id/SBC-Skin-Whitening-Complex-Serum-20ml-i.825870.6016468082")</f>
        <v>https://shopee.co.id/SBC-Skin-Whitening-Complex-Serum-20ml-i.825870.6016468082</v>
      </c>
      <c r="C2657" s="8" t="s">
        <v>1775</v>
      </c>
      <c r="D2657" s="8" t="s">
        <v>1184</v>
      </c>
      <c r="E2657" s="8" t="s">
        <v>12</v>
      </c>
      <c r="F2657" s="8" t="s">
        <v>13</v>
      </c>
      <c r="G2657" s="8" t="s">
        <v>21</v>
      </c>
      <c r="H2657" s="16">
        <v>1.0</v>
      </c>
      <c r="I2657" s="15" t="str">
        <f>SUBSTITUTE(Sheet1!K2657, "Rp", "")</f>
        <v>187575</v>
      </c>
    </row>
    <row r="2658">
      <c r="A2658" s="8" t="s">
        <v>3396</v>
      </c>
      <c r="B2658" s="13" t="str">
        <f>HYPERLINK("https://shopee.co.id/Sbcskin-Bundling-Serum-Vit-C-Retinol-Renewal-Serum-i.229435322.6360929687", "https://shopee.co.id/Sbcskin-Bundling-Serum-Vit-C-Retinol-Renewal-Serum-i.229435322.6360929687")</f>
        <v>https://shopee.co.id/Sbcskin-Bundling-Serum-Vit-C-Retinol-Renewal-Serum-i.229435322.6360929687</v>
      </c>
      <c r="C2658" s="8" t="s">
        <v>1775</v>
      </c>
      <c r="D2658" s="8" t="s">
        <v>1776</v>
      </c>
      <c r="E2658" s="8" t="s">
        <v>12</v>
      </c>
      <c r="F2658" s="8" t="s">
        <v>13</v>
      </c>
      <c r="G2658" s="8" t="s">
        <v>1777</v>
      </c>
      <c r="H2658" s="16">
        <v>1.0</v>
      </c>
      <c r="I2658" s="15" t="str">
        <f>SUBSTITUTE(Sheet1!K2658, "Rp", "")</f>
        <v>367200</v>
      </c>
    </row>
    <row r="2659">
      <c r="A2659" s="8" t="s">
        <v>3908</v>
      </c>
      <c r="B2659" s="13" t="str">
        <f>HYPERLINK("https://shopee.co.id/SCARLETT-Whitening-Brightly-Ever-After-Serum-Pencerah-Wajah-15-ml-i.332732864.4079844096", "https://shopee.co.id/SCARLETT-Whitening-Brightly-Ever-After-Serum-Pencerah-Wajah-15-ml-i.332732864.4079844096")</f>
        <v>https://shopee.co.id/SCARLETT-Whitening-Brightly-Ever-After-Serum-Pencerah-Wajah-15-ml-i.332732864.4079844096</v>
      </c>
      <c r="C2659" s="8" t="s">
        <v>19</v>
      </c>
      <c r="D2659" s="8" t="s">
        <v>3780</v>
      </c>
      <c r="E2659" s="8" t="s">
        <v>12</v>
      </c>
      <c r="F2659" s="8" t="s">
        <v>13</v>
      </c>
      <c r="G2659" s="8" t="s">
        <v>21</v>
      </c>
      <c r="H2659" s="16">
        <v>1.0</v>
      </c>
      <c r="I2659" s="15" t="str">
        <f>SUBSTITUTE(Sheet1!K2659, "Rp", "")</f>
        <v>76000</v>
      </c>
    </row>
    <row r="2660">
      <c r="A2660" s="8" t="s">
        <v>3922</v>
      </c>
      <c r="B2660" s="13" t="str">
        <f>HYPERLINK("https://shopee.co.id/SCARLETT-WHITENING-Brightly-to-Glow-Mini-Series-5ml-i.68111.10435388056", "https://shopee.co.id/SCARLETT-WHITENING-Brightly-to-Glow-Mini-Series-5ml-i.68111.10435388056")</f>
        <v>https://shopee.co.id/SCARLETT-WHITENING-Brightly-to-Glow-Mini-Series-5ml-i.68111.10435388056</v>
      </c>
      <c r="C2660" s="8" t="s">
        <v>19</v>
      </c>
      <c r="D2660" s="8" t="s">
        <v>441</v>
      </c>
      <c r="E2660" s="8" t="s">
        <v>12</v>
      </c>
      <c r="F2660" s="8" t="s">
        <v>13</v>
      </c>
      <c r="G2660" s="8" t="s">
        <v>130</v>
      </c>
      <c r="H2660" s="16">
        <v>1.0</v>
      </c>
      <c r="I2660" s="15" t="str">
        <f>SUBSTITUTE(Sheet1!K2660, "Rp", "")</f>
        <v>70125</v>
      </c>
    </row>
    <row r="2661">
      <c r="A2661" s="8" t="s">
        <v>3628</v>
      </c>
      <c r="B2661" s="13" t="str">
        <f>HYPERLINK("https://shopee.co.id/SECA-Intense-Exfoliation-Bundle-AHA-BHA-serum-i.373749700.8787270939", "https://shopee.co.id/SECA-Intense-Exfoliation-Bundle-AHA-BHA-serum-i.373749700.8787270939")</f>
        <v>https://shopee.co.id/SECA-Intense-Exfoliation-Bundle-AHA-BHA-serum-i.373749700.8787270939</v>
      </c>
      <c r="C2661" s="8" t="s">
        <v>2026</v>
      </c>
      <c r="D2661" s="8" t="s">
        <v>986</v>
      </c>
      <c r="E2661" s="8" t="s">
        <v>12</v>
      </c>
      <c r="F2661" s="8" t="s">
        <v>13</v>
      </c>
      <c r="G2661" s="8" t="s">
        <v>36</v>
      </c>
      <c r="H2661" s="16">
        <v>1.0</v>
      </c>
      <c r="I2661" s="15" t="str">
        <f>SUBSTITUTE(Sheet1!K2661, "Rp", "")</f>
        <v>214200</v>
      </c>
    </row>
    <row r="2662">
      <c r="A2662" s="8" t="s">
        <v>3865</v>
      </c>
      <c r="B2662" s="13" t="str">
        <f>HYPERLINK("https://shopee.co.id/Serum-Anti-Kerutan-Concentrate-instant-Agefit-By-Neohaus-Original-Korea-i.95297152.8716475008", "https://shopee.co.id/Serum-Anti-Kerutan-Concentrate-instant-Agefit-By-Neohaus-Original-Korea-i.95297152.8716475008")</f>
        <v>https://shopee.co.id/Serum-Anti-Kerutan-Concentrate-instant-Agefit-By-Neohaus-Original-Korea-i.95297152.8716475008</v>
      </c>
      <c r="C2662" s="8" t="s">
        <v>3866</v>
      </c>
      <c r="D2662" s="8" t="s">
        <v>3867</v>
      </c>
      <c r="E2662" s="8" t="s">
        <v>12</v>
      </c>
      <c r="F2662" s="8" t="s">
        <v>13</v>
      </c>
      <c r="G2662" s="8" t="s">
        <v>61</v>
      </c>
      <c r="H2662" s="16">
        <v>1.0</v>
      </c>
      <c r="I2662" s="15" t="str">
        <f>SUBSTITUTE(Sheet1!K2662, "Rp", "")</f>
        <v>99000</v>
      </c>
    </row>
    <row r="2663">
      <c r="A2663" s="8" t="s">
        <v>3835</v>
      </c>
      <c r="B2663" s="13" t="str">
        <f>HYPERLINK("https://shopee.co.id/Serum-Calming-Marwah-Skin-Care-i.357101711.5179721545", "https://shopee.co.id/Serum-Calming-Marwah-Skin-Care-i.357101711.5179721545")</f>
        <v>https://shopee.co.id/Serum-Calming-Marwah-Skin-Care-i.357101711.5179721545</v>
      </c>
      <c r="C2663" s="8" t="s">
        <v>2249</v>
      </c>
      <c r="D2663" s="8" t="s">
        <v>2250</v>
      </c>
      <c r="E2663" s="8" t="s">
        <v>12</v>
      </c>
      <c r="F2663" s="8" t="s">
        <v>13</v>
      </c>
      <c r="G2663" s="8" t="s">
        <v>370</v>
      </c>
      <c r="H2663" s="16">
        <v>1.0</v>
      </c>
      <c r="I2663" s="15" t="str">
        <f>SUBSTITUTE(Sheet1!K2663, "Rp", "")</f>
        <v>110000</v>
      </c>
    </row>
    <row r="2664">
      <c r="A2664" s="8" t="s">
        <v>3914</v>
      </c>
      <c r="B2664" s="13" t="str">
        <f>HYPERLINK("https://shopee.co.id/Serum-Maggie-Glow-Whitening-Serum-Muka-Pemutih-Wajah-Flek-i.23831802.702163166", "https://shopee.co.id/Serum-Maggie-Glow-Whitening-Serum-Muka-Pemutih-Wajah-Flek-i.23831802.702163166")</f>
        <v>https://shopee.co.id/Serum-Maggie-Glow-Whitening-Serum-Muka-Pemutih-Wajah-Flek-i.23831802.702163166</v>
      </c>
      <c r="C2664" s="8" t="s">
        <v>1083</v>
      </c>
      <c r="D2664" s="8" t="s">
        <v>1084</v>
      </c>
      <c r="E2664" s="8" t="s">
        <v>12</v>
      </c>
      <c r="F2664" s="8" t="s">
        <v>13</v>
      </c>
      <c r="G2664" s="8" t="s">
        <v>1085</v>
      </c>
      <c r="H2664" s="16">
        <v>1.0</v>
      </c>
      <c r="I2664" s="15" t="str">
        <f>SUBSTITUTE(Sheet1!K2664, "Rp", "")</f>
        <v>73150</v>
      </c>
    </row>
    <row r="2665">
      <c r="A2665" s="8" t="s">
        <v>3872</v>
      </c>
      <c r="B2665" s="13" t="str">
        <f>HYPERLINK("https://shopee.co.id/SERUM-WAJAH-GLOWING-PEMUTIH-WAJAH-NATURE-REACTION-CRYSTAL-BRIGHT-ORIGINAL-BPOM-AMPUH-100-ORIGINAL-i.375565670.11226126475", "https://shopee.co.id/SERUM-WAJAH-GLOWING-PEMUTIH-WAJAH-NATURE-REACTION-CRYSTAL-BRIGHT-ORIGINAL-BPOM-AMPUH-100-ORIGINAL-i.375565670.11226126475")</f>
        <v>https://shopee.co.id/SERUM-WAJAH-GLOWING-PEMUTIH-WAJAH-NATURE-REACTION-CRYSTAL-BRIGHT-ORIGINAL-BPOM-AMPUH-100-ORIGINAL-i.375565670.11226126475</v>
      </c>
      <c r="C2665" s="8" t="s">
        <v>530</v>
      </c>
      <c r="D2665" s="8" t="s">
        <v>531</v>
      </c>
      <c r="E2665" s="8" t="s">
        <v>12</v>
      </c>
      <c r="F2665" s="8" t="s">
        <v>13</v>
      </c>
      <c r="G2665" s="8" t="s">
        <v>532</v>
      </c>
      <c r="H2665" s="16">
        <v>1.0</v>
      </c>
      <c r="I2665" s="15" t="str">
        <f>SUBSTITUTE(Sheet1!K2665, "Rp", "")</f>
        <v>98000</v>
      </c>
    </row>
    <row r="2666">
      <c r="A2666" s="8" t="s">
        <v>3858</v>
      </c>
      <c r="B2666" s="13" t="str">
        <f>HYPERLINK("https://shopee.co.id/Serum-White-4ml-Normal-Dry-Skin-Special-Promo-Buy-1-Get-1-Free--i.108311902.7519911559", "https://shopee.co.id/Serum-White-4ml-Normal-Dry-Skin-Special-Promo-Buy-1-Get-1-Free--i.108311902.7519911559")</f>
        <v>https://shopee.co.id/Serum-White-4ml-Normal-Dry-Skin-Special-Promo-Buy-1-Get-1-Free--i.108311902.7519911559</v>
      </c>
      <c r="C2666" s="8" t="s">
        <v>3473</v>
      </c>
      <c r="D2666" s="8" t="s">
        <v>3474</v>
      </c>
      <c r="E2666" s="8" t="s">
        <v>12</v>
      </c>
      <c r="F2666" s="8" t="s">
        <v>13</v>
      </c>
      <c r="G2666" s="8" t="s">
        <v>350</v>
      </c>
      <c r="H2666" s="16">
        <v>1.0</v>
      </c>
      <c r="I2666" s="15" t="str">
        <f>SUBSTITUTE(Sheet1!K2666, "Rp", "")</f>
        <v>100000</v>
      </c>
    </row>
    <row r="2667">
      <c r="A2667" s="8" t="s">
        <v>2672</v>
      </c>
      <c r="B2667" s="13" t="str">
        <f>HYPERLINK("https://shopee.co.id/Shiseido-Benefiance-Wrinkle-Smoothing-Contour-Serum-30ml-i.345419471.3569650506", "https://shopee.co.id/Shiseido-Benefiance-Wrinkle-Smoothing-Contour-Serum-30ml-i.345419471.3569650506")</f>
        <v>https://shopee.co.id/Shiseido-Benefiance-Wrinkle-Smoothing-Contour-Serum-30ml-i.345419471.3569650506</v>
      </c>
      <c r="C2667" s="8" t="s">
        <v>868</v>
      </c>
      <c r="D2667" s="8" t="s">
        <v>869</v>
      </c>
      <c r="E2667" s="8" t="s">
        <v>12</v>
      </c>
      <c r="F2667" s="8" t="s">
        <v>13</v>
      </c>
      <c r="G2667" s="8" t="s">
        <v>130</v>
      </c>
      <c r="H2667" s="16">
        <v>1.0</v>
      </c>
      <c r="I2667" s="15" t="str">
        <f>SUBSTITUTE(Sheet1!K2667, "Rp", "")</f>
        <v>1280000</v>
      </c>
    </row>
    <row r="2668">
      <c r="A2668" s="8" t="s">
        <v>2417</v>
      </c>
      <c r="B2668" s="13" t="str">
        <f>HYPERLINK("https://shopee.co.id/Shiseido-Ultimune-Power-Infusing-Concentrate-Limited-Edition-75-ml-i.345419471.7769531040", "https://shopee.co.id/Shiseido-Ultimune-Power-Infusing-Concentrate-Limited-Edition-75-ml-i.345419471.7769531040")</f>
        <v>https://shopee.co.id/Shiseido-Ultimune-Power-Infusing-Concentrate-Limited-Edition-75-ml-i.345419471.7769531040</v>
      </c>
      <c r="C2668" s="8" t="s">
        <v>868</v>
      </c>
      <c r="D2668" s="8" t="s">
        <v>869</v>
      </c>
      <c r="E2668" s="8" t="s">
        <v>12</v>
      </c>
      <c r="F2668" s="8" t="s">
        <v>13</v>
      </c>
      <c r="G2668" s="8" t="s">
        <v>130</v>
      </c>
      <c r="H2668" s="16">
        <v>1.0</v>
      </c>
      <c r="I2668" s="15" t="str">
        <f>SUBSTITUTE(Sheet1!K2668, "Rp", "")</f>
        <v>1900000</v>
      </c>
    </row>
    <row r="2669">
      <c r="A2669" s="8" t="s">
        <v>2681</v>
      </c>
      <c r="B2669" s="13" t="str">
        <f>HYPERLINK("https://shopee.co.id/SK-II-RNA-Essence-30-ml-i.110573301.6473600418", "https://shopee.co.id/SK-II-RNA-Essence-30-ml-i.110573301.6473600418")</f>
        <v>https://shopee.co.id/SK-II-RNA-Essence-30-ml-i.110573301.6473600418</v>
      </c>
      <c r="C2669" s="8" t="s">
        <v>1372</v>
      </c>
      <c r="D2669" s="8" t="s">
        <v>227</v>
      </c>
      <c r="E2669" s="8" t="s">
        <v>12</v>
      </c>
      <c r="F2669" s="8" t="s">
        <v>13</v>
      </c>
      <c r="G2669" s="8" t="s">
        <v>61</v>
      </c>
      <c r="H2669" s="16">
        <v>1.0</v>
      </c>
      <c r="I2669" s="15" t="str">
        <f>SUBSTITUTE(Sheet1!K2669, "Rp", "")</f>
        <v>1267200</v>
      </c>
    </row>
    <row r="2670">
      <c r="A2670" s="8" t="s">
        <v>3910</v>
      </c>
      <c r="B2670" s="13" t="str">
        <f>HYPERLINK("https://shopee.co.id/SKDS-Serum-Brightening-Series-Mecerahkan-i.350629608.9809672840", "https://shopee.co.id/SKDS-Serum-Brightening-Series-Mecerahkan-i.350629608.9809672840")</f>
        <v>https://shopee.co.id/SKDS-Serum-Brightening-Series-Mecerahkan-i.350629608.9809672840</v>
      </c>
      <c r="C2670" s="8" t="s">
        <v>3911</v>
      </c>
      <c r="D2670" s="8" t="s">
        <v>3912</v>
      </c>
      <c r="E2670" s="8" t="s">
        <v>12</v>
      </c>
      <c r="F2670" s="8" t="s">
        <v>13</v>
      </c>
      <c r="G2670" s="8" t="s">
        <v>2238</v>
      </c>
      <c r="H2670" s="16">
        <v>1.0</v>
      </c>
      <c r="I2670" s="15" t="str">
        <f>SUBSTITUTE(Sheet1!K2670, "Rp", "")</f>
        <v>75000</v>
      </c>
    </row>
    <row r="2671">
      <c r="A2671" s="8" t="s">
        <v>2631</v>
      </c>
      <c r="B2671" s="13" t="str">
        <f>HYPERLINK("https://shopee.co.id/SKEYNDOR-Antiox-Glowing-Serum-i.241089883.6026333170", "https://shopee.co.id/SKEYNDOR-Antiox-Glowing-Serum-i.241089883.6026333170")</f>
        <v>https://shopee.co.id/SKEYNDOR-Antiox-Glowing-Serum-i.241089883.6026333170</v>
      </c>
      <c r="C2671" s="8" t="s">
        <v>2215</v>
      </c>
      <c r="D2671" s="8" t="s">
        <v>2216</v>
      </c>
      <c r="E2671" s="8" t="s">
        <v>12</v>
      </c>
      <c r="F2671" s="8" t="s">
        <v>13</v>
      </c>
      <c r="G2671" s="8" t="s">
        <v>21</v>
      </c>
      <c r="H2671" s="16">
        <v>1.0</v>
      </c>
      <c r="I2671" s="15" t="str">
        <f>SUBSTITUTE(Sheet1!K2671, "Rp", "")</f>
        <v>1364000</v>
      </c>
    </row>
    <row r="2672">
      <c r="A2672" s="8" t="s">
        <v>3193</v>
      </c>
      <c r="B2672" s="13" t="str">
        <f>HYPERLINK("https://shopee.co.id/SKEYNDOR-Pore-Refining-Serum-i.241089883.3652451189", "https://shopee.co.id/SKEYNDOR-Pore-Refining-Serum-i.241089883.3652451189")</f>
        <v>https://shopee.co.id/SKEYNDOR-Pore-Refining-Serum-i.241089883.3652451189</v>
      </c>
      <c r="C2672" s="8" t="s">
        <v>2215</v>
      </c>
      <c r="D2672" s="8" t="s">
        <v>2216</v>
      </c>
      <c r="E2672" s="8" t="s">
        <v>12</v>
      </c>
      <c r="F2672" s="8" t="s">
        <v>13</v>
      </c>
      <c r="G2672" s="8" t="s">
        <v>21</v>
      </c>
      <c r="H2672" s="16">
        <v>1.0</v>
      </c>
      <c r="I2672" s="15" t="str">
        <f>SUBSTITUTE(Sheet1!K2672, "Rp", "")</f>
        <v>528000</v>
      </c>
    </row>
    <row r="2673">
      <c r="A2673" s="8" t="s">
        <v>3035</v>
      </c>
      <c r="B2673" s="13" t="str">
        <f>HYPERLINK("https://shopee.co.id/SKEYNDOR-Uniqcure-Intensive-Hydrating-Concentrate-i.241089883.5025064942", "https://shopee.co.id/SKEYNDOR-Uniqcure-Intensive-Hydrating-Concentrate-i.241089883.5025064942")</f>
        <v>https://shopee.co.id/SKEYNDOR-Uniqcure-Intensive-Hydrating-Concentrate-i.241089883.5025064942</v>
      </c>
      <c r="C2673" s="8" t="s">
        <v>2215</v>
      </c>
      <c r="D2673" s="8" t="s">
        <v>2216</v>
      </c>
      <c r="E2673" s="8" t="s">
        <v>12</v>
      </c>
      <c r="F2673" s="8" t="s">
        <v>13</v>
      </c>
      <c r="G2673" s="8" t="s">
        <v>21</v>
      </c>
      <c r="H2673" s="16">
        <v>1.0</v>
      </c>
      <c r="I2673" s="15" t="str">
        <f>SUBSTITUTE(Sheet1!K2673, "Rp", "")</f>
        <v>693000</v>
      </c>
    </row>
    <row r="2674">
      <c r="A2674" s="8" t="s">
        <v>3036</v>
      </c>
      <c r="B2674" s="13" t="str">
        <f>HYPERLINK("https://shopee.co.id/SKEYNDOR-Uniqcure-Redensifying-Filling-Concentrate-i.241089883.5425097124", "https://shopee.co.id/SKEYNDOR-Uniqcure-Redensifying-Filling-Concentrate-i.241089883.5425097124")</f>
        <v>https://shopee.co.id/SKEYNDOR-Uniqcure-Redensifying-Filling-Concentrate-i.241089883.5425097124</v>
      </c>
      <c r="C2674" s="8" t="s">
        <v>2215</v>
      </c>
      <c r="D2674" s="8" t="s">
        <v>2216</v>
      </c>
      <c r="E2674" s="8" t="s">
        <v>12</v>
      </c>
      <c r="F2674" s="8" t="s">
        <v>13</v>
      </c>
      <c r="G2674" s="8" t="s">
        <v>21</v>
      </c>
      <c r="H2674" s="16">
        <v>1.0</v>
      </c>
      <c r="I2674" s="15" t="str">
        <f>SUBSTITUTE(Sheet1!K2674, "Rp", "")</f>
        <v>693000</v>
      </c>
    </row>
    <row r="2675">
      <c r="A2675" s="8" t="s">
        <v>3756</v>
      </c>
      <c r="B2675" s="13" t="str">
        <f>HYPERLINK("https://shopee.co.id/Skin-Game-Spot-Guard-Serum-30ml-i.136011044.7285962094", "https://shopee.co.id/Skin-Game-Spot-Guard-Serum-30ml-i.136011044.7285962094")</f>
        <v>https://shopee.co.id/Skin-Game-Spot-Guard-Serum-30ml-i.136011044.7285962094</v>
      </c>
      <c r="C2675" s="8" t="s">
        <v>523</v>
      </c>
      <c r="D2675" s="8" t="s">
        <v>632</v>
      </c>
      <c r="E2675" s="8" t="s">
        <v>12</v>
      </c>
      <c r="F2675" s="8" t="s">
        <v>13</v>
      </c>
      <c r="G2675" s="8" t="s">
        <v>21</v>
      </c>
      <c r="H2675" s="16">
        <v>1.0</v>
      </c>
      <c r="I2675" s="15" t="str">
        <f>SUBSTITUTE(Sheet1!K2675, "Rp", "")</f>
        <v>149000</v>
      </c>
    </row>
    <row r="2676">
      <c r="A2676" s="8" t="s">
        <v>3868</v>
      </c>
      <c r="B2676" s="13" t="str">
        <f>HYPERLINK("https://shopee.co.id/Skin-Lightening-Cream-Limited-Edition-30gr-Seger-Snow-Moisturizing-Serum-15ml-Kemiri-30ml-x-3pcs-i.221165466.10736983271", "https://shopee.co.id/Skin-Lightening-Cream-Limited-Edition-30gr-Seger-Snow-Moisturizing-Serum-15ml-Kemiri-30ml-x-3pcs-i.221165466.10736983271")</f>
        <v>https://shopee.co.id/Skin-Lightening-Cream-Limited-Edition-30gr-Seger-Snow-Moisturizing-Serum-15ml-Kemiri-30ml-x-3pcs-i.221165466.10736983271</v>
      </c>
      <c r="C2676" s="8" t="s">
        <v>2005</v>
      </c>
      <c r="D2676" s="8" t="s">
        <v>2006</v>
      </c>
      <c r="E2676" s="8" t="s">
        <v>12</v>
      </c>
      <c r="F2676" s="8" t="s">
        <v>13</v>
      </c>
      <c r="G2676" s="8" t="s">
        <v>241</v>
      </c>
      <c r="H2676" s="16">
        <v>1.0</v>
      </c>
      <c r="I2676" s="15" t="str">
        <f>SUBSTITUTE(Sheet1!K2676, "Rp", "")</f>
        <v>99000</v>
      </c>
    </row>
    <row r="2677">
      <c r="A2677" s="8" t="s">
        <v>3669</v>
      </c>
      <c r="B2677" s="13" t="str">
        <f>HYPERLINK("https://shopee.co.id/Skind-Aesthetic-Rose-Drip-Crystal-Clear-Serum-Ageless-Beauty-Perfect-Eye-Gel-i.168325789.9283916017", "https://shopee.co.id/Skind-Aesthetic-Rose-Drip-Crystal-Clear-Serum-Ageless-Beauty-Perfect-Eye-Gel-i.168325789.9283916017")</f>
        <v>https://shopee.co.id/Skind-Aesthetic-Rose-Drip-Crystal-Clear-Serum-Ageless-Beauty-Perfect-Eye-Gel-i.168325789.9283916017</v>
      </c>
      <c r="C2677" s="8" t="s">
        <v>2921</v>
      </c>
      <c r="D2677" s="8" t="s">
        <v>3282</v>
      </c>
      <c r="E2677" s="8" t="s">
        <v>12</v>
      </c>
      <c r="F2677" s="8" t="s">
        <v>13</v>
      </c>
      <c r="G2677" s="8" t="s">
        <v>241</v>
      </c>
      <c r="H2677" s="16">
        <v>1.0</v>
      </c>
      <c r="I2677" s="15" t="str">
        <f>SUBSTITUTE(Sheet1!K2677, "Rp", "")</f>
        <v>192000</v>
      </c>
    </row>
    <row r="2678">
      <c r="A2678" s="8" t="s">
        <v>3778</v>
      </c>
      <c r="B2678" s="13" t="str">
        <f>HYPERLINK("https://shopee.co.id/Somethinc-Niacinamide-Moisture-Beet-Serum-i.187117294.7151498167", "https://shopee.co.id/Somethinc-Niacinamide-Moisture-Beet-Serum-i.187117294.7151498167")</f>
        <v>https://shopee.co.id/Somethinc-Niacinamide-Moisture-Beet-Serum-i.187117294.7151498167</v>
      </c>
      <c r="C2678" s="8" t="s">
        <v>45</v>
      </c>
      <c r="D2678" s="8" t="s">
        <v>2366</v>
      </c>
      <c r="E2678" s="8" t="s">
        <v>12</v>
      </c>
      <c r="F2678" s="8" t="s">
        <v>13</v>
      </c>
      <c r="G2678" s="8" t="s">
        <v>469</v>
      </c>
      <c r="H2678" s="16">
        <v>1.0</v>
      </c>
      <c r="I2678" s="15" t="str">
        <f>SUBSTITUTE(Sheet1!K2678, "Rp", "")</f>
        <v>136000</v>
      </c>
    </row>
    <row r="2679">
      <c r="A2679" s="8" t="s">
        <v>3757</v>
      </c>
      <c r="B2679" s="13" t="str">
        <f>HYPERLINK("https://shopee.co.id/Somethinc-5-Niacinamide-Barrier-Serum-40ml-i.825870.4796172890", "https://shopee.co.id/Somethinc-5-Niacinamide-Barrier-Serum-40ml-i.825870.4796172890")</f>
        <v>https://shopee.co.id/Somethinc-5-Niacinamide-Barrier-Serum-40ml-i.825870.4796172890</v>
      </c>
      <c r="C2679" s="8" t="s">
        <v>45</v>
      </c>
      <c r="D2679" s="8" t="s">
        <v>1184</v>
      </c>
      <c r="E2679" s="8" t="s">
        <v>12</v>
      </c>
      <c r="F2679" s="8" t="s">
        <v>13</v>
      </c>
      <c r="G2679" s="8" t="s">
        <v>21</v>
      </c>
      <c r="H2679" s="16">
        <v>1.0</v>
      </c>
      <c r="I2679" s="15" t="str">
        <f>SUBSTITUTE(Sheet1!K2679, "Rp", "")</f>
        <v>149000</v>
      </c>
    </row>
    <row r="2680">
      <c r="A2680" s="8" t="s">
        <v>3826</v>
      </c>
      <c r="B2680" s="13" t="str">
        <f>HYPERLINK("https://shopee.co.id/Somethinc-Niacinamide-Moisture-Beet-Serum-20ml-i.825870.7860538583", "https://shopee.co.id/Somethinc-Niacinamide-Moisture-Beet-Serum-20ml-i.825870.7860538583")</f>
        <v>https://shopee.co.id/Somethinc-Niacinamide-Moisture-Beet-Serum-20ml-i.825870.7860538583</v>
      </c>
      <c r="C2680" s="8" t="s">
        <v>45</v>
      </c>
      <c r="D2680" s="8" t="s">
        <v>1184</v>
      </c>
      <c r="E2680" s="8" t="s">
        <v>12</v>
      </c>
      <c r="F2680" s="8" t="s">
        <v>13</v>
      </c>
      <c r="G2680" s="8" t="s">
        <v>21</v>
      </c>
      <c r="H2680" s="16">
        <v>1.0</v>
      </c>
      <c r="I2680" s="15" t="str">
        <f>SUBSTITUTE(Sheet1!K2680, "Rp", "")</f>
        <v>115500</v>
      </c>
    </row>
    <row r="2681">
      <c r="A2681" s="8" t="s">
        <v>3779</v>
      </c>
      <c r="B2681" s="13" t="str">
        <f>HYPERLINK("https://shopee.co.id/SOMETHINC-Serum-Wajah-Ampoule-Peeling-Moisturise-20-ml-i.332732864.8712326426", "https://shopee.co.id/SOMETHINC-Serum-Wajah-Ampoule-Peeling-Moisturise-20-ml-i.332732864.8712326426")</f>
        <v>https://shopee.co.id/SOMETHINC-Serum-Wajah-Ampoule-Peeling-Moisturise-20-ml-i.332732864.8712326426</v>
      </c>
      <c r="C2681" s="8" t="s">
        <v>45</v>
      </c>
      <c r="D2681" s="8" t="s">
        <v>3780</v>
      </c>
      <c r="E2681" s="8" t="s">
        <v>12</v>
      </c>
      <c r="F2681" s="8" t="s">
        <v>13</v>
      </c>
      <c r="G2681" s="8" t="s">
        <v>21</v>
      </c>
      <c r="H2681" s="16">
        <v>1.0</v>
      </c>
      <c r="I2681" s="15" t="str">
        <f>SUBSTITUTE(Sheet1!K2681, "Rp", "")</f>
        <v>136000</v>
      </c>
    </row>
    <row r="2682">
      <c r="A2682" s="8" t="s">
        <v>3792</v>
      </c>
      <c r="B2682" s="13" t="str">
        <f>HYPERLINK("https://shopee.co.id/SOMETHINC-HYALuronic-B5-by-Somethinc-i.217272417.6257558151", "https://shopee.co.id/SOMETHINC-HYALuronic-B5-by-Somethinc-i.217272417.6257558151")</f>
        <v>https://shopee.co.id/SOMETHINC-HYALuronic-B5-by-Somethinc-i.217272417.6257558151</v>
      </c>
      <c r="C2682" s="8" t="s">
        <v>45</v>
      </c>
      <c r="D2682" s="8" t="s">
        <v>3793</v>
      </c>
      <c r="E2682" s="8" t="s">
        <v>12</v>
      </c>
      <c r="F2682" s="8" t="s">
        <v>13</v>
      </c>
      <c r="G2682" s="8" t="s">
        <v>98</v>
      </c>
      <c r="H2682" s="16">
        <v>1.0</v>
      </c>
      <c r="I2682" s="15" t="str">
        <f>SUBSTITUTE(Sheet1!K2682, "Rp", "")</f>
        <v>127500</v>
      </c>
    </row>
    <row r="2683">
      <c r="A2683" s="8" t="s">
        <v>2840</v>
      </c>
      <c r="B2683" s="13" t="str">
        <f>HYPERLINK("https://shopee.co.id/SPESIAL-RAMADHAN-Kerastase-Cure-Apaisante-12-6ml-Serum-Intensif-Kulit-Kepala-Sensitif-i.252376370.7551356010", "https://shopee.co.id/SPESIAL-RAMADHAN-Kerastase-Cure-Apaisante-12-6ml-Serum-Intensif-Kulit-Kepala-Sensitif-i.252376370.7551356010")</f>
        <v>https://shopee.co.id/SPESIAL-RAMADHAN-Kerastase-Cure-Apaisante-12-6ml-Serum-Intensif-Kulit-Kepala-Sensitif-i.252376370.7551356010</v>
      </c>
      <c r="C2683" s="8" t="s">
        <v>2560</v>
      </c>
      <c r="D2683" s="8" t="s">
        <v>2561</v>
      </c>
      <c r="E2683" s="8" t="s">
        <v>12</v>
      </c>
      <c r="F2683" s="8" t="s">
        <v>13</v>
      </c>
      <c r="G2683" s="8" t="s">
        <v>1480</v>
      </c>
      <c r="H2683" s="16">
        <v>1.0</v>
      </c>
      <c r="I2683" s="15" t="str">
        <f>SUBSTITUTE(Sheet1!K2683, "Rp", "")</f>
        <v>992000</v>
      </c>
    </row>
    <row r="2684">
      <c r="A2684" s="8" t="s">
        <v>3432</v>
      </c>
      <c r="B2684" s="13" t="str">
        <f>HYPERLINK("https://shopee.co.id/Swissvita-Trial-Bundle-Set-i.29252724.11314001972", "https://shopee.co.id/Swissvita-Trial-Bundle-Set-i.29252724.11314001972")</f>
        <v>https://shopee.co.id/Swissvita-Trial-Bundle-Set-i.29252724.11314001972</v>
      </c>
      <c r="C2684" s="8" t="s">
        <v>2536</v>
      </c>
      <c r="D2684" s="8" t="s">
        <v>2537</v>
      </c>
      <c r="E2684" s="8" t="s">
        <v>12</v>
      </c>
      <c r="F2684" s="8" t="s">
        <v>13</v>
      </c>
      <c r="G2684" s="8" t="s">
        <v>61</v>
      </c>
      <c r="H2684" s="16">
        <v>1.0</v>
      </c>
      <c r="I2684" s="15" t="str">
        <f>SUBSTITUTE(Sheet1!K2684, "Rp", "")</f>
        <v>336000</v>
      </c>
    </row>
    <row r="2685">
      <c r="A2685" s="8" t="s">
        <v>3888</v>
      </c>
      <c r="B2685" s="13" t="str">
        <f>HYPERLINK("https://shopee.co.id/The-Aubree-Ginseng-Renewing-First-Serum-30ml-i.136011044.8212846987", "https://shopee.co.id/The-Aubree-Ginseng-Renewing-First-Serum-30ml-i.136011044.8212846987")</f>
        <v>https://shopee.co.id/The-Aubree-Ginseng-Renewing-First-Serum-30ml-i.136011044.8212846987</v>
      </c>
      <c r="C2685" s="8" t="s">
        <v>772</v>
      </c>
      <c r="D2685" s="8" t="s">
        <v>632</v>
      </c>
      <c r="E2685" s="8" t="s">
        <v>12</v>
      </c>
      <c r="F2685" s="8" t="s">
        <v>13</v>
      </c>
      <c r="G2685" s="8" t="s">
        <v>21</v>
      </c>
      <c r="H2685" s="16">
        <v>1.0</v>
      </c>
      <c r="I2685" s="15" t="str">
        <f>SUBSTITUTE(Sheet1!K2685, "Rp", "")</f>
        <v>89100</v>
      </c>
    </row>
    <row r="2686">
      <c r="A2686" s="8" t="s">
        <v>3896</v>
      </c>
      <c r="B2686" s="13" t="str">
        <f>HYPERLINK("https://shopee.co.id/the-Aubree-Ginseng-Renewing-First-Serum-30ml-i.50948181.7072823014", "https://shopee.co.id/the-Aubree-Ginseng-Renewing-First-Serum-30ml-i.50948181.7072823014")</f>
        <v>https://shopee.co.id/the-Aubree-Ginseng-Renewing-First-Serum-30ml-i.50948181.7072823014</v>
      </c>
      <c r="C2686" s="8" t="s">
        <v>772</v>
      </c>
      <c r="D2686" s="8" t="s">
        <v>1129</v>
      </c>
      <c r="E2686" s="8" t="s">
        <v>12</v>
      </c>
      <c r="F2686" s="8" t="s">
        <v>13</v>
      </c>
      <c r="G2686" s="8" t="s">
        <v>1130</v>
      </c>
      <c r="H2686" s="16">
        <v>1.0</v>
      </c>
      <c r="I2686" s="15" t="str">
        <f>SUBSTITUTE(Sheet1!K2686, "Rp", "")</f>
        <v>84150</v>
      </c>
    </row>
    <row r="2687">
      <c r="A2687" s="8" t="s">
        <v>3897</v>
      </c>
      <c r="B2687" s="13" t="str">
        <f>HYPERLINK("https://shopee.co.id/the-Aubree-Rose-Bloom-Petal-Essence-120ml-i.50948181.8214406240", "https://shopee.co.id/the-Aubree-Rose-Bloom-Petal-Essence-120ml-i.50948181.8214406240")</f>
        <v>https://shopee.co.id/the-Aubree-Rose-Bloom-Petal-Essence-120ml-i.50948181.8214406240</v>
      </c>
      <c r="C2687" s="8" t="s">
        <v>772</v>
      </c>
      <c r="D2687" s="8" t="s">
        <v>1129</v>
      </c>
      <c r="E2687" s="8" t="s">
        <v>12</v>
      </c>
      <c r="F2687" s="8" t="s">
        <v>13</v>
      </c>
      <c r="G2687" s="8" t="s">
        <v>1130</v>
      </c>
      <c r="H2687" s="16">
        <v>1.0</v>
      </c>
      <c r="I2687" s="15" t="str">
        <f>SUBSTITUTE(Sheet1!K2687, "Rp", "")</f>
        <v>84150</v>
      </c>
    </row>
    <row r="2688">
      <c r="A2688" s="8" t="s">
        <v>3974</v>
      </c>
      <c r="B2688" s="13" t="str">
        <f>HYPERLINK("https://shopee.co.id/THE-FACE-Temulawak-Whitening-Serum-with-Glutathione-20ml-i.230677444.7417932330", "https://shopee.co.id/THE-FACE-Temulawak-Whitening-Serum-with-Glutathione-20ml-i.230677444.7417932330")</f>
        <v>https://shopee.co.id/THE-FACE-Temulawak-Whitening-Serum-with-Glutathione-20ml-i.230677444.7417932330</v>
      </c>
      <c r="C2688" s="8" t="s">
        <v>3975</v>
      </c>
      <c r="D2688" s="8" t="s">
        <v>1670</v>
      </c>
      <c r="E2688" s="8" t="s">
        <v>12</v>
      </c>
      <c r="F2688" s="8" t="s">
        <v>13</v>
      </c>
      <c r="G2688" s="8" t="s">
        <v>61</v>
      </c>
      <c r="H2688" s="16">
        <v>1.0</v>
      </c>
      <c r="I2688" s="15" t="str">
        <f>SUBSTITUTE(Sheet1!K2688, "Rp", "")</f>
        <v>27083</v>
      </c>
    </row>
    <row r="2689">
      <c r="A2689" s="8" t="s">
        <v>3782</v>
      </c>
      <c r="B2689" s="13" t="str">
        <f>HYPERLINK("https://shopee.co.id/THE-ORDINARY-Alpha-Arbutin-2-HA-30ml-i.47255270.12908578444", "https://shopee.co.id/THE-ORDINARY-Alpha-Arbutin-2-HA-30ml-i.47255270.12908578444")</f>
        <v>https://shopee.co.id/THE-ORDINARY-Alpha-Arbutin-2-HA-30ml-i.47255270.12908578444</v>
      </c>
      <c r="C2689" s="8" t="s">
        <v>1245</v>
      </c>
      <c r="D2689" s="8" t="s">
        <v>1978</v>
      </c>
      <c r="E2689" s="8" t="s">
        <v>12</v>
      </c>
      <c r="F2689" s="8" t="s">
        <v>13</v>
      </c>
      <c r="G2689" s="8" t="s">
        <v>241</v>
      </c>
      <c r="H2689" s="16">
        <v>1.0</v>
      </c>
      <c r="I2689" s="15" t="str">
        <f>SUBSTITUTE(Sheet1!K2689, "Rp", "")</f>
        <v>135000</v>
      </c>
    </row>
    <row r="2690">
      <c r="A2690" s="8" t="s">
        <v>3774</v>
      </c>
      <c r="B2690" s="13" t="str">
        <f>HYPERLINK("https://shopee.co.id/THE-POTIONS-Mugwort-Water-Essence-20ml-i.379239733.7678481132", "https://shopee.co.id/THE-POTIONS-Mugwort-Water-Essence-20ml-i.379239733.7678481132")</f>
        <v>https://shopee.co.id/THE-POTIONS-Mugwort-Water-Essence-20ml-i.379239733.7678481132</v>
      </c>
      <c r="C2690" s="8" t="s">
        <v>2245</v>
      </c>
      <c r="D2690" s="8" t="s">
        <v>2246</v>
      </c>
      <c r="E2690" s="8" t="s">
        <v>12</v>
      </c>
      <c r="F2690" s="8" t="s">
        <v>13</v>
      </c>
      <c r="G2690" s="8" t="s">
        <v>130</v>
      </c>
      <c r="H2690" s="16">
        <v>1.0</v>
      </c>
      <c r="I2690" s="15" t="str">
        <f>SUBSTITUTE(Sheet1!K2690, "Rp", "")</f>
        <v>139500</v>
      </c>
    </row>
    <row r="2691">
      <c r="A2691" s="8" t="s">
        <v>3237</v>
      </c>
      <c r="B2691" s="13" t="str">
        <f>HYPERLINK("https://shopee.co.id/The-Saem-Snail-Essential-EX-Wrinkle-Solution-Essence-50ml-i.58386356.1570407550", "https://shopee.co.id/The-Saem-Snail-Essential-EX-Wrinkle-Solution-Essence-50ml-i.58386356.1570407550")</f>
        <v>https://shopee.co.id/The-Saem-Snail-Essential-EX-Wrinkle-Solution-Essence-50ml-i.58386356.1570407550</v>
      </c>
      <c r="C2691" s="8" t="s">
        <v>2339</v>
      </c>
      <c r="D2691" s="8" t="s">
        <v>2340</v>
      </c>
      <c r="E2691" s="8" t="s">
        <v>12</v>
      </c>
      <c r="F2691" s="8" t="s">
        <v>13</v>
      </c>
      <c r="G2691" s="8" t="s">
        <v>21</v>
      </c>
      <c r="H2691" s="16">
        <v>1.0</v>
      </c>
      <c r="I2691" s="15" t="str">
        <f>SUBSTITUTE(Sheet1!K2691, "Rp", "")</f>
        <v>495380</v>
      </c>
    </row>
    <row r="2692">
      <c r="A2692" s="8" t="s">
        <v>3110</v>
      </c>
      <c r="B2692" s="13" t="str">
        <f>HYPERLINK("https://shopee.co.id/TISHA-AC7-Spot-Serum-Phytosilica-15ml-15ml-i.283615589.6842153345", "https://shopee.co.id/TISHA-AC7-Spot-Serum-Phytosilica-15ml-15ml-i.283615589.6842153345")</f>
        <v>https://shopee.co.id/TISHA-AC7-Spot-Serum-Phytosilica-15ml-15ml-i.283615589.6842153345</v>
      </c>
      <c r="C2692" s="8" t="s">
        <v>3025</v>
      </c>
      <c r="D2692" s="8" t="s">
        <v>3026</v>
      </c>
      <c r="E2692" s="8" t="s">
        <v>12</v>
      </c>
      <c r="F2692" s="8" t="s">
        <v>13</v>
      </c>
      <c r="G2692" s="8" t="s">
        <v>3027</v>
      </c>
      <c r="H2692" s="16">
        <v>1.0</v>
      </c>
      <c r="I2692" s="15" t="str">
        <f>SUBSTITUTE(Sheet1!K2692, "Rp", "")</f>
        <v>612000</v>
      </c>
    </row>
    <row r="2693">
      <c r="A2693" s="8" t="s">
        <v>3366</v>
      </c>
      <c r="B2693" s="13" t="str">
        <f>HYPERLINK("https://shopee.co.id/TRILOGY-VERY-GENTLE-CALMING-SERUM-30ML-i.53497038.9909724163", "https://shopee.co.id/TRILOGY-VERY-GENTLE-CALMING-SERUM-30ML-i.53497038.9909724163")</f>
        <v>https://shopee.co.id/TRILOGY-VERY-GENTLE-CALMING-SERUM-30ML-i.53497038.9909724163</v>
      </c>
      <c r="C2693" s="8" t="s">
        <v>906</v>
      </c>
      <c r="D2693" s="8" t="s">
        <v>907</v>
      </c>
      <c r="E2693" s="8" t="s">
        <v>12</v>
      </c>
      <c r="F2693" s="8" t="s">
        <v>13</v>
      </c>
      <c r="G2693" s="8" t="s">
        <v>61</v>
      </c>
      <c r="H2693" s="16">
        <v>1.0</v>
      </c>
      <c r="I2693" s="15" t="str">
        <f>SUBSTITUTE(Sheet1!K2693, "Rp", "")</f>
        <v>385000</v>
      </c>
    </row>
    <row r="2694">
      <c r="A2694" s="8" t="s">
        <v>3111</v>
      </c>
      <c r="B2694" s="13" t="str">
        <f>HYPERLINK("https://shopee.co.id/Troiareuke-Healing-Cocktail-i.267449546.4235519697", "https://shopee.co.id/Troiareuke-Healing-Cocktail-i.267449546.4235519697")</f>
        <v>https://shopee.co.id/Troiareuke-Healing-Cocktail-i.267449546.4235519697</v>
      </c>
      <c r="C2694" s="8" t="s">
        <v>3112</v>
      </c>
      <c r="D2694" s="8" t="s">
        <v>3113</v>
      </c>
      <c r="E2694" s="8" t="s">
        <v>12</v>
      </c>
      <c r="F2694" s="8" t="s">
        <v>13</v>
      </c>
      <c r="G2694" s="8" t="s">
        <v>469</v>
      </c>
      <c r="H2694" s="16">
        <v>1.0</v>
      </c>
      <c r="I2694" s="15" t="str">
        <f>SUBSTITUTE(Sheet1!K2694, "Rp", "")</f>
        <v>612000</v>
      </c>
    </row>
    <row r="2695">
      <c r="A2695" s="8" t="s">
        <v>3692</v>
      </c>
      <c r="B2695" s="13" t="str">
        <f>HYPERLINK("https://shopee.co.id/Tuesbelle-BELLFLOWER-Idebenone-Brightening-Serum-50ml-i.36872574.5878173582", "https://shopee.co.id/Tuesbelle-BELLFLOWER-Idebenone-Brightening-Serum-50ml-i.36872574.5878173582")</f>
        <v>https://shopee.co.id/Tuesbelle-BELLFLOWER-Idebenone-Brightening-Serum-50ml-i.36872574.5878173582</v>
      </c>
      <c r="C2695" s="8" t="s">
        <v>3693</v>
      </c>
      <c r="D2695" s="8" t="s">
        <v>969</v>
      </c>
      <c r="E2695" s="8" t="s">
        <v>12</v>
      </c>
      <c r="F2695" s="8" t="s">
        <v>13</v>
      </c>
      <c r="G2695" s="8" t="s">
        <v>115</v>
      </c>
      <c r="H2695" s="16">
        <v>1.0</v>
      </c>
      <c r="I2695" s="15" t="str">
        <f>SUBSTITUTE(Sheet1!K2695, "Rp", "")</f>
        <v>182000</v>
      </c>
    </row>
    <row r="2696">
      <c r="A2696" s="8" t="s">
        <v>3687</v>
      </c>
      <c r="B2696" s="13" t="str">
        <f>HYPERLINK("https://shopee.co.id/Tuesbelle-COSRX-Advanced-Snail-96-Mucin-Power-Essence-100ml-i.36872574.4015395420", "https://shopee.co.id/Tuesbelle-COSRX-Advanced-Snail-96-Mucin-Power-Essence-100ml-i.36872574.4015395420")</f>
        <v>https://shopee.co.id/Tuesbelle-COSRX-Advanced-Snail-96-Mucin-Power-Essence-100ml-i.36872574.4015395420</v>
      </c>
      <c r="C2696" s="8" t="s">
        <v>305</v>
      </c>
      <c r="D2696" s="8" t="s">
        <v>969</v>
      </c>
      <c r="E2696" s="8" t="s">
        <v>12</v>
      </c>
      <c r="F2696" s="8" t="s">
        <v>13</v>
      </c>
      <c r="G2696" s="8" t="s">
        <v>115</v>
      </c>
      <c r="H2696" s="16">
        <v>1.0</v>
      </c>
      <c r="I2696" s="15" t="str">
        <f>SUBSTITUTE(Sheet1!K2696, "Rp", "")</f>
        <v>185500</v>
      </c>
    </row>
    <row r="2697">
      <c r="A2697" s="8" t="s">
        <v>3606</v>
      </c>
      <c r="B2697" s="13" t="str">
        <f>HYPERLINK("https://shopee.co.id/Tuesbelle-LACOCO-5-Bakuchiol-Essence-30-ml-i.36872574.11531607187", "https://shopee.co.id/Tuesbelle-LACOCO-5-Bakuchiol-Essence-30-ml-i.36872574.11531607187")</f>
        <v>https://shopee.co.id/Tuesbelle-LACOCO-5-Bakuchiol-Essence-30-ml-i.36872574.11531607187</v>
      </c>
      <c r="C2697" s="8" t="s">
        <v>501</v>
      </c>
      <c r="D2697" s="8" t="s">
        <v>969</v>
      </c>
      <c r="E2697" s="8" t="s">
        <v>12</v>
      </c>
      <c r="F2697" s="8" t="s">
        <v>13</v>
      </c>
      <c r="G2697" s="8" t="s">
        <v>115</v>
      </c>
      <c r="H2697" s="16">
        <v>1.0</v>
      </c>
      <c r="I2697" s="15" t="str">
        <f>SUBSTITUTE(Sheet1!K2697, "Rp", "")</f>
        <v>225000</v>
      </c>
    </row>
    <row r="2698">
      <c r="A2698" s="8" t="s">
        <v>3917</v>
      </c>
      <c r="B2698" s="13" t="str">
        <f>HYPERLINK("https://shopee.co.id/VIENNA-BEAUTY-FACE-SERUM-BRIGHTENING-COOMPLEX-15ML-BOTTLE-i.8463767.3233658347", "https://shopee.co.id/VIENNA-BEAUTY-FACE-SERUM-BRIGHTENING-COOMPLEX-15ML-BOTTLE-i.8463767.3233658347")</f>
        <v>https://shopee.co.id/VIENNA-BEAUTY-FACE-SERUM-BRIGHTENING-COOMPLEX-15ML-BOTTLE-i.8463767.3233658347</v>
      </c>
      <c r="C2698" s="8" t="s">
        <v>3453</v>
      </c>
      <c r="D2698" s="8" t="s">
        <v>3454</v>
      </c>
      <c r="E2698" s="8" t="s">
        <v>12</v>
      </c>
      <c r="F2698" s="8" t="s">
        <v>13</v>
      </c>
      <c r="G2698" s="8" t="s">
        <v>36</v>
      </c>
      <c r="H2698" s="16">
        <v>1.0</v>
      </c>
      <c r="I2698" s="15" t="str">
        <f>SUBSTITUTE(Sheet1!K2698, "Rp", "")</f>
        <v>72210</v>
      </c>
    </row>
    <row r="2699">
      <c r="A2699" s="8" t="s">
        <v>3893</v>
      </c>
      <c r="B2699" s="13" t="str">
        <f>HYPERLINK("https://shopee.co.id/VIENNA-BEAUTY-FACE-SERUM-HYALURONIC-ACID-15ML-BOTTLE-i.8463767.4633496740", "https://shopee.co.id/VIENNA-BEAUTY-FACE-SERUM-HYALURONIC-ACID-15ML-BOTTLE-i.8463767.4633496740")</f>
        <v>https://shopee.co.id/VIENNA-BEAUTY-FACE-SERUM-HYALURONIC-ACID-15ML-BOTTLE-i.8463767.4633496740</v>
      </c>
      <c r="C2699" s="8" t="s">
        <v>3453</v>
      </c>
      <c r="D2699" s="8" t="s">
        <v>3454</v>
      </c>
      <c r="E2699" s="8" t="s">
        <v>12</v>
      </c>
      <c r="F2699" s="8" t="s">
        <v>13</v>
      </c>
      <c r="G2699" s="8" t="s">
        <v>36</v>
      </c>
      <c r="H2699" s="16">
        <v>1.0</v>
      </c>
      <c r="I2699" s="15" t="str">
        <f>SUBSTITUTE(Sheet1!K2699, "Rp", "")</f>
        <v>87000</v>
      </c>
    </row>
    <row r="2700">
      <c r="A2700" s="8" t="s">
        <v>2993</v>
      </c>
      <c r="B2700" s="13" t="str">
        <f>HYPERLINK("https://shopee.co.id/Votre-Peau-Skin-Care-Advanced-Dark-Spot-Treatment-Package-i.46300234.9339308541", "https://shopee.co.id/Votre-Peau-Skin-Care-Advanced-Dark-Spot-Treatment-Package-i.46300234.9339308541")</f>
        <v>https://shopee.co.id/Votre-Peau-Skin-Care-Advanced-Dark-Spot-Treatment-Package-i.46300234.9339308541</v>
      </c>
      <c r="C2700" s="8" t="s">
        <v>999</v>
      </c>
      <c r="D2700" s="8" t="s">
        <v>472</v>
      </c>
      <c r="E2700" s="8" t="s">
        <v>12</v>
      </c>
      <c r="F2700" s="8" t="s">
        <v>13</v>
      </c>
      <c r="G2700" s="8" t="s">
        <v>98</v>
      </c>
      <c r="H2700" s="16">
        <v>1.0</v>
      </c>
      <c r="I2700" s="15" t="str">
        <f>SUBSTITUTE(Sheet1!K2700, "Rp", "")</f>
        <v>759900</v>
      </c>
    </row>
    <row r="2701">
      <c r="A2701" s="8" t="s">
        <v>3549</v>
      </c>
      <c r="B2701" s="13" t="str">
        <f>HYPERLINK("https://shopee.co.id/WARDAH-Crystallure-Supr-Revital-Oil-Serum-30ml-i.187117294.7642728273", "https://shopee.co.id/WARDAH-Crystallure-Supr-Revital-Oil-Serum-30ml-i.187117294.7642728273")</f>
        <v>https://shopee.co.id/WARDAH-Crystallure-Supr-Revital-Oil-Serum-30ml-i.187117294.7642728273</v>
      </c>
      <c r="C2701" s="8" t="s">
        <v>169</v>
      </c>
      <c r="D2701" s="8" t="s">
        <v>2366</v>
      </c>
      <c r="E2701" s="8" t="s">
        <v>12</v>
      </c>
      <c r="F2701" s="8" t="s">
        <v>13</v>
      </c>
      <c r="G2701" s="8" t="s">
        <v>469</v>
      </c>
      <c r="H2701" s="16">
        <v>1.0</v>
      </c>
      <c r="I2701" s="15" t="str">
        <f>SUBSTITUTE(Sheet1!K2701, "Rp", "")</f>
        <v>255000</v>
      </c>
    </row>
    <row r="2702">
      <c r="A2702" s="8" t="s">
        <v>3946</v>
      </c>
      <c r="B2702" s="13" t="str">
        <f>HYPERLINK("https://shopee.co.id/Wardah-Lightening-Facial-Serum-i.16735262.644743615", "https://shopee.co.id/Wardah-Lightening-Facial-Serum-i.16735262.644743615")</f>
        <v>https://shopee.co.id/Wardah-Lightening-Facial-Serum-i.16735262.644743615</v>
      </c>
      <c r="C2702" s="8" t="s">
        <v>169</v>
      </c>
      <c r="D2702" s="8" t="s">
        <v>3598</v>
      </c>
      <c r="E2702" s="8" t="s">
        <v>12</v>
      </c>
      <c r="F2702" s="8" t="s">
        <v>13</v>
      </c>
      <c r="G2702" s="8" t="s">
        <v>36</v>
      </c>
      <c r="H2702" s="16">
        <v>1.0</v>
      </c>
      <c r="I2702" s="15" t="str">
        <f>SUBSTITUTE(Sheet1!K2702, "Rp", "")</f>
        <v>56500</v>
      </c>
    </row>
    <row r="2703">
      <c r="A2703" s="8" t="s">
        <v>3950</v>
      </c>
      <c r="B2703" s="13" t="str">
        <f>HYPERLINK("https://shopee.co.id/WARDAH-Nature-Daily-Aloe-Hydramild-Serum-5-x-5-ML-i.187117294.6558022220", "https://shopee.co.id/WARDAH-Nature-Daily-Aloe-Hydramild-Serum-5-x-5-ML-i.187117294.6558022220")</f>
        <v>https://shopee.co.id/WARDAH-Nature-Daily-Aloe-Hydramild-Serum-5-x-5-ML-i.187117294.6558022220</v>
      </c>
      <c r="C2703" s="8" t="s">
        <v>169</v>
      </c>
      <c r="D2703" s="8" t="s">
        <v>2366</v>
      </c>
      <c r="E2703" s="8" t="s">
        <v>12</v>
      </c>
      <c r="F2703" s="8" t="s">
        <v>13</v>
      </c>
      <c r="G2703" s="8" t="s">
        <v>469</v>
      </c>
      <c r="H2703" s="16">
        <v>1.0</v>
      </c>
      <c r="I2703" s="15" t="str">
        <f>SUBSTITUTE(Sheet1!K2703, "Rp", "")</f>
        <v>52500</v>
      </c>
    </row>
    <row r="2704">
      <c r="A2704" s="8" t="s">
        <v>3921</v>
      </c>
      <c r="B2704" s="13" t="str">
        <f>HYPERLINK("https://shopee.co.id/Wardah-Renew-You-Anti-Aging-Intensive-Serum-17Ml-Serum-Wajah-Anti-Aging-Kulit-Wajah-i.114789399.6141210392", "https://shopee.co.id/Wardah-Renew-You-Anti-Aging-Intensive-Serum-17Ml-Serum-Wajah-Anti-Aging-Kulit-Wajah-i.114789399.6141210392")</f>
        <v>https://shopee.co.id/Wardah-Renew-You-Anti-Aging-Intensive-Serum-17Ml-Serum-Wajah-Anti-Aging-Kulit-Wajah-i.114789399.6141210392</v>
      </c>
      <c r="C2704" s="8" t="s">
        <v>169</v>
      </c>
      <c r="D2704" s="8" t="s">
        <v>2531</v>
      </c>
      <c r="E2704" s="8" t="s">
        <v>12</v>
      </c>
      <c r="F2704" s="8" t="s">
        <v>13</v>
      </c>
      <c r="G2704" s="8" t="s">
        <v>36</v>
      </c>
      <c r="H2704" s="16">
        <v>1.0</v>
      </c>
      <c r="I2704" s="15" t="str">
        <f>SUBSTITUTE(Sheet1!K2704, "Rp", "")</f>
        <v>70400</v>
      </c>
    </row>
    <row r="2705">
      <c r="A2705" s="8" t="s">
        <v>3926</v>
      </c>
      <c r="B2705" s="13" t="str">
        <f>HYPERLINK("https://shopee.co.id/Wardah-Renew-You-Anti-Aging-Treatment-Essence-50ml-421397--i.16735262.8049288986", "https://shopee.co.id/Wardah-Renew-You-Anti-Aging-Treatment-Essence-50ml-421397--i.16735262.8049288986")</f>
        <v>https://shopee.co.id/Wardah-Renew-You-Anti-Aging-Treatment-Essence-50ml-421397--i.16735262.8049288986</v>
      </c>
      <c r="C2705" s="8" t="s">
        <v>169</v>
      </c>
      <c r="D2705" s="8" t="s">
        <v>3598</v>
      </c>
      <c r="E2705" s="8" t="s">
        <v>12</v>
      </c>
      <c r="F2705" s="8" t="s">
        <v>13</v>
      </c>
      <c r="G2705" s="8" t="s">
        <v>36</v>
      </c>
      <c r="H2705" s="16">
        <v>1.0</v>
      </c>
      <c r="I2705" s="15" t="str">
        <f>SUBSTITUTE(Sheet1!K2705, "Rp", "")</f>
        <v>67500</v>
      </c>
    </row>
    <row r="2706">
      <c r="A2706" s="8" t="s">
        <v>3747</v>
      </c>
      <c r="B2706" s="13" t="str">
        <f>HYPERLINK("https://shopee.co.id/Wardah-Renew-You-T-Essence-100-ml-i.186214521.4418324062", "https://shopee.co.id/Wardah-Renew-You-T-Essence-100-ml-i.186214521.4418324062")</f>
        <v>https://shopee.co.id/Wardah-Renew-You-T-Essence-100-ml-i.186214521.4418324062</v>
      </c>
      <c r="C2706" s="8" t="s">
        <v>169</v>
      </c>
      <c r="D2706" s="8" t="s">
        <v>2293</v>
      </c>
      <c r="E2706" s="8" t="s">
        <v>12</v>
      </c>
      <c r="F2706" s="8" t="s">
        <v>13</v>
      </c>
      <c r="G2706" s="8" t="s">
        <v>61</v>
      </c>
      <c r="H2706" s="16">
        <v>1.0</v>
      </c>
      <c r="I2706" s="15" t="str">
        <f>SUBSTITUTE(Sheet1!K2706, "Rp", "")</f>
        <v>152000</v>
      </c>
    </row>
    <row r="2707">
      <c r="A2707" s="8" t="s">
        <v>1198</v>
      </c>
      <c r="B2707" s="13" t="str">
        <f>HYPERLINK("https://shopee.co.id/WARDAH-White-Secret-Pure-Treatment-Essence-100ml-i.68111.8616959826", "https://shopee.co.id/WARDAH-White-Secret-Pure-Treatment-Essence-100ml-i.68111.8616959826")</f>
        <v>https://shopee.co.id/WARDAH-White-Secret-Pure-Treatment-Essence-100ml-i.68111.8616959826</v>
      </c>
      <c r="C2707" s="8" t="s">
        <v>169</v>
      </c>
      <c r="D2707" s="8" t="s">
        <v>441</v>
      </c>
      <c r="E2707" s="8" t="s">
        <v>12</v>
      </c>
      <c r="F2707" s="8" t="s">
        <v>13</v>
      </c>
      <c r="G2707" s="8" t="s">
        <v>130</v>
      </c>
      <c r="H2707" s="16">
        <v>1.0</v>
      </c>
      <c r="I2707" s="15" t="str">
        <f>SUBSTITUTE(Sheet1!K2707, "Rp", "")</f>
        <v>135000</v>
      </c>
    </row>
    <row r="2708">
      <c r="A2708" s="8" t="s">
        <v>3830</v>
      </c>
      <c r="B2708" s="13" t="str">
        <f>HYPERLINK("https://shopee.co.id/White-Esther-Special-Whitening-Serum-i.53887195.6739527299", "https://shopee.co.id/White-Esther-Special-Whitening-Serum-i.53887195.6739527299")</f>
        <v>https://shopee.co.id/White-Esther-Special-Whitening-Serum-i.53887195.6739527299</v>
      </c>
      <c r="C2708" s="8" t="s">
        <v>3831</v>
      </c>
      <c r="D2708" s="8" t="s">
        <v>1026</v>
      </c>
      <c r="E2708" s="8" t="s">
        <v>12</v>
      </c>
      <c r="F2708" s="8" t="s">
        <v>13</v>
      </c>
      <c r="G2708" s="8" t="s">
        <v>80</v>
      </c>
      <c r="H2708" s="16">
        <v>1.0</v>
      </c>
      <c r="I2708" s="15" t="str">
        <f>SUBSTITUTE(Sheet1!K2708, "Rp", "")</f>
        <v>114000</v>
      </c>
    </row>
    <row r="2709">
      <c r="A2709" s="8" t="s">
        <v>1962</v>
      </c>
      <c r="B2709" s="13" t="str">
        <f>HYPERLINK("https://shopee.co.id/WHITELAB-BRIGHTENING-FACE-SERUM-20ML-i.187117294.8404510784", "https://shopee.co.id/WHITELAB-BRIGHTENING-FACE-SERUM-20ML-i.187117294.8404510784")</f>
        <v>https://shopee.co.id/WHITELAB-BRIGHTENING-FACE-SERUM-20ML-i.187117294.8404510784</v>
      </c>
      <c r="C2709" s="8" t="s">
        <v>59</v>
      </c>
      <c r="D2709" s="8" t="s">
        <v>2366</v>
      </c>
      <c r="E2709" s="8" t="s">
        <v>12</v>
      </c>
      <c r="F2709" s="8" t="s">
        <v>13</v>
      </c>
      <c r="G2709" s="8" t="s">
        <v>469</v>
      </c>
      <c r="H2709" s="16">
        <v>1.0</v>
      </c>
      <c r="I2709" s="15" t="str">
        <f>SUBSTITUTE(Sheet1!K2709, "Rp", "")</f>
        <v>89000</v>
      </c>
    </row>
    <row r="2710">
      <c r="A2710" s="8" t="s">
        <v>3933</v>
      </c>
      <c r="B2710" s="13" t="str">
        <f>HYPERLINK("https://shopee.co.id/Whitening-Serum-Mellydia-Mencerahkan-Wajah-dan-Memudarkan-Flek-i.66671865.4801618354", "https://shopee.co.id/Whitening-Serum-Mellydia-Mencerahkan-Wajah-dan-Memudarkan-Flek-i.66671865.4801618354")</f>
        <v>https://shopee.co.id/Whitening-Serum-Mellydia-Mencerahkan-Wajah-dan-Memudarkan-Flek-i.66671865.4801618354</v>
      </c>
      <c r="C2710" s="8" t="s">
        <v>2723</v>
      </c>
      <c r="D2710" s="8" t="s">
        <v>2724</v>
      </c>
      <c r="E2710" s="8" t="s">
        <v>12</v>
      </c>
      <c r="F2710" s="8" t="s">
        <v>13</v>
      </c>
      <c r="G2710" s="8" t="s">
        <v>115</v>
      </c>
      <c r="H2710" s="16">
        <v>1.0</v>
      </c>
      <c r="I2710" s="15" t="str">
        <f>SUBSTITUTE(Sheet1!K2710, "Rp", "")</f>
        <v>65000</v>
      </c>
    </row>
    <row r="2711">
      <c r="A2711" s="8" t="s">
        <v>3980</v>
      </c>
      <c r="B2711" s="13" t="str">
        <f>HYPERLINK("https://shopee.co.id/-FREE-GIFT-TIDAK-UNTUK-DI-BELI-Sachet-First-Lab-i.109981258.11813385611", "https://shopee.co.id/-FREE-GIFT-TIDAK-UNTUK-DI-BELI-Sachet-First-Lab-i.109981258.11813385611")</f>
        <v>https://shopee.co.id/-FREE-GIFT-TIDAK-UNTUK-DI-BELI-Sachet-First-Lab-i.109981258.11813385611</v>
      </c>
      <c r="C2711" s="8" t="s">
        <v>1617</v>
      </c>
      <c r="D2711" s="8" t="s">
        <v>2576</v>
      </c>
      <c r="E2711" s="8" t="s">
        <v>12</v>
      </c>
      <c r="F2711" s="8" t="s">
        <v>13</v>
      </c>
      <c r="G2711" s="8" t="s">
        <v>21</v>
      </c>
      <c r="H2711" s="16">
        <v>0.0</v>
      </c>
      <c r="I2711" s="15" t="str">
        <f>SUBSTITUTE(Sheet1!K2711, "Rp", "")</f>
        <v>0</v>
      </c>
    </row>
    <row r="2712">
      <c r="A2712" s="8" t="s">
        <v>3982</v>
      </c>
      <c r="B2712" s="13" t="str">
        <f>HYPERLINK("https://shopee.co.id/-Isi-3-Hanasui-Gold-Whitening-Serum-20Ml-Serum-Wajah-Pelembab-Wajah-Vitamin-Wajah-i.185943783.6628162720", "https://shopee.co.id/-Isi-3-Hanasui-Gold-Whitening-Serum-20Ml-Serum-Wajah-Pelembab-Wajah-Vitamin-Wajah-i.185943783.6628162720")</f>
        <v>https://shopee.co.id/-Isi-3-Hanasui-Gold-Whitening-Serum-20Ml-Serum-Wajah-Pelembab-Wajah-Vitamin-Wajah-i.185943783.6628162720</v>
      </c>
      <c r="C2712" s="8" t="s">
        <v>784</v>
      </c>
      <c r="D2712" s="8" t="s">
        <v>3429</v>
      </c>
      <c r="E2712" s="8" t="s">
        <v>12</v>
      </c>
      <c r="F2712" s="8" t="s">
        <v>13</v>
      </c>
      <c r="G2712" s="8" t="s">
        <v>36</v>
      </c>
      <c r="H2712" s="16">
        <v>0.0</v>
      </c>
      <c r="I2712" s="15" t="str">
        <f>SUBSTITUTE(Sheet1!K2712, "Rp", "")</f>
        <v>0</v>
      </c>
    </row>
    <row r="2713">
      <c r="A2713" s="8" t="s">
        <v>3983</v>
      </c>
      <c r="B2713" s="13" t="str">
        <f>HYPERLINK("https://shopee.co.id/-ORI-100-Illuminare-Pore-Serum-30ml-Perawatan-Wajah-Serum-Wajah-i.114789399.2650009469", "https://shopee.co.id/-ORI-100-Illuminare-Pore-Serum-30ml-Perawatan-Wajah-Serum-Wajah-i.114789399.2650009469")</f>
        <v>https://shopee.co.id/-ORI-100-Illuminare-Pore-Serum-30ml-Perawatan-Wajah-Serum-Wajah-i.114789399.2650009469</v>
      </c>
      <c r="C2713" s="8" t="s">
        <v>1750</v>
      </c>
      <c r="D2713" s="8" t="s">
        <v>2531</v>
      </c>
      <c r="E2713" s="8" t="s">
        <v>12</v>
      </c>
      <c r="F2713" s="8" t="s">
        <v>13</v>
      </c>
      <c r="G2713" s="8" t="s">
        <v>36</v>
      </c>
      <c r="H2713" s="16">
        <v>0.0</v>
      </c>
      <c r="I2713" s="15" t="str">
        <f>SUBSTITUTE(Sheet1!K2713, "Rp", "")</f>
        <v>0</v>
      </c>
    </row>
    <row r="2714">
      <c r="A2714" s="8" t="s">
        <v>3984</v>
      </c>
      <c r="B2714" s="13" t="str">
        <f>HYPERLINK("https://shopee.co.id/-ORI-100-Illuminare-Youth-Serum-30ml-Perawatan-Wajah-Serum-Wajah-i.114789399.2650024552", "https://shopee.co.id/-ORI-100-Illuminare-Youth-Serum-30ml-Perawatan-Wajah-Serum-Wajah-i.114789399.2650024552")</f>
        <v>https://shopee.co.id/-ORI-100-Illuminare-Youth-Serum-30ml-Perawatan-Wajah-Serum-Wajah-i.114789399.2650024552</v>
      </c>
      <c r="C2714" s="8" t="s">
        <v>1750</v>
      </c>
      <c r="D2714" s="8" t="s">
        <v>2531</v>
      </c>
      <c r="E2714" s="8" t="s">
        <v>12</v>
      </c>
      <c r="F2714" s="8" t="s">
        <v>13</v>
      </c>
      <c r="G2714" s="8" t="s">
        <v>36</v>
      </c>
      <c r="H2714" s="16">
        <v>0.0</v>
      </c>
      <c r="I2714" s="15" t="str">
        <f>SUBSTITUTE(Sheet1!K2714, "Rp", "")</f>
        <v>0</v>
      </c>
    </row>
    <row r="2715">
      <c r="A2715" s="8" t="s">
        <v>3985</v>
      </c>
      <c r="B2715" s="13" t="str">
        <f>HYPERLINK("https://shopee.co.id/-BUNDLING-Fat-Panda-10-Niacinamide-Collagen-Ampoule-Fight-Acne-Pore-Ampoule-i.206623679.11423191834", "https://shopee.co.id/-BUNDLING-Fat-Panda-10-Niacinamide-Collagen-Ampoule-Fight-Acne-Pore-Ampoule-i.206623679.11423191834")</f>
        <v>https://shopee.co.id/-BUNDLING-Fat-Panda-10-Niacinamide-Collagen-Ampoule-Fight-Acne-Pore-Ampoule-i.206623679.11423191834</v>
      </c>
      <c r="C2715" s="8" t="s">
        <v>2716</v>
      </c>
      <c r="D2715" s="8" t="s">
        <v>2717</v>
      </c>
      <c r="E2715" s="8" t="s">
        <v>12</v>
      </c>
      <c r="F2715" s="8" t="s">
        <v>13</v>
      </c>
      <c r="G2715" s="8" t="s">
        <v>130</v>
      </c>
      <c r="H2715" s="16">
        <v>0.0</v>
      </c>
      <c r="I2715" s="15" t="str">
        <f>SUBSTITUTE(Sheet1!K2715, "Rp", "")</f>
        <v>0</v>
      </c>
    </row>
    <row r="2716">
      <c r="A2716" s="8" t="s">
        <v>3986</v>
      </c>
      <c r="B2716" s="13" t="str">
        <f>HYPERLINK("https://shopee.co.id/-BPOM-BREYLEE-Serum-Retinol-Lifting-Anti-aging-17ml--i.324706771.6558156593", "https://shopee.co.id/-BPOM-BREYLEE-Serum-Retinol-Lifting-Anti-aging-17ml--i.324706771.6558156593")</f>
        <v>https://shopee.co.id/-BPOM-BREYLEE-Serum-Retinol-Lifting-Anti-aging-17ml--i.324706771.6558156593</v>
      </c>
      <c r="C2716" s="8" t="s">
        <v>852</v>
      </c>
      <c r="D2716" s="8" t="s">
        <v>853</v>
      </c>
      <c r="E2716" s="8" t="s">
        <v>12</v>
      </c>
      <c r="F2716" s="8" t="s">
        <v>13</v>
      </c>
      <c r="G2716" s="8" t="s">
        <v>532</v>
      </c>
      <c r="H2716" s="16">
        <v>0.0</v>
      </c>
      <c r="I2716" s="15" t="str">
        <f>SUBSTITUTE(Sheet1!K2716, "Rp", "")</f>
        <v>0</v>
      </c>
    </row>
    <row r="2717">
      <c r="A2717" s="8" t="s">
        <v>3987</v>
      </c>
      <c r="B2717" s="13" t="str">
        <f>HYPERLINK("https://shopee.co.id/-BPOM-COSRX-Advanced-Snail-96-Mucin-Power-Essence-100ml-Serum-Wajah-Nutrisi-Wajah-i.261911729.4441550608", "https://shopee.co.id/-BPOM-COSRX-Advanced-Snail-96-Mucin-Power-Essence-100ml-Serum-Wajah-Nutrisi-Wajah-i.261911729.4441550608")</f>
        <v>https://shopee.co.id/-BPOM-COSRX-Advanced-Snail-96-Mucin-Power-Essence-100ml-Serum-Wajah-Nutrisi-Wajah-i.261911729.4441550608</v>
      </c>
      <c r="C2717" s="8" t="s">
        <v>305</v>
      </c>
      <c r="D2717" s="8" t="s">
        <v>1485</v>
      </c>
      <c r="E2717" s="8" t="s">
        <v>12</v>
      </c>
      <c r="F2717" s="8" t="s">
        <v>13</v>
      </c>
      <c r="G2717" s="8" t="s">
        <v>61</v>
      </c>
      <c r="H2717" s="16">
        <v>0.0</v>
      </c>
      <c r="I2717" s="15" t="str">
        <f>SUBSTITUTE(Sheet1!K2717, "Rp", "")</f>
        <v>0</v>
      </c>
    </row>
    <row r="2718">
      <c r="A2718" s="8" t="s">
        <v>3988</v>
      </c>
      <c r="B2718" s="13" t="str">
        <f>HYPERLINK("https://shopee.co.id/Hiqween-Face-Essence-Preparing-Serum-60ml-i.50948181.8925403317", "https://shopee.co.id/Hiqween-Face-Essence-Preparing-Serum-60ml-i.50948181.8925403317")</f>
        <v>https://shopee.co.id/Hiqween-Face-Essence-Preparing-Serum-60ml-i.50948181.8925403317</v>
      </c>
      <c r="C2718" s="8" t="s">
        <v>2270</v>
      </c>
      <c r="D2718" s="8" t="s">
        <v>1129</v>
      </c>
      <c r="E2718" s="8" t="s">
        <v>12</v>
      </c>
      <c r="F2718" s="8" t="s">
        <v>13</v>
      </c>
      <c r="G2718" s="8" t="s">
        <v>1130</v>
      </c>
      <c r="H2718" s="16">
        <v>0.0</v>
      </c>
      <c r="I2718" s="15" t="str">
        <f>SUBSTITUTE(Sheet1!K2718, "Rp", "")</f>
        <v>0</v>
      </c>
    </row>
    <row r="2719">
      <c r="A2719" s="8" t="s">
        <v>3989</v>
      </c>
      <c r="B2719" s="13" t="str">
        <f>HYPERLINK("https://shopee.co.id/-BUY-1-GET-1-FREE-Aizen-Carnosine-Astaxanthin-4-Ultra-Ampoule-Serum-Anti-Aging-Kulit-Wajah-i.89939211.8570192285", "https://shopee.co.id/-BUY-1-GET-1-FREE-Aizen-Carnosine-Astaxanthin-4-Ultra-Ampoule-Serum-Anti-Aging-Kulit-Wajah-i.89939211.8570192285")</f>
        <v>https://shopee.co.id/-BUY-1-GET-1-FREE-Aizen-Carnosine-Astaxanthin-4-Ultra-Ampoule-Serum-Anti-Aging-Kulit-Wajah-i.89939211.8570192285</v>
      </c>
      <c r="C2719" s="8" t="s">
        <v>1325</v>
      </c>
      <c r="D2719" s="8" t="s">
        <v>1326</v>
      </c>
      <c r="E2719" s="8" t="s">
        <v>12</v>
      </c>
      <c r="F2719" s="8" t="s">
        <v>13</v>
      </c>
      <c r="G2719" s="8" t="s">
        <v>14</v>
      </c>
      <c r="H2719" s="16">
        <v>0.0</v>
      </c>
      <c r="I2719" s="15" t="str">
        <f>SUBSTITUTE(Sheet1!K2719, "Rp", "")</f>
        <v>0</v>
      </c>
    </row>
    <row r="2720">
      <c r="A2720" s="8" t="s">
        <v>3990</v>
      </c>
      <c r="B2720" s="13" t="str">
        <f>HYPERLINK("https://shopee.co.id/-BUY-1-GET-1-FREE-Aizen-L-Glutathione-10-Ultra-Ampoule-Serum-Pemutih-Antioxidant-Kulit-Wajah-i.89939211.3066049661", "https://shopee.co.id/-BUY-1-GET-1-FREE-Aizen-L-Glutathione-10-Ultra-Ampoule-Serum-Pemutih-Antioxidant-Kulit-Wajah-i.89939211.3066049661")</f>
        <v>https://shopee.co.id/-BUY-1-GET-1-FREE-Aizen-L-Glutathione-10-Ultra-Ampoule-Serum-Pemutih-Antioxidant-Kulit-Wajah-i.89939211.3066049661</v>
      </c>
      <c r="C2720" s="8" t="s">
        <v>3991</v>
      </c>
      <c r="D2720" s="8" t="s">
        <v>1326</v>
      </c>
      <c r="E2720" s="8" t="s">
        <v>12</v>
      </c>
      <c r="F2720" s="8" t="s">
        <v>13</v>
      </c>
      <c r="G2720" s="8" t="s">
        <v>14</v>
      </c>
      <c r="H2720" s="16">
        <v>0.0</v>
      </c>
      <c r="I2720" s="15" t="str">
        <f>SUBSTITUTE(Sheet1!K2720, "Rp", "")</f>
        <v>0</v>
      </c>
    </row>
    <row r="2721">
      <c r="A2721" s="8" t="s">
        <v>3992</v>
      </c>
      <c r="B2721" s="13" t="str">
        <f>HYPERLINK("https://shopee.co.id/-BUY-1-GET-1-FREE-Aizen-Polyglutamic-Acid-5-Ultra-Ampoule-Serum-Pelembab-Hidrasi-Kulit-Wajah-i.89939211.2971141076", "https://shopee.co.id/-BUY-1-GET-1-FREE-Aizen-Polyglutamic-Acid-5-Ultra-Ampoule-Serum-Pelembab-Hidrasi-Kulit-Wajah-i.89939211.2971141076")</f>
        <v>https://shopee.co.id/-BUY-1-GET-1-FREE-Aizen-Polyglutamic-Acid-5-Ultra-Ampoule-Serum-Pelembab-Hidrasi-Kulit-Wajah-i.89939211.2971141076</v>
      </c>
      <c r="C2721" s="8" t="s">
        <v>1325</v>
      </c>
      <c r="D2721" s="8" t="s">
        <v>1326</v>
      </c>
      <c r="E2721" s="8" t="s">
        <v>12</v>
      </c>
      <c r="F2721" s="8" t="s">
        <v>13</v>
      </c>
      <c r="G2721" s="8" t="s">
        <v>14</v>
      </c>
      <c r="H2721" s="16">
        <v>0.0</v>
      </c>
      <c r="I2721" s="15" t="str">
        <f>SUBSTITUTE(Sheet1!K2721, "Rp", "")</f>
        <v>0</v>
      </c>
    </row>
    <row r="2722">
      <c r="A2722" s="8" t="s">
        <v>3993</v>
      </c>
      <c r="B2722" s="13" t="str">
        <f>HYPERLINK("https://shopee.co.id/-BUY-1-GET-1-FREE-Aizen-SepiWhite-MSH-3-Ultra-Ampoule-Serum-Pemutih-Pencerah-Kulit-Wajah-i.89939211.5792596429", "https://shopee.co.id/-BUY-1-GET-1-FREE-Aizen-SepiWhite-MSH-3-Ultra-Ampoule-Serum-Pemutih-Pencerah-Kulit-Wajah-i.89939211.5792596429")</f>
        <v>https://shopee.co.id/-BUY-1-GET-1-FREE-Aizen-SepiWhite-MSH-3-Ultra-Ampoule-Serum-Pemutih-Pencerah-Kulit-Wajah-i.89939211.5792596429</v>
      </c>
      <c r="C2722" s="8" t="s">
        <v>3994</v>
      </c>
      <c r="D2722" s="8" t="s">
        <v>1326</v>
      </c>
      <c r="E2722" s="8" t="s">
        <v>12</v>
      </c>
      <c r="F2722" s="8" t="s">
        <v>13</v>
      </c>
      <c r="G2722" s="8" t="s">
        <v>14</v>
      </c>
      <c r="H2722" s="16">
        <v>0.0</v>
      </c>
      <c r="I2722" s="15" t="str">
        <f>SUBSTITUTE(Sheet1!K2722, "Rp", "")</f>
        <v>0</v>
      </c>
    </row>
    <row r="2723">
      <c r="A2723" s="8" t="s">
        <v>3995</v>
      </c>
      <c r="B2723" s="13" t="str">
        <f>HYPERLINK("https://shopee.co.id/-Buy-1-Gett-1-Swissvita-Mandelic-Acid-Complex-Serum-AHA--i.29252724.3294209848", "https://shopee.co.id/-Buy-1-Gett-1-Swissvita-Mandelic-Acid-Complex-Serum-AHA--i.29252724.3294209848")</f>
        <v>https://shopee.co.id/-Buy-1-Gett-1-Swissvita-Mandelic-Acid-Complex-Serum-AHA--i.29252724.3294209848</v>
      </c>
      <c r="C2723" s="8" t="s">
        <v>2536</v>
      </c>
      <c r="D2723" s="8" t="s">
        <v>2537</v>
      </c>
      <c r="E2723" s="8" t="s">
        <v>12</v>
      </c>
      <c r="F2723" s="8" t="s">
        <v>13</v>
      </c>
      <c r="G2723" s="8" t="s">
        <v>61</v>
      </c>
      <c r="H2723" s="16">
        <v>0.0</v>
      </c>
      <c r="I2723" s="15" t="str">
        <f>SUBSTITUTE(Sheet1!K2723, "Rp", "")</f>
        <v>0</v>
      </c>
    </row>
    <row r="2724">
      <c r="A2724" s="8" t="s">
        <v>3996</v>
      </c>
      <c r="B2724" s="13" t="str">
        <f>HYPERLINK("https://shopee.co.id/-CLEARANCE-SALE-JINGCHENG-60-Actives-Youth-Activating-Enhancer-EX-200-ML-i.70505220.2411507592", "https://shopee.co.id/-CLEARANCE-SALE-JINGCHENG-60-Actives-Youth-Activating-Enhancer-EX-200-ML-i.70505220.2411507592")</f>
        <v>https://shopee.co.id/-CLEARANCE-SALE-JINGCHENG-60-Actives-Youth-Activating-Enhancer-EX-200-ML-i.70505220.2411507592</v>
      </c>
      <c r="C2724" s="8" t="s">
        <v>3997</v>
      </c>
      <c r="D2724" s="8" t="s">
        <v>2737</v>
      </c>
      <c r="E2724" s="8" t="s">
        <v>12</v>
      </c>
      <c r="F2724" s="8" t="s">
        <v>13</v>
      </c>
      <c r="G2724" s="8" t="s">
        <v>21</v>
      </c>
      <c r="H2724" s="16">
        <v>0.0</v>
      </c>
      <c r="I2724" s="15" t="str">
        <f>SUBSTITUTE(Sheet1!K2724, "Rp", "")</f>
        <v>0</v>
      </c>
    </row>
    <row r="2725">
      <c r="A2725" s="8" t="s">
        <v>3998</v>
      </c>
      <c r="B2725" s="13" t="str">
        <f>HYPERLINK("https://shopee.co.id/-DOUBLE-LORE-Brightamin-C-Serum-30-ml-2-pcs-i.68740273.7584043269", "https://shopee.co.id/-DOUBLE-LORE-Brightamin-C-Serum-30-ml-2-pcs-i.68740273.7584043269")</f>
        <v>https://shopee.co.id/-DOUBLE-LORE-Brightamin-C-Serum-30-ml-2-pcs-i.68740273.7584043269</v>
      </c>
      <c r="C2725" s="8" t="s">
        <v>2565</v>
      </c>
      <c r="D2725" s="8" t="s">
        <v>2566</v>
      </c>
      <c r="E2725" s="8" t="s">
        <v>12</v>
      </c>
      <c r="F2725" s="8" t="s">
        <v>13</v>
      </c>
      <c r="G2725" s="8" t="s">
        <v>409</v>
      </c>
      <c r="H2725" s="16">
        <v>0.0</v>
      </c>
      <c r="I2725" s="15" t="str">
        <f>SUBSTITUTE(Sheet1!K2725, "Rp", "")</f>
        <v>0</v>
      </c>
    </row>
    <row r="2726">
      <c r="A2726" s="8" t="s">
        <v>3999</v>
      </c>
      <c r="B2726" s="13" t="str">
        <f>HYPERLINK("https://shopee.co.id/-FREE-GIFT-JANGAN-DIBELI-Vitamin-C-Serum-30ml--i.397732085.4996725351", "https://shopee.co.id/-FREE-GIFT-JANGAN-DIBELI-Vitamin-C-Serum-30ml--i.397732085.4996725351")</f>
        <v>https://shopee.co.id/-FREE-GIFT-JANGAN-DIBELI-Vitamin-C-Serum-30ml--i.397732085.4996725351</v>
      </c>
      <c r="C2726" s="8" t="s">
        <v>1427</v>
      </c>
      <c r="D2726" s="8" t="s">
        <v>1428</v>
      </c>
      <c r="E2726" s="8" t="s">
        <v>12</v>
      </c>
      <c r="F2726" s="8" t="s">
        <v>13</v>
      </c>
      <c r="G2726" s="8" t="s">
        <v>532</v>
      </c>
      <c r="H2726" s="16">
        <v>0.0</v>
      </c>
      <c r="I2726" s="15" t="str">
        <f>SUBSTITUTE(Sheet1!K2726, "Rp", "")</f>
        <v>0</v>
      </c>
    </row>
    <row r="2727">
      <c r="A2727" s="8" t="s">
        <v>4000</v>
      </c>
      <c r="B2727" s="13" t="str">
        <f>HYPERLINK("https://shopee.co.id/-FREE-PRODUCT-CLINELLE-WhitenUp-Brightening-Spot-Essence-15-ML-i.173963911.9487010873", "https://shopee.co.id/-FREE-PRODUCT-CLINELLE-WhitenUp-Brightening-Spot-Essence-15-ML-i.173963911.9487010873")</f>
        <v>https://shopee.co.id/-FREE-PRODUCT-CLINELLE-WhitenUp-Brightening-Spot-Essence-15-ML-i.173963911.9487010873</v>
      </c>
      <c r="C2727" s="8" t="s">
        <v>1456</v>
      </c>
      <c r="D2727" s="8" t="s">
        <v>1457</v>
      </c>
      <c r="E2727" s="8" t="s">
        <v>12</v>
      </c>
      <c r="F2727" s="8" t="s">
        <v>13</v>
      </c>
      <c r="G2727" s="8" t="s">
        <v>21</v>
      </c>
      <c r="H2727" s="16">
        <v>0.0</v>
      </c>
      <c r="I2727" s="15" t="str">
        <f>SUBSTITUTE(Sheet1!K2727, "Rp", "")</f>
        <v>0</v>
      </c>
    </row>
    <row r="2728">
      <c r="A2728" s="8" t="s">
        <v>4001</v>
      </c>
      <c r="B2728" s="13" t="str">
        <f>HYPERLINK("https://shopee.co.id/-GIFT-CICA-Care-Ampoule-5ml-i.40861383.11915769159", "https://shopee.co.id/-GIFT-CICA-Care-Ampoule-5ml-i.40861383.11915769159")</f>
        <v>https://shopee.co.id/-GIFT-CICA-Care-Ampoule-5ml-i.40861383.11915769159</v>
      </c>
      <c r="C2728" s="8" t="s">
        <v>4002</v>
      </c>
      <c r="D2728" s="8" t="s">
        <v>4003</v>
      </c>
      <c r="E2728" s="8" t="s">
        <v>12</v>
      </c>
      <c r="F2728" s="8" t="s">
        <v>13</v>
      </c>
      <c r="G2728" s="8" t="s">
        <v>21</v>
      </c>
      <c r="H2728" s="16">
        <v>0.0</v>
      </c>
      <c r="I2728" s="15" t="str">
        <f>SUBSTITUTE(Sheet1!K2728, "Rp", "")</f>
        <v>0</v>
      </c>
    </row>
    <row r="2729">
      <c r="A2729" s="8" t="s">
        <v>4004</v>
      </c>
      <c r="B2729" s="13" t="str">
        <f>HYPERLINK("https://shopee.co.id/-GIFT-COSRX-Advanced-Snail-96-Mucin-Power-Essence-Mini-Size-20ml-DO-NOT-BUY-i.404429429.8570608511", "https://shopee.co.id/-GIFT-COSRX-Advanced-Snail-96-Mucin-Power-Essence-Mini-Size-20ml-DO-NOT-BUY-i.404429429.8570608511")</f>
        <v>https://shopee.co.id/-GIFT-COSRX-Advanced-Snail-96-Mucin-Power-Essence-Mini-Size-20ml-DO-NOT-BUY-i.404429429.8570608511</v>
      </c>
      <c r="C2729" s="8" t="s">
        <v>305</v>
      </c>
      <c r="D2729" s="8" t="s">
        <v>306</v>
      </c>
      <c r="E2729" s="8" t="s">
        <v>12</v>
      </c>
      <c r="F2729" s="8" t="s">
        <v>13</v>
      </c>
      <c r="G2729" s="8" t="s">
        <v>21</v>
      </c>
      <c r="H2729" s="16">
        <v>0.0</v>
      </c>
      <c r="I2729" s="15" t="str">
        <f>SUBSTITUTE(Sheet1!K2729, "Rp", "")</f>
        <v>0</v>
      </c>
    </row>
    <row r="2730">
      <c r="A2730" s="8" t="s">
        <v>4005</v>
      </c>
      <c r="B2730" s="13" t="str">
        <f>HYPERLINK("https://shopee.co.id/-GIFT-SPECIAL-MAMONDE-SBD-SET-3-i.160417197.9740776752", "https://shopee.co.id/-GIFT-SPECIAL-MAMONDE-SBD-SET-3-i.160417197.9740776752")</f>
        <v>https://shopee.co.id/-GIFT-SPECIAL-MAMONDE-SBD-SET-3-i.160417197.9740776752</v>
      </c>
      <c r="C2730" s="8" t="s">
        <v>447</v>
      </c>
      <c r="D2730" s="8" t="s">
        <v>448</v>
      </c>
      <c r="E2730" s="8" t="s">
        <v>12</v>
      </c>
      <c r="F2730" s="8" t="s">
        <v>13</v>
      </c>
      <c r="G2730" s="8" t="s">
        <v>61</v>
      </c>
      <c r="H2730" s="16">
        <v>0.0</v>
      </c>
      <c r="I2730" s="15" t="str">
        <f>SUBSTITUTE(Sheet1!K2730, "Rp", "")</f>
        <v>0</v>
      </c>
    </row>
    <row r="2731">
      <c r="A2731" s="8" t="s">
        <v>4006</v>
      </c>
      <c r="B2731" s="13" t="str">
        <f>HYPERLINK("https://shopee.co.id/-Gimmick-Garnier-Light-Complete-Serum-Cream-Sachet-i.62583853.7976338712", "https://shopee.co.id/-Gimmick-Garnier-Light-Complete-Serum-Cream-Sachet-i.62583853.7976338712")</f>
        <v>https://shopee.co.id/-Gimmick-Garnier-Light-Complete-Serum-Cream-Sachet-i.62583853.7976338712</v>
      </c>
      <c r="C2731" s="8" t="s">
        <v>74</v>
      </c>
      <c r="D2731" s="8" t="s">
        <v>75</v>
      </c>
      <c r="E2731" s="8" t="s">
        <v>12</v>
      </c>
      <c r="F2731" s="8" t="s">
        <v>13</v>
      </c>
      <c r="G2731" s="8" t="s">
        <v>61</v>
      </c>
      <c r="H2731" s="16">
        <v>0.0</v>
      </c>
      <c r="I2731" s="15" t="str">
        <f>SUBSTITUTE(Sheet1!K2731, "Rp", "")</f>
        <v>0</v>
      </c>
    </row>
    <row r="2732">
      <c r="A2732" s="8" t="s">
        <v>4007</v>
      </c>
      <c r="B2732" s="13" t="str">
        <f>HYPERLINK("https://shopee.co.id/-innisfree-Black-Green-Tea-Serum-50ML-Serum-Wajah-Perawatan-Wajah-i.61504589.2152672095", "https://shopee.co.id/-innisfree-Black-Green-Tea-Serum-50ML-Serum-Wajah-Perawatan-Wajah-i.61504589.2152672095")</f>
        <v>https://shopee.co.id/-innisfree-Black-Green-Tea-Serum-50ML-Serum-Wajah-Perawatan-Wajah-i.61504589.2152672095</v>
      </c>
      <c r="C2732" s="8" t="s">
        <v>294</v>
      </c>
      <c r="D2732" s="8" t="s">
        <v>295</v>
      </c>
      <c r="E2732" s="8" t="s">
        <v>12</v>
      </c>
      <c r="F2732" s="8" t="s">
        <v>13</v>
      </c>
      <c r="G2732" s="8" t="s">
        <v>296</v>
      </c>
      <c r="H2732" s="16">
        <v>0.0</v>
      </c>
      <c r="I2732" s="15" t="str">
        <f>SUBSTITUTE(Sheet1!K2732, "Rp", "")</f>
        <v>0</v>
      </c>
    </row>
    <row r="2733">
      <c r="A2733" s="8" t="s">
        <v>4008</v>
      </c>
      <c r="B2733" s="13" t="str">
        <f>HYPERLINK("https://shopee.co.id/-innisfree-Black-Tea-Youth-Enhancing-Ampoule-50ml-i.61504589.8688929008", "https://shopee.co.id/-innisfree-Black-Tea-Youth-Enhancing-Ampoule-50ml-i.61504589.8688929008")</f>
        <v>https://shopee.co.id/-innisfree-Black-Tea-Youth-Enhancing-Ampoule-50ml-i.61504589.8688929008</v>
      </c>
      <c r="C2733" s="8" t="s">
        <v>294</v>
      </c>
      <c r="D2733" s="8" t="s">
        <v>295</v>
      </c>
      <c r="E2733" s="8" t="s">
        <v>12</v>
      </c>
      <c r="F2733" s="8" t="s">
        <v>13</v>
      </c>
      <c r="G2733" s="8" t="s">
        <v>296</v>
      </c>
      <c r="H2733" s="16">
        <v>0.0</v>
      </c>
      <c r="I2733" s="15" t="str">
        <f>SUBSTITUTE(Sheet1!K2733, "Rp", "")</f>
        <v>0</v>
      </c>
    </row>
    <row r="2734">
      <c r="A2734" s="8" t="s">
        <v>4009</v>
      </c>
      <c r="B2734" s="13" t="str">
        <f>HYPERLINK("https://shopee.co.id/-innisfree-Green-Barley-Peeling-Essence-50ML-Serum-Wajah-Perawatan-Wajah-i.61504589.2717391818", "https://shopee.co.id/-innisfree-Green-Barley-Peeling-Essence-50ML-Serum-Wajah-Perawatan-Wajah-i.61504589.2717391818")</f>
        <v>https://shopee.co.id/-innisfree-Green-Barley-Peeling-Essence-50ML-Serum-Wajah-Perawatan-Wajah-i.61504589.2717391818</v>
      </c>
      <c r="C2734" s="8" t="s">
        <v>294</v>
      </c>
      <c r="D2734" s="8" t="s">
        <v>295</v>
      </c>
      <c r="E2734" s="8" t="s">
        <v>12</v>
      </c>
      <c r="F2734" s="8" t="s">
        <v>13</v>
      </c>
      <c r="G2734" s="8" t="s">
        <v>296</v>
      </c>
      <c r="H2734" s="16">
        <v>0.0</v>
      </c>
      <c r="I2734" s="15" t="str">
        <f>SUBSTITUTE(Sheet1!K2734, "Rp", "")</f>
        <v>0</v>
      </c>
    </row>
    <row r="2735">
      <c r="A2735" s="8" t="s">
        <v>4010</v>
      </c>
      <c r="B2735" s="13" t="str">
        <f>HYPERLINK("https://shopee.co.id/-innisfree-Green-Tea-Seed-Serum-Jumbo-with-Cream-Foam-Cleanser-FREE-Starbucks-Tumbler-Bundle-i.61504589.3073811633", "https://shopee.co.id/-innisfree-Green-Tea-Seed-Serum-Jumbo-with-Cream-Foam-Cleanser-FREE-Starbucks-Tumbler-Bundle-i.61504589.3073811633")</f>
        <v>https://shopee.co.id/-innisfree-Green-Tea-Seed-Serum-Jumbo-with-Cream-Foam-Cleanser-FREE-Starbucks-Tumbler-Bundle-i.61504589.3073811633</v>
      </c>
      <c r="C2735" s="8" t="s">
        <v>294</v>
      </c>
      <c r="D2735" s="8" t="s">
        <v>295</v>
      </c>
      <c r="E2735" s="8" t="s">
        <v>12</v>
      </c>
      <c r="F2735" s="8" t="s">
        <v>13</v>
      </c>
      <c r="G2735" s="8" t="s">
        <v>296</v>
      </c>
      <c r="H2735" s="16">
        <v>0.0</v>
      </c>
      <c r="I2735" s="15" t="str">
        <f>SUBSTITUTE(Sheet1!K2735, "Rp", "")</f>
        <v>0</v>
      </c>
    </row>
    <row r="2736">
      <c r="A2736" s="8" t="s">
        <v>4011</v>
      </c>
      <c r="B2736" s="13" t="str">
        <f>HYPERLINK("https://shopee.co.id/-innisfree-Green-Tea-Seed-Serum-With-Green-Tea-Line-Bundle-i.61504589.8465906215", "https://shopee.co.id/-innisfree-Green-Tea-Seed-Serum-With-Green-Tea-Line-Bundle-i.61504589.8465906215")</f>
        <v>https://shopee.co.id/-innisfree-Green-Tea-Seed-Serum-With-Green-Tea-Line-Bundle-i.61504589.8465906215</v>
      </c>
      <c r="C2736" s="8" t="s">
        <v>294</v>
      </c>
      <c r="D2736" s="8" t="s">
        <v>295</v>
      </c>
      <c r="E2736" s="8" t="s">
        <v>12</v>
      </c>
      <c r="F2736" s="8" t="s">
        <v>13</v>
      </c>
      <c r="G2736" s="8" t="s">
        <v>296</v>
      </c>
      <c r="H2736" s="16">
        <v>0.0</v>
      </c>
      <c r="I2736" s="15" t="str">
        <f>SUBSTITUTE(Sheet1!K2736, "Rp", "")</f>
        <v>0</v>
      </c>
    </row>
    <row r="2737">
      <c r="A2737" s="8" t="s">
        <v>4012</v>
      </c>
      <c r="B2737" s="13" t="str">
        <f>HYPERLINK("https://shopee.co.id/-innisfree-Jeju-Orchid-Essence-Bundle-i.61504589.7721350846", "https://shopee.co.id/-innisfree-Jeju-Orchid-Essence-Bundle-i.61504589.7721350846")</f>
        <v>https://shopee.co.id/-innisfree-Jeju-Orchid-Essence-Bundle-i.61504589.7721350846</v>
      </c>
      <c r="C2737" s="8" t="s">
        <v>294</v>
      </c>
      <c r="D2737" s="8" t="s">
        <v>295</v>
      </c>
      <c r="E2737" s="8" t="s">
        <v>12</v>
      </c>
      <c r="F2737" s="8" t="s">
        <v>13</v>
      </c>
      <c r="G2737" s="8" t="s">
        <v>296</v>
      </c>
      <c r="H2737" s="16">
        <v>0.0</v>
      </c>
      <c r="I2737" s="15" t="str">
        <f>SUBSTITUTE(Sheet1!K2737, "Rp", "")</f>
        <v>0</v>
      </c>
    </row>
    <row r="2738">
      <c r="A2738" s="8" t="s">
        <v>4013</v>
      </c>
      <c r="B2738" s="13" t="str">
        <f>HYPERLINK("https://shopee.co.id/-PROMO-Aquila-Best-Duo-Package-Cleansing-Balm-Serum-Membersihkan-Mencerahkan-i.268493582.9983680821", "https://shopee.co.id/-PROMO-Aquila-Best-Duo-Package-Cleansing-Balm-Serum-Membersihkan-Mencerahkan-i.268493582.9983680821")</f>
        <v>https://shopee.co.id/-PROMO-Aquila-Best-Duo-Package-Cleansing-Balm-Serum-Membersihkan-Mencerahkan-i.268493582.9983680821</v>
      </c>
      <c r="C2738" s="8" t="s">
        <v>4014</v>
      </c>
      <c r="D2738" s="8" t="s">
        <v>2203</v>
      </c>
      <c r="E2738" s="8" t="s">
        <v>12</v>
      </c>
      <c r="F2738" s="8" t="s">
        <v>13</v>
      </c>
      <c r="G2738" s="8" t="s">
        <v>2204</v>
      </c>
      <c r="H2738" s="16">
        <v>0.0</v>
      </c>
      <c r="I2738" s="15" t="str">
        <f>SUBSTITUTE(Sheet1!K2738, "Rp", "")</f>
        <v>0</v>
      </c>
    </row>
    <row r="2739">
      <c r="A2739" s="8" t="s">
        <v>4015</v>
      </c>
      <c r="B2739" s="13" t="str">
        <f>HYPERLINK("https://shopee.co.id/-SPESIAL-SET-Nacific-Lip-Tint-Fresh-Cica-Plus-Clear-Serum-i.238379974.10715341889", "https://shopee.co.id/-SPESIAL-SET-Nacific-Lip-Tint-Fresh-Cica-Plus-Clear-Serum-i.238379974.10715341889")</f>
        <v>https://shopee.co.id/-SPESIAL-SET-Nacific-Lip-Tint-Fresh-Cica-Plus-Clear-Serum-i.238379974.10715341889</v>
      </c>
      <c r="C2739" s="8" t="s">
        <v>344</v>
      </c>
      <c r="D2739" s="8" t="s">
        <v>345</v>
      </c>
      <c r="E2739" s="8" t="s">
        <v>12</v>
      </c>
      <c r="F2739" s="8" t="s">
        <v>13</v>
      </c>
      <c r="G2739" s="8" t="s">
        <v>130</v>
      </c>
      <c r="H2739" s="16">
        <v>0.0</v>
      </c>
      <c r="I2739" s="15" t="str">
        <f>SUBSTITUTE(Sheet1!K2739, "Rp", "")</f>
        <v>0</v>
      </c>
    </row>
    <row r="2740">
      <c r="A2740" s="8" t="s">
        <v>4016</v>
      </c>
      <c r="B2740" s="13" t="str">
        <f>HYPERLINK("https://shopee.co.id/-The-Face-Shop-Green-Natural-Seed-Anti-Oxid-Serum-50ml-Original-i.34671748.6775303894", "https://shopee.co.id/-The-Face-Shop-Green-Natural-Seed-Anti-Oxid-Serum-50ml-Original-i.34671748.6775303894")</f>
        <v>https://shopee.co.id/-The-Face-Shop-Green-Natural-Seed-Anti-Oxid-Serum-50ml-Original-i.34671748.6775303894</v>
      </c>
      <c r="C2740" s="8" t="s">
        <v>1217</v>
      </c>
      <c r="D2740" s="8" t="s">
        <v>1218</v>
      </c>
      <c r="E2740" s="8" t="s">
        <v>12</v>
      </c>
      <c r="F2740" s="8" t="s">
        <v>13</v>
      </c>
      <c r="G2740" s="8" t="s">
        <v>61</v>
      </c>
      <c r="H2740" s="16">
        <v>0.0</v>
      </c>
      <c r="I2740" s="15" t="str">
        <f>SUBSTITUTE(Sheet1!K2740, "Rp", "")</f>
        <v>0</v>
      </c>
    </row>
    <row r="2741">
      <c r="A2741" s="8" t="s">
        <v>4017</v>
      </c>
      <c r="B2741" s="13" t="str">
        <f>HYPERLINK("https://shopee.co.id/-The-Face-Shop-Yehwadam-Hwansaenggo-Ultimate-Rejuvenating-Emulsion-i.34671748.9814515427", "https://shopee.co.id/-The-Face-Shop-Yehwadam-Hwansaenggo-Ultimate-Rejuvenating-Emulsion-i.34671748.9814515427")</f>
        <v>https://shopee.co.id/-The-Face-Shop-Yehwadam-Hwansaenggo-Ultimate-Rejuvenating-Emulsion-i.34671748.9814515427</v>
      </c>
      <c r="C2741" s="8" t="s">
        <v>1217</v>
      </c>
      <c r="D2741" s="8" t="s">
        <v>1218</v>
      </c>
      <c r="E2741" s="8" t="s">
        <v>12</v>
      </c>
      <c r="F2741" s="8" t="s">
        <v>13</v>
      </c>
      <c r="G2741" s="8" t="s">
        <v>61</v>
      </c>
      <c r="H2741" s="16">
        <v>0.0</v>
      </c>
      <c r="I2741" s="15" t="str">
        <f>SUBSTITUTE(Sheet1!K2741, "Rp", "")</f>
        <v>0</v>
      </c>
    </row>
    <row r="2742">
      <c r="A2742" s="8" t="s">
        <v>4018</v>
      </c>
      <c r="B2742" s="13" t="str">
        <f>HYPERLINK("https://shopee.co.id/-The-Face-Shop-Yehwadam-Revitalizing-Serum-45ml-Original-i.34671748.553439195", "https://shopee.co.id/-The-Face-Shop-Yehwadam-Revitalizing-Serum-45ml-Original-i.34671748.553439195")</f>
        <v>https://shopee.co.id/-The-Face-Shop-Yehwadam-Revitalizing-Serum-45ml-Original-i.34671748.553439195</v>
      </c>
      <c r="C2742" s="8" t="s">
        <v>1217</v>
      </c>
      <c r="D2742" s="8" t="s">
        <v>1218</v>
      </c>
      <c r="E2742" s="8" t="s">
        <v>12</v>
      </c>
      <c r="F2742" s="8" t="s">
        <v>13</v>
      </c>
      <c r="G2742" s="8" t="s">
        <v>61</v>
      </c>
      <c r="H2742" s="16">
        <v>0.0</v>
      </c>
      <c r="I2742" s="15" t="str">
        <f>SUBSTITUTE(Sheet1!K2742, "Rp", "")</f>
        <v>0</v>
      </c>
    </row>
    <row r="2743">
      <c r="A2743" s="8" t="s">
        <v>4019</v>
      </c>
      <c r="B2743" s="13" t="str">
        <f>HYPERLINK("https://shopee.co.id/10-Niacinamide-Moisture-Sabi-Beet-Max-Brightening-Serum-5-ml-LIMITED--i.195455930.4592539644", "https://shopee.co.id/10-Niacinamide-Moisture-Sabi-Beet-Max-Brightening-Serum-5-ml-LIMITED--i.195455930.4592539644")</f>
        <v>https://shopee.co.id/10-Niacinamide-Moisture-Sabi-Beet-Max-Brightening-Serum-5-ml-LIMITED--i.195455930.4592539644</v>
      </c>
      <c r="C2743" s="8" t="s">
        <v>45</v>
      </c>
      <c r="D2743" s="8" t="s">
        <v>46</v>
      </c>
      <c r="E2743" s="8" t="s">
        <v>12</v>
      </c>
      <c r="F2743" s="8" t="s">
        <v>13</v>
      </c>
      <c r="G2743" s="8" t="s">
        <v>21</v>
      </c>
      <c r="H2743" s="16">
        <v>0.0</v>
      </c>
      <c r="I2743" s="15" t="str">
        <f>SUBSTITUTE(Sheet1!K2743, "Rp", "")</f>
        <v>0</v>
      </c>
    </row>
    <row r="2744">
      <c r="A2744" s="8" t="s">
        <v>4020</v>
      </c>
      <c r="B2744" s="13" t="str">
        <f>HYPERLINK("https://shopee.co.id/a-Wrinkle-in-Time-MTI-PB--i.120304226.2047437608", "https://shopee.co.id/a-Wrinkle-in-Time-MTI-PB--i.120304226.2047437608")</f>
        <v>https://shopee.co.id/a-Wrinkle-in-Time-MTI-PB--i.120304226.2047437608</v>
      </c>
      <c r="C2744" s="17" t="s">
        <v>3981</v>
      </c>
      <c r="D2744" s="8" t="s">
        <v>4021</v>
      </c>
      <c r="E2744" s="8" t="s">
        <v>12</v>
      </c>
      <c r="F2744" s="8" t="s">
        <v>13</v>
      </c>
      <c r="G2744" s="8" t="s">
        <v>130</v>
      </c>
      <c r="H2744" s="16">
        <v>0.0</v>
      </c>
      <c r="I2744" s="15" t="str">
        <f>SUBSTITUTE(Sheet1!K2744, "Rp", "")</f>
        <v>0</v>
      </c>
    </row>
    <row r="2745">
      <c r="A2745" s="8" t="s">
        <v>4022</v>
      </c>
      <c r="B2745" s="13" t="str">
        <f>HYPERLINK("https://shopee.co.id/AAG-CORRECTING-SUPRA-ESSENCE-5ML-TUBE-i.70687187.9405878519", "https://shopee.co.id/AAG-CORRECTING-SUPRA-ESSENCE-5ML-TUBE-i.70687187.9405878519")</f>
        <v>https://shopee.co.id/AAG-CORRECTING-SUPRA-ESSENCE-5ML-TUBE-i.70687187.9405878519</v>
      </c>
      <c r="C2745" s="8" t="s">
        <v>1672</v>
      </c>
      <c r="D2745" s="8" t="s">
        <v>1673</v>
      </c>
      <c r="E2745" s="8" t="s">
        <v>12</v>
      </c>
      <c r="F2745" s="8" t="s">
        <v>13</v>
      </c>
      <c r="G2745" s="8" t="s">
        <v>61</v>
      </c>
      <c r="H2745" s="16">
        <v>0.0</v>
      </c>
      <c r="I2745" s="15" t="str">
        <f>SUBSTITUTE(Sheet1!K2745, "Rp", "")</f>
        <v>0</v>
      </c>
    </row>
    <row r="2746">
      <c r="A2746" s="8" t="s">
        <v>4023</v>
      </c>
      <c r="B2746" s="13" t="str">
        <f>HYPERLINK("https://shopee.co.id/Acne-Essence-15-ML-With-Centella-Asiatica-Hyaluronic--i.108311902.5541176575", "https://shopee.co.id/Acne-Essence-15-ML-With-Centella-Asiatica-Hyaluronic--i.108311902.5541176575")</f>
        <v>https://shopee.co.id/Acne-Essence-15-ML-With-Centella-Asiatica-Hyaluronic--i.108311902.5541176575</v>
      </c>
      <c r="C2746" s="8" t="s">
        <v>3473</v>
      </c>
      <c r="D2746" s="8" t="s">
        <v>3474</v>
      </c>
      <c r="E2746" s="8" t="s">
        <v>12</v>
      </c>
      <c r="F2746" s="8" t="s">
        <v>13</v>
      </c>
      <c r="G2746" s="8" t="s">
        <v>350</v>
      </c>
      <c r="H2746" s="16">
        <v>0.0</v>
      </c>
      <c r="I2746" s="15" t="str">
        <f>SUBSTITUTE(Sheet1!K2746, "Rp", "")</f>
        <v>0</v>
      </c>
    </row>
    <row r="2747">
      <c r="A2747" s="8" t="s">
        <v>4024</v>
      </c>
      <c r="B2747" s="13" t="str">
        <f>HYPERLINK("https://shopee.co.id/Acnes-Derma-Care-Anti-Blemish-Essence-20ml-i.825870.4991363410", "https://shopee.co.id/Acnes-Derma-Care-Anti-Blemish-Essence-20ml-i.825870.4991363410")</f>
        <v>https://shopee.co.id/Acnes-Derma-Care-Anti-Blemish-Essence-20ml-i.825870.4991363410</v>
      </c>
      <c r="C2747" s="8" t="s">
        <v>1162</v>
      </c>
      <c r="D2747" s="8" t="s">
        <v>1184</v>
      </c>
      <c r="E2747" s="8" t="s">
        <v>12</v>
      </c>
      <c r="F2747" s="8" t="s">
        <v>13</v>
      </c>
      <c r="G2747" s="8" t="s">
        <v>21</v>
      </c>
      <c r="H2747" s="16">
        <v>0.0</v>
      </c>
      <c r="I2747" s="15" t="str">
        <f>SUBSTITUTE(Sheet1!K2747, "Rp", "")</f>
        <v>0</v>
      </c>
    </row>
    <row r="2748">
      <c r="A2748" s="8" t="s">
        <v>4025</v>
      </c>
      <c r="B2748" s="13" t="str">
        <f>HYPERLINK("https://shopee.co.id/ACNOC-All-Hybrid-Essence-MINI-3gr-i.97148691.5933295174", "https://shopee.co.id/ACNOC-All-Hybrid-Essence-MINI-3gr-i.97148691.5933295174")</f>
        <v>https://shopee.co.id/ACNOC-All-Hybrid-Essence-MINI-3gr-i.97148691.5933295174</v>
      </c>
      <c r="C2748" s="8" t="s">
        <v>2854</v>
      </c>
      <c r="D2748" s="8" t="s">
        <v>2855</v>
      </c>
      <c r="E2748" s="8" t="s">
        <v>12</v>
      </c>
      <c r="F2748" s="8" t="s">
        <v>13</v>
      </c>
      <c r="G2748" s="8" t="s">
        <v>85</v>
      </c>
      <c r="H2748" s="16">
        <v>0.0</v>
      </c>
      <c r="I2748" s="15" t="str">
        <f>SUBSTITUTE(Sheet1!K2748, "Rp", "")</f>
        <v>0</v>
      </c>
    </row>
    <row r="2749">
      <c r="A2749" s="8" t="s">
        <v>4026</v>
      </c>
      <c r="B2749" s="13" t="str">
        <f>HYPERLINK("https://shopee.co.id/Acwell-Licorice-pH-Balancing-Advance-Serum-size-30-ml-i.224957239.9451345176", "https://shopee.co.id/Acwell-Licorice-pH-Balancing-Advance-Serum-size-30-ml-i.224957239.9451345176")</f>
        <v>https://shopee.co.id/Acwell-Licorice-pH-Balancing-Advance-Serum-size-30-ml-i.224957239.9451345176</v>
      </c>
      <c r="C2749" s="8" t="s">
        <v>3727</v>
      </c>
      <c r="D2749" s="8" t="s">
        <v>492</v>
      </c>
      <c r="E2749" s="8" t="s">
        <v>12</v>
      </c>
      <c r="F2749" s="8" t="s">
        <v>13</v>
      </c>
      <c r="G2749" s="8" t="s">
        <v>21</v>
      </c>
      <c r="H2749" s="16">
        <v>0.0</v>
      </c>
      <c r="I2749" s="15" t="str">
        <f>SUBSTITUTE(Sheet1!K2749, "Rp", "")</f>
        <v>0</v>
      </c>
    </row>
    <row r="2750">
      <c r="A2750" s="8" t="s">
        <v>4027</v>
      </c>
      <c r="B2750" s="13" t="str">
        <f>HYPERLINK("https://shopee.co.id/ADARA-Bundle-C-Bright-Serum-Ultra-Moist-i.122156323.4039258873", "https://shopee.co.id/ADARA-Bundle-C-Bright-Serum-Ultra-Moist-i.122156323.4039258873")</f>
        <v>https://shopee.co.id/ADARA-Bundle-C-Bright-Serum-Ultra-Moist-i.122156323.4039258873</v>
      </c>
      <c r="C2750" s="8" t="s">
        <v>2240</v>
      </c>
      <c r="D2750" s="8" t="s">
        <v>2013</v>
      </c>
      <c r="E2750" s="8" t="s">
        <v>12</v>
      </c>
      <c r="F2750" s="8" t="s">
        <v>13</v>
      </c>
      <c r="G2750" s="8" t="s">
        <v>61</v>
      </c>
      <c r="H2750" s="16">
        <v>0.0</v>
      </c>
      <c r="I2750" s="15" t="str">
        <f>SUBSTITUTE(Sheet1!K2750, "Rp", "")</f>
        <v>0</v>
      </c>
    </row>
    <row r="2751">
      <c r="A2751" s="8" t="s">
        <v>4028</v>
      </c>
      <c r="B2751" s="13" t="str">
        <f>HYPERLINK("https://shopee.co.id/Aesthetic-Bluepin-AHA-BHA-White-Glow-Serum-i.54874680.9871988829", "https://shopee.co.id/Aesthetic-Bluepin-AHA-BHA-White-Glow-Serum-i.54874680.9871988829")</f>
        <v>https://shopee.co.id/Aesthetic-Bluepin-AHA-BHA-White-Glow-Serum-i.54874680.9871988829</v>
      </c>
      <c r="C2751" s="8" t="s">
        <v>2026</v>
      </c>
      <c r="D2751" s="8" t="s">
        <v>4029</v>
      </c>
      <c r="E2751" s="8" t="s">
        <v>12</v>
      </c>
      <c r="F2751" s="8" t="s">
        <v>13</v>
      </c>
      <c r="G2751" s="8" t="s">
        <v>241</v>
      </c>
      <c r="H2751" s="16">
        <v>0.0</v>
      </c>
      <c r="I2751" s="15" t="str">
        <f>SUBSTITUTE(Sheet1!K2751, "Rp", "")</f>
        <v>0</v>
      </c>
    </row>
    <row r="2752">
      <c r="A2752" s="8" t="s">
        <v>4030</v>
      </c>
      <c r="B2752" s="13" t="str">
        <f>HYPERLINK("https://shopee.co.id/Aesthetic-Bluepin-Excellen-C-Face-Serum-White-Glow-i.54874680.9971988416", "https://shopee.co.id/Aesthetic-Bluepin-Excellen-C-Face-Serum-White-Glow-i.54874680.9971988416")</f>
        <v>https://shopee.co.id/Aesthetic-Bluepin-Excellen-C-Face-Serum-White-Glow-i.54874680.9971988416</v>
      </c>
      <c r="C2752" s="8" t="s">
        <v>1424</v>
      </c>
      <c r="D2752" s="8" t="s">
        <v>4029</v>
      </c>
      <c r="E2752" s="8" t="s">
        <v>12</v>
      </c>
      <c r="F2752" s="8" t="s">
        <v>13</v>
      </c>
      <c r="G2752" s="8" t="s">
        <v>241</v>
      </c>
      <c r="H2752" s="16">
        <v>0.0</v>
      </c>
      <c r="I2752" s="15" t="str">
        <f>SUBSTITUTE(Sheet1!K2752, "Rp", "")</f>
        <v>0</v>
      </c>
    </row>
    <row r="2753">
      <c r="A2753" s="8" t="s">
        <v>4031</v>
      </c>
      <c r="B2753" s="13" t="str">
        <f>HYPERLINK("https://shopee.co.id/Aesthetic-Bluepin-White-Glow-Serum-i.54874680.3892751125", "https://shopee.co.id/Aesthetic-Bluepin-White-Glow-Serum-i.54874680.3892751125")</f>
        <v>https://shopee.co.id/Aesthetic-Bluepin-White-Glow-Serum-i.54874680.3892751125</v>
      </c>
      <c r="C2753" s="8" t="s">
        <v>1424</v>
      </c>
      <c r="D2753" s="8" t="s">
        <v>4029</v>
      </c>
      <c r="E2753" s="8" t="s">
        <v>12</v>
      </c>
      <c r="F2753" s="8" t="s">
        <v>13</v>
      </c>
      <c r="G2753" s="8" t="s">
        <v>241</v>
      </c>
      <c r="H2753" s="16">
        <v>0.0</v>
      </c>
      <c r="I2753" s="15" t="str">
        <f>SUBSTITUTE(Sheet1!K2753, "Rp", "")</f>
        <v>0</v>
      </c>
    </row>
    <row r="2754">
      <c r="A2754" s="8" t="s">
        <v>4032</v>
      </c>
      <c r="B2754" s="13" t="str">
        <f>HYPERLINK("https://shopee.co.id/Aesthetic-Excellen-C-Face-Serum-18ml-i.10689.5040965443", "https://shopee.co.id/Aesthetic-Excellen-C-Face-Serum-18ml-i.10689.5040965443")</f>
        <v>https://shopee.co.id/Aesthetic-Excellen-C-Face-Serum-18ml-i.10689.5040965443</v>
      </c>
      <c r="C2754" s="8" t="s">
        <v>1424</v>
      </c>
      <c r="D2754" s="8" t="s">
        <v>745</v>
      </c>
      <c r="E2754" s="8" t="s">
        <v>12</v>
      </c>
      <c r="F2754" s="8" t="s">
        <v>13</v>
      </c>
      <c r="G2754" s="8" t="s">
        <v>61</v>
      </c>
      <c r="H2754" s="16">
        <v>0.0</v>
      </c>
      <c r="I2754" s="15" t="str">
        <f>SUBSTITUTE(Sheet1!K2754, "Rp", "")</f>
        <v>0</v>
      </c>
    </row>
    <row r="2755">
      <c r="A2755" s="8" t="s">
        <v>4033</v>
      </c>
      <c r="B2755" s="13" t="str">
        <f>HYPERLINK("https://shopee.co.id/AGE-20-s-Jericho-Rose-Sheer-Serum-Base-i.227589586.11310543880", "https://shopee.co.id/AGE-20-s-Jericho-Rose-Sheer-Serum-Base-i.227589586.11310543880")</f>
        <v>https://shopee.co.id/AGE-20-s-Jericho-Rose-Sheer-Serum-Base-i.227589586.11310543880</v>
      </c>
      <c r="C2755" s="8" t="s">
        <v>3200</v>
      </c>
      <c r="D2755" s="8" t="s">
        <v>3201</v>
      </c>
      <c r="E2755" s="8" t="s">
        <v>12</v>
      </c>
      <c r="F2755" s="8" t="s">
        <v>13</v>
      </c>
      <c r="G2755" s="8" t="s">
        <v>98</v>
      </c>
      <c r="H2755" s="16">
        <v>0.0</v>
      </c>
      <c r="I2755" s="15" t="str">
        <f>SUBSTITUTE(Sheet1!K2755, "Rp", "")</f>
        <v>0</v>
      </c>
    </row>
    <row r="2756">
      <c r="A2756" s="8" t="s">
        <v>4034</v>
      </c>
      <c r="B2756" s="13" t="str">
        <f>HYPERLINK("https://shopee.co.id/AHC-Peony-Bright-Luminous-Serum-i.68111.7582399217", "https://shopee.co.id/AHC-Peony-Bright-Luminous-Serum-i.68111.7582399217")</f>
        <v>https://shopee.co.id/AHC-Peony-Bright-Luminous-Serum-i.68111.7582399217</v>
      </c>
      <c r="C2756" s="8" t="s">
        <v>2053</v>
      </c>
      <c r="D2756" s="8" t="s">
        <v>441</v>
      </c>
      <c r="E2756" s="8" t="s">
        <v>12</v>
      </c>
      <c r="F2756" s="8" t="s">
        <v>13</v>
      </c>
      <c r="G2756" s="8" t="s">
        <v>130</v>
      </c>
      <c r="H2756" s="16">
        <v>0.0</v>
      </c>
      <c r="I2756" s="15" t="str">
        <f>SUBSTITUTE(Sheet1!K2756, "Rp", "")</f>
        <v>0</v>
      </c>
    </row>
    <row r="2757">
      <c r="A2757" s="8" t="s">
        <v>4035</v>
      </c>
      <c r="B2757" s="13" t="str">
        <f>HYPERLINK("https://shopee.co.id/Ahc-Peony-Bright-Luminous-Serum-40ml-i.30736001.6587749325", "https://shopee.co.id/Ahc-Peony-Bright-Luminous-Serum-40ml-i.30736001.6587749325")</f>
        <v>https://shopee.co.id/Ahc-Peony-Bright-Luminous-Serum-40ml-i.30736001.6587749325</v>
      </c>
      <c r="C2757" s="8" t="s">
        <v>2053</v>
      </c>
      <c r="D2757" s="8" t="s">
        <v>335</v>
      </c>
      <c r="E2757" s="8" t="s">
        <v>12</v>
      </c>
      <c r="F2757" s="8" t="s">
        <v>13</v>
      </c>
      <c r="G2757" s="8" t="s">
        <v>36</v>
      </c>
      <c r="H2757" s="16">
        <v>0.0</v>
      </c>
      <c r="I2757" s="15" t="str">
        <f>SUBSTITUTE(Sheet1!K2757, "Rp", "")</f>
        <v>0</v>
      </c>
    </row>
    <row r="2758">
      <c r="A2758" s="8" t="s">
        <v>4036</v>
      </c>
      <c r="B2758" s="13" t="str">
        <f>HYPERLINK("https://shopee.co.id/AHC-The-Aesthe-Youth-Serum-size-30ml-Edit-by-Sociolla-i.224957239.3731646527", "https://shopee.co.id/AHC-The-Aesthe-Youth-Serum-size-30ml-Edit-by-Sociolla-i.224957239.3731646527")</f>
        <v>https://shopee.co.id/AHC-The-Aesthe-Youth-Serum-size-30ml-Edit-by-Sociolla-i.224957239.3731646527</v>
      </c>
      <c r="C2758" s="8" t="s">
        <v>2053</v>
      </c>
      <c r="D2758" s="8" t="s">
        <v>492</v>
      </c>
      <c r="E2758" s="8" t="s">
        <v>12</v>
      </c>
      <c r="F2758" s="8" t="s">
        <v>13</v>
      </c>
      <c r="G2758" s="8" t="s">
        <v>21</v>
      </c>
      <c r="H2758" s="16">
        <v>0.0</v>
      </c>
      <c r="I2758" s="15" t="str">
        <f>SUBSTITUTE(Sheet1!K2758, "Rp", "")</f>
        <v>0</v>
      </c>
    </row>
    <row r="2759">
      <c r="A2759" s="8" t="s">
        <v>4037</v>
      </c>
      <c r="B2759" s="13" t="str">
        <f>HYPERLINK("https://shopee.co.id/Aish-Acne-Serum-Penghilang-Jerawat-Pencerah-Wajah-BPOM-Merawat-Kulit-Jerawat-Pencerah-Wajah-Bisa-COD-i.279468047.11701662635", "https://shopee.co.id/Aish-Acne-Serum-Penghilang-Jerawat-Pencerah-Wajah-BPOM-Merawat-Kulit-Jerawat-Pencerah-Wajah-Bisa-COD-i.279468047.11701662635")</f>
        <v>https://shopee.co.id/Aish-Acne-Serum-Penghilang-Jerawat-Pencerah-Wajah-BPOM-Merawat-Kulit-Jerawat-Pencerah-Wajah-Bisa-COD-i.279468047.11701662635</v>
      </c>
      <c r="C2759" s="8" t="s">
        <v>4038</v>
      </c>
      <c r="D2759" s="8" t="s">
        <v>2503</v>
      </c>
      <c r="E2759" s="8" t="s">
        <v>12</v>
      </c>
      <c r="F2759" s="8" t="s">
        <v>13</v>
      </c>
      <c r="G2759" s="8" t="s">
        <v>115</v>
      </c>
      <c r="H2759" s="16">
        <v>0.0</v>
      </c>
      <c r="I2759" s="15" t="str">
        <f>SUBSTITUTE(Sheet1!K2759, "Rp", "")</f>
        <v>0</v>
      </c>
    </row>
    <row r="2760">
      <c r="A2760" s="8" t="s">
        <v>4039</v>
      </c>
      <c r="B2760" s="13" t="str">
        <f>HYPERLINK("https://shopee.co.id/AKANO-Cosmetics-Gold-Serum-Brightening-i.285742928.6486505913", "https://shopee.co.id/AKANO-Cosmetics-Gold-Serum-Brightening-i.285742928.6486505913")</f>
        <v>https://shopee.co.id/AKANO-Cosmetics-Gold-Serum-Brightening-i.285742928.6486505913</v>
      </c>
      <c r="C2760" s="8" t="s">
        <v>3828</v>
      </c>
      <c r="D2760" s="8" t="s">
        <v>3829</v>
      </c>
      <c r="E2760" s="8" t="s">
        <v>12</v>
      </c>
      <c r="F2760" s="8" t="s">
        <v>13</v>
      </c>
      <c r="G2760" s="8" t="s">
        <v>61</v>
      </c>
      <c r="H2760" s="16">
        <v>0.0</v>
      </c>
      <c r="I2760" s="15" t="str">
        <f>SUBSTITUTE(Sheet1!K2760, "Rp", "")</f>
        <v>0</v>
      </c>
    </row>
    <row r="2761">
      <c r="A2761" s="8" t="s">
        <v>4040</v>
      </c>
      <c r="B2761" s="13" t="str">
        <f>HYPERLINK("https://shopee.co.id/Aknema-Advanced-Hydrating-Serum-Booster-100ml-i.825870.3580840899", "https://shopee.co.id/Aknema-Advanced-Hydrating-Serum-Booster-100ml-i.825870.3580840899")</f>
        <v>https://shopee.co.id/Aknema-Advanced-Hydrating-Serum-Booster-100ml-i.825870.3580840899</v>
      </c>
      <c r="C2761" s="8" t="s">
        <v>1912</v>
      </c>
      <c r="D2761" s="8" t="s">
        <v>1184</v>
      </c>
      <c r="E2761" s="8" t="s">
        <v>12</v>
      </c>
      <c r="F2761" s="8" t="s">
        <v>13</v>
      </c>
      <c r="G2761" s="8" t="s">
        <v>21</v>
      </c>
      <c r="H2761" s="16">
        <v>0.0</v>
      </c>
      <c r="I2761" s="15" t="str">
        <f>SUBSTITUTE(Sheet1!K2761, "Rp", "")</f>
        <v>0</v>
      </c>
    </row>
    <row r="2762">
      <c r="A2762" s="8" t="s">
        <v>4041</v>
      </c>
      <c r="B2762" s="13" t="str">
        <f>HYPERLINK("https://shopee.co.id/Aknema-Advanced-Hydrating-Serum-Booster-100ml-i.10689.9721428126", "https://shopee.co.id/Aknema-Advanced-Hydrating-Serum-Booster-100ml-i.10689.9721428126")</f>
        <v>https://shopee.co.id/Aknema-Advanced-Hydrating-Serum-Booster-100ml-i.10689.9721428126</v>
      </c>
      <c r="C2762" s="8" t="s">
        <v>1912</v>
      </c>
      <c r="D2762" s="8" t="s">
        <v>745</v>
      </c>
      <c r="E2762" s="8" t="s">
        <v>12</v>
      </c>
      <c r="F2762" s="8" t="s">
        <v>13</v>
      </c>
      <c r="G2762" s="8" t="s">
        <v>61</v>
      </c>
      <c r="H2762" s="16">
        <v>0.0</v>
      </c>
      <c r="I2762" s="15" t="str">
        <f>SUBSTITUTE(Sheet1!K2762, "Rp", "")</f>
        <v>0</v>
      </c>
    </row>
    <row r="2763">
      <c r="A2763" s="8" t="s">
        <v>4042</v>
      </c>
      <c r="B2763" s="13" t="str">
        <f>HYPERLINK("https://shopee.co.id/Amaranthine-Angelic-Skin-Face-Lifting-Serum-Q72780-i.199182536.3209747519", "https://shopee.co.id/Amaranthine-Angelic-Skin-Face-Lifting-Serum-Q72780-i.199182536.3209747519")</f>
        <v>https://shopee.co.id/Amaranthine-Angelic-Skin-Face-Lifting-Serum-Q72780-i.199182536.3209747519</v>
      </c>
      <c r="C2763" s="8" t="s">
        <v>3638</v>
      </c>
      <c r="D2763" s="8" t="s">
        <v>3639</v>
      </c>
      <c r="E2763" s="8" t="s">
        <v>12</v>
      </c>
      <c r="F2763" s="8" t="s">
        <v>13</v>
      </c>
      <c r="G2763" s="8" t="s">
        <v>1048</v>
      </c>
      <c r="H2763" s="16">
        <v>0.0</v>
      </c>
      <c r="I2763" s="15" t="str">
        <f>SUBSTITUTE(Sheet1!K2763, "Rp", "")</f>
        <v>0</v>
      </c>
    </row>
    <row r="2764">
      <c r="A2764" s="8" t="s">
        <v>4043</v>
      </c>
      <c r="B2764" s="13" t="str">
        <f>HYPERLINK("https://shopee.co.id/Amaranthine-Lineage-Complex-Dermo-Lifting-Serum-Q74055-i.199182536.6509574888", "https://shopee.co.id/Amaranthine-Lineage-Complex-Dermo-Lifting-Serum-Q74055-i.199182536.6509574888")</f>
        <v>https://shopee.co.id/Amaranthine-Lineage-Complex-Dermo-Lifting-Serum-Q74055-i.199182536.6509574888</v>
      </c>
      <c r="C2764" s="8" t="s">
        <v>3638</v>
      </c>
      <c r="D2764" s="8" t="s">
        <v>3639</v>
      </c>
      <c r="E2764" s="8" t="s">
        <v>12</v>
      </c>
      <c r="F2764" s="8" t="s">
        <v>13</v>
      </c>
      <c r="G2764" s="8" t="s">
        <v>1048</v>
      </c>
      <c r="H2764" s="16">
        <v>0.0</v>
      </c>
      <c r="I2764" s="15" t="str">
        <f>SUBSTITUTE(Sheet1!K2764, "Rp", "")</f>
        <v>0</v>
      </c>
    </row>
    <row r="2765">
      <c r="A2765" s="8" t="s">
        <v>4044</v>
      </c>
      <c r="B2765" s="13" t="str">
        <f>HYPERLINK("https://shopee.co.id/Amaranthine-Ultimate-Intensive-White-C-Radiance-Skin-Serum-Q74033-i.199182536.7409544447", "https://shopee.co.id/Amaranthine-Ultimate-Intensive-White-C-Radiance-Skin-Serum-Q74033-i.199182536.7409544447")</f>
        <v>https://shopee.co.id/Amaranthine-Ultimate-Intensive-White-C-Radiance-Skin-Serum-Q74033-i.199182536.7409544447</v>
      </c>
      <c r="C2765" s="8" t="s">
        <v>3638</v>
      </c>
      <c r="D2765" s="8" t="s">
        <v>3639</v>
      </c>
      <c r="E2765" s="8" t="s">
        <v>12</v>
      </c>
      <c r="F2765" s="8" t="s">
        <v>13</v>
      </c>
      <c r="G2765" s="8" t="s">
        <v>1048</v>
      </c>
      <c r="H2765" s="16">
        <v>0.0</v>
      </c>
      <c r="I2765" s="15" t="str">
        <f>SUBSTITUTE(Sheet1!K2765, "Rp", "")</f>
        <v>0</v>
      </c>
    </row>
    <row r="2766">
      <c r="A2766" s="8" t="s">
        <v>4045</v>
      </c>
      <c r="B2766" s="13" t="str">
        <f>HYPERLINK("https://shopee.co.id/APOTCARE-RESVERATROL-Pure-Serum-5-Booster-antioxydant-10ml-i.37242565.5828075434", "https://shopee.co.id/APOTCARE-RESVERATROL-Pure-Serum-5-Booster-antioxydant-10ml-i.37242565.5828075434")</f>
        <v>https://shopee.co.id/APOTCARE-RESVERATROL-Pure-Serum-5-Booster-antioxydant-10ml-i.37242565.5828075434</v>
      </c>
      <c r="C2766" s="8" t="s">
        <v>4046</v>
      </c>
      <c r="D2766" s="8" t="s">
        <v>2157</v>
      </c>
      <c r="E2766" s="8" t="s">
        <v>12</v>
      </c>
      <c r="F2766" s="8" t="s">
        <v>13</v>
      </c>
      <c r="G2766" s="8" t="s">
        <v>98</v>
      </c>
      <c r="H2766" s="16">
        <v>0.0</v>
      </c>
      <c r="I2766" s="15" t="str">
        <f>SUBSTITUTE(Sheet1!K2766, "Rp", "")</f>
        <v>0</v>
      </c>
    </row>
    <row r="2767">
      <c r="A2767" s="8" t="s">
        <v>4047</v>
      </c>
      <c r="B2767" s="13" t="str">
        <f>HYPERLINK("https://shopee.co.id/Aqua-Series-Enriched-C-Serum-15-ml--i.275669190.8164784767", "https://shopee.co.id/Aqua-Series-Enriched-C-Serum-15-ml--i.275669190.8164784767")</f>
        <v>https://shopee.co.id/Aqua-Series-Enriched-C-Serum-15-ml--i.275669190.8164784767</v>
      </c>
      <c r="C2767" s="8" t="s">
        <v>2702</v>
      </c>
      <c r="D2767" s="8" t="s">
        <v>4048</v>
      </c>
      <c r="E2767" s="8" t="s">
        <v>12</v>
      </c>
      <c r="F2767" s="8" t="s">
        <v>13</v>
      </c>
      <c r="G2767" s="8" t="s">
        <v>80</v>
      </c>
      <c r="H2767" s="16">
        <v>0.0</v>
      </c>
      <c r="I2767" s="15" t="str">
        <f>SUBSTITUTE(Sheet1!K2767, "Rp", "")</f>
        <v>0</v>
      </c>
    </row>
    <row r="2768">
      <c r="A2768" s="8" t="s">
        <v>4049</v>
      </c>
      <c r="B2768" s="13" t="str">
        <f>HYPERLINK("https://shopee.co.id/Aqua-Series-Radiance-Intensive-Essence-30-ml--i.275669190.7191287722", "https://shopee.co.id/Aqua-Series-Radiance-Intensive-Essence-30-ml--i.275669190.7191287722")</f>
        <v>https://shopee.co.id/Aqua-Series-Radiance-Intensive-Essence-30-ml--i.275669190.7191287722</v>
      </c>
      <c r="C2768" s="8" t="s">
        <v>2702</v>
      </c>
      <c r="D2768" s="8" t="s">
        <v>4048</v>
      </c>
      <c r="E2768" s="8" t="s">
        <v>12</v>
      </c>
      <c r="F2768" s="8" t="s">
        <v>13</v>
      </c>
      <c r="G2768" s="8" t="s">
        <v>80</v>
      </c>
      <c r="H2768" s="16">
        <v>0.0</v>
      </c>
      <c r="I2768" s="15" t="str">
        <f>SUBSTITUTE(Sheet1!K2768, "Rp", "")</f>
        <v>0</v>
      </c>
    </row>
    <row r="2769">
      <c r="A2769" s="8" t="s">
        <v>4050</v>
      </c>
      <c r="B2769" s="13" t="str">
        <f>HYPERLINK("https://shopee.co.id/Aqua-Series-Enriched-C-Serum-15ml-i.825870.7334611004", "https://shopee.co.id/Aqua-Series-Enriched-C-Serum-15ml-i.825870.7334611004")</f>
        <v>https://shopee.co.id/Aqua-Series-Enriched-C-Serum-15ml-i.825870.7334611004</v>
      </c>
      <c r="C2769" s="8" t="s">
        <v>2702</v>
      </c>
      <c r="D2769" s="8" t="s">
        <v>1184</v>
      </c>
      <c r="E2769" s="8" t="s">
        <v>12</v>
      </c>
      <c r="F2769" s="8" t="s">
        <v>13</v>
      </c>
      <c r="G2769" s="8" t="s">
        <v>21</v>
      </c>
      <c r="H2769" s="16">
        <v>0.0</v>
      </c>
      <c r="I2769" s="15" t="str">
        <f>SUBSTITUTE(Sheet1!K2769, "Rp", "")</f>
        <v>0</v>
      </c>
    </row>
    <row r="2770">
      <c r="A2770" s="8" t="s">
        <v>4051</v>
      </c>
      <c r="B2770" s="13" t="str">
        <f>HYPERLINK("https://shopee.co.id/Aqua-Series-Private-Enriched-Serum-30ml-i.825870.2018116121", "https://shopee.co.id/Aqua-Series-Private-Enriched-Serum-30ml-i.825870.2018116121")</f>
        <v>https://shopee.co.id/Aqua-Series-Private-Enriched-Serum-30ml-i.825870.2018116121</v>
      </c>
      <c r="C2770" s="8" t="s">
        <v>2702</v>
      </c>
      <c r="D2770" s="8" t="s">
        <v>1184</v>
      </c>
      <c r="E2770" s="8" t="s">
        <v>12</v>
      </c>
      <c r="F2770" s="8" t="s">
        <v>13</v>
      </c>
      <c r="G2770" s="8" t="s">
        <v>21</v>
      </c>
      <c r="H2770" s="16">
        <v>0.0</v>
      </c>
      <c r="I2770" s="15" t="str">
        <f>SUBSTITUTE(Sheet1!K2770, "Rp", "")</f>
        <v>0</v>
      </c>
    </row>
    <row r="2771">
      <c r="A2771" s="8" t="s">
        <v>2701</v>
      </c>
      <c r="B2771" s="13" t="str">
        <f>HYPERLINK("https://shopee.co.id/Aqua-Series-Radiance-Intensive-Essence-30ml-i.110573301.7363310692", "https://shopee.co.id/Aqua-Series-Radiance-Intensive-Essence-30ml-i.110573301.7363310692")</f>
        <v>https://shopee.co.id/Aqua-Series-Radiance-Intensive-Essence-30ml-i.110573301.7363310692</v>
      </c>
      <c r="C2771" s="8" t="s">
        <v>2702</v>
      </c>
      <c r="D2771" s="8" t="s">
        <v>227</v>
      </c>
      <c r="E2771" s="8" t="s">
        <v>12</v>
      </c>
      <c r="F2771" s="8" t="s">
        <v>13</v>
      </c>
      <c r="G2771" s="8" t="s">
        <v>61</v>
      </c>
      <c r="H2771" s="16">
        <v>0.0</v>
      </c>
      <c r="I2771" s="15" t="str">
        <f>SUBSTITUTE(Sheet1!K2771, "Rp", "")</f>
        <v>0</v>
      </c>
    </row>
    <row r="2772">
      <c r="A2772" s="8" t="s">
        <v>4052</v>
      </c>
      <c r="B2772" s="13" t="str">
        <f>HYPERLINK("https://shopee.co.id/Ariul-Watermelon-Hydro-Glow-Serum-55ml-i.30736001.11412281200", "https://shopee.co.id/Ariul-Watermelon-Hydro-Glow-Serum-55ml-i.30736001.11412281200")</f>
        <v>https://shopee.co.id/Ariul-Watermelon-Hydro-Glow-Serum-55ml-i.30736001.11412281200</v>
      </c>
      <c r="C2772" s="8" t="s">
        <v>2350</v>
      </c>
      <c r="D2772" s="8" t="s">
        <v>335</v>
      </c>
      <c r="E2772" s="8" t="s">
        <v>12</v>
      </c>
      <c r="F2772" s="8" t="s">
        <v>13</v>
      </c>
      <c r="G2772" s="8" t="s">
        <v>36</v>
      </c>
      <c r="H2772" s="16">
        <v>0.0</v>
      </c>
      <c r="I2772" s="15" t="str">
        <f>SUBSTITUTE(Sheet1!K2772, "Rp", "")</f>
        <v>0</v>
      </c>
    </row>
    <row r="2773">
      <c r="A2773" s="8" t="s">
        <v>4053</v>
      </c>
      <c r="B2773" s="13" t="str">
        <f>HYPERLINK("https://shopee.co.id/Aromatica-Reviving-Rose-Infusion-Serum-100-ml-i.295368428.7546039030", "https://shopee.co.id/Aromatica-Reviving-Rose-Infusion-Serum-100-ml-i.295368428.7546039030")</f>
        <v>https://shopee.co.id/Aromatica-Reviving-Rose-Infusion-Serum-100-ml-i.295368428.7546039030</v>
      </c>
      <c r="C2773" s="8" t="s">
        <v>4054</v>
      </c>
      <c r="D2773" s="8" t="s">
        <v>4055</v>
      </c>
      <c r="E2773" s="8" t="s">
        <v>12</v>
      </c>
      <c r="F2773" s="8" t="s">
        <v>13</v>
      </c>
      <c r="G2773" s="8" t="s">
        <v>98</v>
      </c>
      <c r="H2773" s="16">
        <v>0.0</v>
      </c>
      <c r="I2773" s="15" t="str">
        <f>SUBSTITUTE(Sheet1!K2773, "Rp", "")</f>
        <v>0</v>
      </c>
    </row>
    <row r="2774">
      <c r="A2774" s="8" t="s">
        <v>4056</v>
      </c>
      <c r="B2774" s="13" t="str">
        <f>HYPERLINK("https://shopee.co.id/Aromatica-Rose-Absolute-First-Serum-130ml-i.217228783.3414624490", "https://shopee.co.id/Aromatica-Rose-Absolute-First-Serum-130ml-i.217228783.3414624490")</f>
        <v>https://shopee.co.id/Aromatica-Rose-Absolute-First-Serum-130ml-i.217228783.3414624490</v>
      </c>
      <c r="C2774" s="8" t="s">
        <v>4054</v>
      </c>
      <c r="D2774" s="8" t="s">
        <v>4057</v>
      </c>
      <c r="E2774" s="8" t="s">
        <v>12</v>
      </c>
      <c r="F2774" s="8" t="s">
        <v>13</v>
      </c>
      <c r="G2774" s="8" t="s">
        <v>98</v>
      </c>
      <c r="H2774" s="16">
        <v>0.0</v>
      </c>
      <c r="I2774" s="15" t="str">
        <f>SUBSTITUTE(Sheet1!K2774, "Rp", "")</f>
        <v>0</v>
      </c>
    </row>
    <row r="2775">
      <c r="A2775" s="8" t="s">
        <v>4058</v>
      </c>
      <c r="B2775" s="13" t="str">
        <f>HYPERLINK("https://shopee.co.id/ASTALIFT-ESSENCE-DESTINY-30-ML-i.104888237.5542163431", "https://shopee.co.id/ASTALIFT-ESSENCE-DESTINY-30-ML-i.104888237.5542163431")</f>
        <v>https://shopee.co.id/ASTALIFT-ESSENCE-DESTINY-30-ML-i.104888237.5542163431</v>
      </c>
      <c r="C2775" s="8" t="s">
        <v>1529</v>
      </c>
      <c r="D2775" s="8" t="s">
        <v>1530</v>
      </c>
      <c r="E2775" s="8" t="s">
        <v>12</v>
      </c>
      <c r="F2775" s="8" t="s">
        <v>13</v>
      </c>
      <c r="G2775" s="8" t="s">
        <v>61</v>
      </c>
      <c r="H2775" s="16">
        <v>0.0</v>
      </c>
      <c r="I2775" s="15" t="str">
        <f>SUBSTITUTE(Sheet1!K2775, "Rp", "")</f>
        <v>0</v>
      </c>
    </row>
    <row r="2776">
      <c r="A2776" s="8" t="s">
        <v>4059</v>
      </c>
      <c r="B2776" s="13" t="str">
        <f>HYPERLINK("https://shopee.co.id/ASTALIFT-GIFT-SET-JELLY-AQUARYSTA-60-GR-INFOCUS-CELLATIVE-SERUM-30ML-i.104888237.3033603918", "https://shopee.co.id/ASTALIFT-GIFT-SET-JELLY-AQUARYSTA-60-GR-INFOCUS-CELLATIVE-SERUM-30ML-i.104888237.3033603918")</f>
        <v>https://shopee.co.id/ASTALIFT-GIFT-SET-JELLY-AQUARYSTA-60-GR-INFOCUS-CELLATIVE-SERUM-30ML-i.104888237.3033603918</v>
      </c>
      <c r="C2776" s="8" t="s">
        <v>1529</v>
      </c>
      <c r="D2776" s="8" t="s">
        <v>1530</v>
      </c>
      <c r="E2776" s="8" t="s">
        <v>12</v>
      </c>
      <c r="F2776" s="8" t="s">
        <v>13</v>
      </c>
      <c r="G2776" s="8" t="s">
        <v>61</v>
      </c>
      <c r="H2776" s="16">
        <v>0.0</v>
      </c>
      <c r="I2776" s="15" t="str">
        <f>SUBSTITUTE(Sheet1!K2776, "Rp", "")</f>
        <v>0</v>
      </c>
    </row>
    <row r="2777">
      <c r="A2777" s="8" t="s">
        <v>4060</v>
      </c>
      <c r="B2777" s="13" t="str">
        <f>HYPERLINK("https://shopee.co.id/Aura-Bright-Glutathione-Vit-C-i.127215672.5062406085", "https://shopee.co.id/Aura-Bright-Glutathione-Vit-C-i.127215672.5062406085")</f>
        <v>https://shopee.co.id/Aura-Bright-Glutathione-Vit-C-i.127215672.5062406085</v>
      </c>
      <c r="C2777" s="8" t="s">
        <v>90</v>
      </c>
      <c r="D2777" s="8" t="s">
        <v>91</v>
      </c>
      <c r="E2777" s="8" t="s">
        <v>12</v>
      </c>
      <c r="F2777" s="8" t="s">
        <v>13</v>
      </c>
      <c r="G2777" s="8" t="s">
        <v>21</v>
      </c>
      <c r="H2777" s="16">
        <v>0.0</v>
      </c>
      <c r="I2777" s="15" t="str">
        <f>SUBSTITUTE(Sheet1!K2777, "Rp", "")</f>
        <v>0</v>
      </c>
    </row>
    <row r="2778">
      <c r="A2778" s="8" t="s">
        <v>4061</v>
      </c>
      <c r="B2778" s="13" t="str">
        <f>HYPERLINK("https://shopee.co.id/Avoskin-Hydrating-Treatment-Essence-100-ml-i.53497038.7736326139", "https://shopee.co.id/Avoskin-Hydrating-Treatment-Essence-100-ml-i.53497038.7736326139")</f>
        <v>https://shopee.co.id/Avoskin-Hydrating-Treatment-Essence-100-ml-i.53497038.7736326139</v>
      </c>
      <c r="C2778" s="8" t="s">
        <v>83</v>
      </c>
      <c r="D2778" s="8" t="s">
        <v>907</v>
      </c>
      <c r="E2778" s="8" t="s">
        <v>12</v>
      </c>
      <c r="F2778" s="8" t="s">
        <v>13</v>
      </c>
      <c r="G2778" s="8" t="s">
        <v>61</v>
      </c>
      <c r="H2778" s="16">
        <v>0.0</v>
      </c>
      <c r="I2778" s="15" t="str">
        <f>SUBSTITUTE(Sheet1!K2778, "Rp", "")</f>
        <v>0</v>
      </c>
    </row>
    <row r="2779">
      <c r="A2779" s="8" t="s">
        <v>4062</v>
      </c>
      <c r="B2779" s="13" t="str">
        <f>HYPERLINK("https://shopee.co.id/Avoskin-Hydrating-Treatment-Essence-Spray-New-Formula-i.136011044.3350775940", "https://shopee.co.id/Avoskin-Hydrating-Treatment-Essence-Spray-New-Formula-i.136011044.3350775940")</f>
        <v>https://shopee.co.id/Avoskin-Hydrating-Treatment-Essence-Spray-New-Formula-i.136011044.3350775940</v>
      </c>
      <c r="C2779" s="8" t="s">
        <v>83</v>
      </c>
      <c r="D2779" s="8" t="s">
        <v>632</v>
      </c>
      <c r="E2779" s="8" t="s">
        <v>12</v>
      </c>
      <c r="F2779" s="8" t="s">
        <v>13</v>
      </c>
      <c r="G2779" s="8" t="s">
        <v>21</v>
      </c>
      <c r="H2779" s="16">
        <v>0.0</v>
      </c>
      <c r="I2779" s="15" t="str">
        <f>SUBSTITUTE(Sheet1!K2779, "Rp", "")</f>
        <v>0</v>
      </c>
    </row>
    <row r="2780">
      <c r="A2780" s="8" t="s">
        <v>4063</v>
      </c>
      <c r="B2780" s="13" t="str">
        <f>HYPERLINK("https://shopee.co.id/AVOSKIN-MIRACULOUS-REFINING-SERUM-30-ML-i.53497038.4336330840", "https://shopee.co.id/AVOSKIN-MIRACULOUS-REFINING-SERUM-30-ML-i.53497038.4336330840")</f>
        <v>https://shopee.co.id/AVOSKIN-MIRACULOUS-REFINING-SERUM-30-ML-i.53497038.4336330840</v>
      </c>
      <c r="C2780" s="8" t="s">
        <v>83</v>
      </c>
      <c r="D2780" s="8" t="s">
        <v>907</v>
      </c>
      <c r="E2780" s="8" t="s">
        <v>12</v>
      </c>
      <c r="F2780" s="8" t="s">
        <v>13</v>
      </c>
      <c r="G2780" s="8" t="s">
        <v>61</v>
      </c>
      <c r="H2780" s="16">
        <v>0.0</v>
      </c>
      <c r="I2780" s="15" t="str">
        <f>SUBSTITUTE(Sheet1!K2780, "Rp", "")</f>
        <v>0</v>
      </c>
    </row>
    <row r="2781">
      <c r="A2781" s="8" t="s">
        <v>1036</v>
      </c>
      <c r="B2781" s="13" t="str">
        <f>HYPERLINK("https://shopee.co.id/Avoskin-Perfect-Hydrating-Treatment-Essence-i.446750719.6092438853", "https://shopee.co.id/Avoskin-Perfect-Hydrating-Treatment-Essence-i.446750719.6092438853")</f>
        <v>https://shopee.co.id/Avoskin-Perfect-Hydrating-Treatment-Essence-i.446750719.6092438853</v>
      </c>
      <c r="C2781" s="8" t="s">
        <v>83</v>
      </c>
      <c r="D2781" s="8" t="s">
        <v>4064</v>
      </c>
      <c r="E2781" s="8" t="s">
        <v>12</v>
      </c>
      <c r="F2781" s="8" t="s">
        <v>13</v>
      </c>
      <c r="G2781" s="8" t="s">
        <v>98</v>
      </c>
      <c r="H2781" s="16">
        <v>0.0</v>
      </c>
      <c r="I2781" s="15" t="str">
        <f>SUBSTITUTE(Sheet1!K2781, "Rp", "")</f>
        <v>0</v>
      </c>
    </row>
    <row r="2782">
      <c r="A2782" s="8" t="s">
        <v>4065</v>
      </c>
      <c r="B2782" s="13" t="str">
        <f>HYPERLINK("https://shopee.co.id/Avoskin-Perfect-Hydrating-Treatment-Essence-100-ml-i.17081863.9315025195", "https://shopee.co.id/Avoskin-Perfect-Hydrating-Treatment-Essence-100-ml-i.17081863.9315025195")</f>
        <v>https://shopee.co.id/Avoskin-Perfect-Hydrating-Treatment-Essence-100-ml-i.17081863.9315025195</v>
      </c>
      <c r="C2782" s="8" t="s">
        <v>83</v>
      </c>
      <c r="D2782" s="8" t="s">
        <v>2497</v>
      </c>
      <c r="E2782" s="8" t="s">
        <v>12</v>
      </c>
      <c r="F2782" s="8" t="s">
        <v>13</v>
      </c>
      <c r="G2782" s="8" t="s">
        <v>21</v>
      </c>
      <c r="H2782" s="16">
        <v>0.0</v>
      </c>
      <c r="I2782" s="15" t="str">
        <f>SUBSTITUTE(Sheet1!K2782, "Rp", "")</f>
        <v>0</v>
      </c>
    </row>
    <row r="2783">
      <c r="A2783" s="8" t="s">
        <v>4066</v>
      </c>
      <c r="B2783" s="13" t="str">
        <f>HYPERLINK("https://shopee.co.id/Avoskin-Perfect-Hydrating-Treatment-Essence-30-ml-i.53497038.5136327955", "https://shopee.co.id/Avoskin-Perfect-Hydrating-Treatment-Essence-30-ml-i.53497038.5136327955")</f>
        <v>https://shopee.co.id/Avoskin-Perfect-Hydrating-Treatment-Essence-30-ml-i.53497038.5136327955</v>
      </c>
      <c r="C2783" s="8" t="s">
        <v>83</v>
      </c>
      <c r="D2783" s="8" t="s">
        <v>907</v>
      </c>
      <c r="E2783" s="8" t="s">
        <v>12</v>
      </c>
      <c r="F2783" s="8" t="s">
        <v>13</v>
      </c>
      <c r="G2783" s="8" t="s">
        <v>61</v>
      </c>
      <c r="H2783" s="16">
        <v>0.0</v>
      </c>
      <c r="I2783" s="15" t="str">
        <f>SUBSTITUTE(Sheet1!K2783, "Rp", "")</f>
        <v>0</v>
      </c>
    </row>
    <row r="2784">
      <c r="A2784" s="8" t="s">
        <v>4067</v>
      </c>
      <c r="B2784" s="13" t="str">
        <f>HYPERLINK("https://shopee.co.id/Avoskin-Serum-Miraculous-Refining-30-mL-i.65323877.3994868286", "https://shopee.co.id/Avoskin-Serum-Miraculous-Refining-30-mL-i.65323877.3994868286")</f>
        <v>https://shopee.co.id/Avoskin-Serum-Miraculous-Refining-30-mL-i.65323877.3994868286</v>
      </c>
      <c r="C2784" s="8" t="s">
        <v>83</v>
      </c>
      <c r="D2784" s="8" t="s">
        <v>1600</v>
      </c>
      <c r="E2784" s="8" t="s">
        <v>12</v>
      </c>
      <c r="F2784" s="8" t="s">
        <v>13</v>
      </c>
      <c r="G2784" s="8" t="s">
        <v>296</v>
      </c>
      <c r="H2784" s="16">
        <v>0.0</v>
      </c>
      <c r="I2784" s="15" t="str">
        <f>SUBSTITUTE(Sheet1!K2784, "Rp", "")</f>
        <v>0</v>
      </c>
    </row>
    <row r="2785">
      <c r="A2785" s="8" t="s">
        <v>4068</v>
      </c>
      <c r="B2785" s="13" t="str">
        <f>HYPERLINK("https://shopee.co.id/Avoskin-Your-Skin-Bae-Panthenol-5-Mugwort-Cica-Barrier-Hero-Serum-i.154494405.9773112689", "https://shopee.co.id/Avoskin-Your-Skin-Bae-Panthenol-5-Mugwort-Cica-Barrier-Hero-Serum-i.154494405.9773112689")</f>
        <v>https://shopee.co.id/Avoskin-Your-Skin-Bae-Panthenol-5-Mugwort-Cica-Barrier-Hero-Serum-i.154494405.9773112689</v>
      </c>
      <c r="C2785" s="8" t="s">
        <v>83</v>
      </c>
      <c r="D2785" s="8" t="s">
        <v>84</v>
      </c>
      <c r="E2785" s="8" t="s">
        <v>12</v>
      </c>
      <c r="F2785" s="8" t="s">
        <v>13</v>
      </c>
      <c r="G2785" s="8" t="s">
        <v>85</v>
      </c>
      <c r="H2785" s="16">
        <v>0.0</v>
      </c>
      <c r="I2785" s="15" t="str">
        <f>SUBSTITUTE(Sheet1!K2785, "Rp", "")</f>
        <v>0</v>
      </c>
    </row>
    <row r="2786">
      <c r="A2786" s="8" t="s">
        <v>4069</v>
      </c>
      <c r="B2786" s="13" t="str">
        <f>HYPERLINK("https://shopee.co.id/AVOSKIN-YOUR-SKIN-BAE-PANTHENOL-5-MUGWORT-CICA-SERUM-30-ML-i.50972887.9774837903", "https://shopee.co.id/AVOSKIN-YOUR-SKIN-BAE-PANTHENOL-5-MUGWORT-CICA-SERUM-30-ML-i.50972887.9774837903")</f>
        <v>https://shopee.co.id/AVOSKIN-YOUR-SKIN-BAE-PANTHENOL-5-MUGWORT-CICA-SERUM-30-ML-i.50972887.9774837903</v>
      </c>
      <c r="C2786" s="8" t="s">
        <v>83</v>
      </c>
      <c r="D2786" s="8" t="s">
        <v>552</v>
      </c>
      <c r="E2786" s="8" t="s">
        <v>12</v>
      </c>
      <c r="F2786" s="8" t="s">
        <v>13</v>
      </c>
      <c r="G2786" s="8" t="s">
        <v>61</v>
      </c>
      <c r="H2786" s="16">
        <v>0.0</v>
      </c>
      <c r="I2786" s="15" t="str">
        <f>SUBSTITUTE(Sheet1!K2786, "Rp", "")</f>
        <v>0</v>
      </c>
    </row>
    <row r="2787">
      <c r="A2787" s="8" t="s">
        <v>4070</v>
      </c>
      <c r="B2787" s="13" t="str">
        <f>HYPERLINK("https://shopee.co.id/AVOSKIN-Your-Skin-Bae-Panthenol-5-Mugwort-Cica-Serum-30ml-i.270965687.8372992311", "https://shopee.co.id/AVOSKIN-Your-Skin-Bae-Panthenol-5-Mugwort-Cica-Serum-30ml-i.270965687.8372992311")</f>
        <v>https://shopee.co.id/AVOSKIN-Your-Skin-Bae-Panthenol-5-Mugwort-Cica-Serum-30ml-i.270965687.8372992311</v>
      </c>
      <c r="C2787" s="8" t="s">
        <v>83</v>
      </c>
      <c r="D2787" s="8" t="s">
        <v>379</v>
      </c>
      <c r="E2787" s="8" t="s">
        <v>12</v>
      </c>
      <c r="F2787" s="8" t="s">
        <v>13</v>
      </c>
      <c r="G2787" s="8" t="s">
        <v>380</v>
      </c>
      <c r="H2787" s="16">
        <v>0.0</v>
      </c>
      <c r="I2787" s="15" t="str">
        <f>SUBSTITUTE(Sheet1!K2787, "Rp", "")</f>
        <v>0</v>
      </c>
    </row>
    <row r="2788">
      <c r="A2788" s="8" t="s">
        <v>178</v>
      </c>
      <c r="B2788" s="13" t="str">
        <f>HYPERLINK("https://shopee.co.id/Avoskin-Your-Skin-Bae-Vitamin-C-3-Niacinamide-2-Mandarin-Orange-Fruit-Extract-Serum-i.446750719.8370030688", "https://shopee.co.id/Avoskin-Your-Skin-Bae-Vitamin-C-3-Niacinamide-2-Mandarin-Orange-Fruit-Extract-Serum-i.446750719.8370030688")</f>
        <v>https://shopee.co.id/Avoskin-Your-Skin-Bae-Vitamin-C-3-Niacinamide-2-Mandarin-Orange-Fruit-Extract-Serum-i.446750719.8370030688</v>
      </c>
      <c r="C2788" s="8" t="s">
        <v>83</v>
      </c>
      <c r="D2788" s="8" t="s">
        <v>4064</v>
      </c>
      <c r="E2788" s="8" t="s">
        <v>12</v>
      </c>
      <c r="F2788" s="8" t="s">
        <v>13</v>
      </c>
      <c r="G2788" s="8" t="s">
        <v>98</v>
      </c>
      <c r="H2788" s="16">
        <v>0.0</v>
      </c>
      <c r="I2788" s="15" t="str">
        <f>SUBSTITUTE(Sheet1!K2788, "Rp", "")</f>
        <v>0</v>
      </c>
    </row>
    <row r="2789">
      <c r="A2789" s="8" t="s">
        <v>709</v>
      </c>
      <c r="B2789" s="13" t="str">
        <f>HYPERLINK("https://shopee.co.id/Axis-Y-Dark-Spot-Correcting-Glow-Serum-i.47255270.8525868016", "https://shopee.co.id/Axis-Y-Dark-Spot-Correcting-Glow-Serum-i.47255270.8525868016")</f>
        <v>https://shopee.co.id/Axis-Y-Dark-Spot-Correcting-Glow-Serum-i.47255270.8525868016</v>
      </c>
      <c r="C2789" s="8" t="s">
        <v>710</v>
      </c>
      <c r="D2789" s="8" t="s">
        <v>1978</v>
      </c>
      <c r="E2789" s="8" t="s">
        <v>12</v>
      </c>
      <c r="F2789" s="8" t="s">
        <v>13</v>
      </c>
      <c r="G2789" s="8" t="s">
        <v>241</v>
      </c>
      <c r="H2789" s="16">
        <v>0.0</v>
      </c>
      <c r="I2789" s="15" t="str">
        <f>SUBSTITUTE(Sheet1!K2789, "Rp", "")</f>
        <v>0</v>
      </c>
    </row>
    <row r="2790">
      <c r="A2790" s="8" t="s">
        <v>4071</v>
      </c>
      <c r="B2790" s="13" t="str">
        <f>HYPERLINK("https://shopee.co.id/Ayudya-lightening-firming-treatment-oil-i.16027211.4977364170", "https://shopee.co.id/Ayudya-lightening-firming-treatment-oil-i.16027211.4977364170")</f>
        <v>https://shopee.co.id/Ayudya-lightening-firming-treatment-oil-i.16027211.4977364170</v>
      </c>
      <c r="C2790" s="8" t="s">
        <v>4072</v>
      </c>
      <c r="D2790" s="8" t="s">
        <v>4073</v>
      </c>
      <c r="E2790" s="8" t="s">
        <v>12</v>
      </c>
      <c r="F2790" s="8" t="s">
        <v>13</v>
      </c>
      <c r="G2790" s="8" t="s">
        <v>21</v>
      </c>
      <c r="H2790" s="16">
        <v>0.0</v>
      </c>
      <c r="I2790" s="15" t="str">
        <f>SUBSTITUTE(Sheet1!K2790, "Rp", "")</f>
        <v>0</v>
      </c>
    </row>
    <row r="2791">
      <c r="A2791" s="8" t="s">
        <v>4074</v>
      </c>
      <c r="B2791" s="13" t="str">
        <f>HYPERLINK("https://shopee.co.id/AZARINE-AQUA-ESSENCE-SUN-SHIELD-SERUM-SPF-50-PA-100ML-i.50972887.11508679449", "https://shopee.co.id/AZARINE-AQUA-ESSENCE-SUN-SHIELD-SERUM-SPF-50-PA-100ML-i.50972887.11508679449")</f>
        <v>https://shopee.co.id/AZARINE-AQUA-ESSENCE-SUN-SHIELD-SERUM-SPF-50-PA-100ML-i.50972887.11508679449</v>
      </c>
      <c r="C2791" s="8" t="s">
        <v>233</v>
      </c>
      <c r="D2791" s="8" t="s">
        <v>552</v>
      </c>
      <c r="E2791" s="8" t="s">
        <v>12</v>
      </c>
      <c r="F2791" s="8" t="s">
        <v>13</v>
      </c>
      <c r="G2791" s="8" t="s">
        <v>61</v>
      </c>
      <c r="H2791" s="16">
        <v>0.0</v>
      </c>
      <c r="I2791" s="15" t="str">
        <f>SUBSTITUTE(Sheet1!K2791, "Rp", "")</f>
        <v>0</v>
      </c>
    </row>
    <row r="2792">
      <c r="A2792" s="8" t="s">
        <v>4075</v>
      </c>
      <c r="B2792" s="13" t="str">
        <f>HYPERLINK("https://shopee.co.id/Azarine-C-White-Lightening-Tone-Up-Body-Serum-100ml-i.30736001.9452402362", "https://shopee.co.id/Azarine-C-White-Lightening-Tone-Up-Body-Serum-100ml-i.30736001.9452402362")</f>
        <v>https://shopee.co.id/Azarine-C-White-Lightening-Tone-Up-Body-Serum-100ml-i.30736001.9452402362</v>
      </c>
      <c r="C2792" s="8" t="s">
        <v>233</v>
      </c>
      <c r="D2792" s="8" t="s">
        <v>335</v>
      </c>
      <c r="E2792" s="8" t="s">
        <v>12</v>
      </c>
      <c r="F2792" s="8" t="s">
        <v>13</v>
      </c>
      <c r="G2792" s="8" t="s">
        <v>36</v>
      </c>
      <c r="H2792" s="16">
        <v>0.0</v>
      </c>
      <c r="I2792" s="15" t="str">
        <f>SUBSTITUTE(Sheet1!K2792, "Rp", "")</f>
        <v>0</v>
      </c>
    </row>
    <row r="2793">
      <c r="A2793" s="8" t="s">
        <v>888</v>
      </c>
      <c r="B2793" s="13" t="str">
        <f>HYPERLINK("https://shopee.co.id/Azarine-CBD-Hydraoxidant-Ampoule-40ml-i.10689.8746434028", "https://shopee.co.id/Azarine-CBD-Hydraoxidant-Ampoule-40ml-i.10689.8746434028")</f>
        <v>https://shopee.co.id/Azarine-CBD-Hydraoxidant-Ampoule-40ml-i.10689.8746434028</v>
      </c>
      <c r="C2793" s="8" t="s">
        <v>4076</v>
      </c>
      <c r="D2793" s="8" t="s">
        <v>745</v>
      </c>
      <c r="E2793" s="8" t="s">
        <v>12</v>
      </c>
      <c r="F2793" s="8" t="s">
        <v>13</v>
      </c>
      <c r="G2793" s="8" t="s">
        <v>61</v>
      </c>
      <c r="H2793" s="16">
        <v>0.0</v>
      </c>
      <c r="I2793" s="15" t="str">
        <f>SUBSTITUTE(Sheet1!K2793, "Rp", "")</f>
        <v>0</v>
      </c>
    </row>
    <row r="2794">
      <c r="A2794" s="8" t="s">
        <v>4077</v>
      </c>
      <c r="B2794" s="13" t="str">
        <f>HYPERLINK("https://shopee.co.id/AZARINE-CBD-Hydraoxidant-Ampoule-40ml-i.68111.8236767954", "https://shopee.co.id/AZARINE-CBD-Hydraoxidant-Ampoule-40ml-i.68111.8236767954")</f>
        <v>https://shopee.co.id/AZARINE-CBD-Hydraoxidant-Ampoule-40ml-i.68111.8236767954</v>
      </c>
      <c r="C2794" s="8" t="s">
        <v>233</v>
      </c>
      <c r="D2794" s="8" t="s">
        <v>441</v>
      </c>
      <c r="E2794" s="8" t="s">
        <v>12</v>
      </c>
      <c r="F2794" s="8" t="s">
        <v>13</v>
      </c>
      <c r="G2794" s="8" t="s">
        <v>130</v>
      </c>
      <c r="H2794" s="16">
        <v>0.0</v>
      </c>
      <c r="I2794" s="15" t="str">
        <f>SUBSTITUTE(Sheet1!K2794, "Rp", "")</f>
        <v>0</v>
      </c>
    </row>
    <row r="2795">
      <c r="A2795" s="8" t="s">
        <v>4078</v>
      </c>
      <c r="B2795" s="13" t="str">
        <f>HYPERLINK("https://shopee.co.id/Azarine-Vitamin-Lab-CBD-Hydraoxidant-Ampoule-40ml-i.825870.9129076218", "https://shopee.co.id/Azarine-Vitamin-Lab-CBD-Hydraoxidant-Ampoule-40ml-i.825870.9129076218")</f>
        <v>https://shopee.co.id/Azarine-Vitamin-Lab-CBD-Hydraoxidant-Ampoule-40ml-i.825870.9129076218</v>
      </c>
      <c r="C2795" s="8" t="s">
        <v>4076</v>
      </c>
      <c r="D2795" s="8" t="s">
        <v>1184</v>
      </c>
      <c r="E2795" s="8" t="s">
        <v>12</v>
      </c>
      <c r="F2795" s="8" t="s">
        <v>13</v>
      </c>
      <c r="G2795" s="8" t="s">
        <v>21</v>
      </c>
      <c r="H2795" s="16">
        <v>0.0</v>
      </c>
      <c r="I2795" s="15" t="str">
        <f>SUBSTITUTE(Sheet1!K2795, "Rp", "")</f>
        <v>0</v>
      </c>
    </row>
    <row r="2796">
      <c r="A2796" s="8" t="s">
        <v>4079</v>
      </c>
      <c r="B2796" s="13" t="str">
        <f>HYPERLINK("https://shopee.co.id/Azrina-Brightening-Secret-Serum-with-Azrina-Diamond-Jelly-i.32101291.6285770486", "https://shopee.co.id/Azrina-Brightening-Secret-Serum-with-Azrina-Diamond-Jelly-i.32101291.6285770486")</f>
        <v>https://shopee.co.id/Azrina-Brightening-Secret-Serum-with-Azrina-Diamond-Jelly-i.32101291.6285770486</v>
      </c>
      <c r="C2796" s="8" t="s">
        <v>4080</v>
      </c>
      <c r="D2796" s="8" t="s">
        <v>1076</v>
      </c>
      <c r="E2796" s="8" t="s">
        <v>12</v>
      </c>
      <c r="F2796" s="8" t="s">
        <v>13</v>
      </c>
      <c r="G2796" s="8" t="s">
        <v>370</v>
      </c>
      <c r="H2796" s="16">
        <v>0.0</v>
      </c>
      <c r="I2796" s="15" t="str">
        <f>SUBSTITUTE(Sheet1!K2796, "Rp", "")</f>
        <v>0</v>
      </c>
    </row>
    <row r="2797">
      <c r="A2797" s="8" t="s">
        <v>4081</v>
      </c>
      <c r="B2797" s="13" t="str">
        <f>HYPERLINK("https://shopee.co.id/Babor-Cleanformance-Moisture-Glow-Serum-30ml-i.131188140.9646321275", "https://shopee.co.id/Babor-Cleanformance-Moisture-Glow-Serum-30ml-i.131188140.9646321275")</f>
        <v>https://shopee.co.id/Babor-Cleanformance-Moisture-Glow-Serum-30ml-i.131188140.9646321275</v>
      </c>
      <c r="C2797" s="8" t="s">
        <v>1433</v>
      </c>
      <c r="D2797" s="8" t="s">
        <v>1434</v>
      </c>
      <c r="E2797" s="8" t="s">
        <v>12</v>
      </c>
      <c r="F2797" s="8" t="s">
        <v>13</v>
      </c>
      <c r="G2797" s="8" t="s">
        <v>61</v>
      </c>
      <c r="H2797" s="16">
        <v>0.0</v>
      </c>
      <c r="I2797" s="15" t="str">
        <f>SUBSTITUTE(Sheet1!K2797, "Rp", "")</f>
        <v>0</v>
      </c>
    </row>
    <row r="2798">
      <c r="A2798" s="8" t="s">
        <v>4082</v>
      </c>
      <c r="B2798" s="13" t="str">
        <f>HYPERLINK("https://shopee.co.id/Babor-Dr-Babor-Ultimate-ECM-Repair-Serum-i.131188140.3538180025", "https://shopee.co.id/Babor-Dr-Babor-Ultimate-ECM-Repair-Serum-i.131188140.3538180025")</f>
        <v>https://shopee.co.id/Babor-Dr-Babor-Ultimate-ECM-Repair-Serum-i.131188140.3538180025</v>
      </c>
      <c r="C2798" s="8" t="s">
        <v>1433</v>
      </c>
      <c r="D2798" s="8" t="s">
        <v>1434</v>
      </c>
      <c r="E2798" s="8" t="s">
        <v>12</v>
      </c>
      <c r="F2798" s="8" t="s">
        <v>13</v>
      </c>
      <c r="G2798" s="8" t="s">
        <v>61</v>
      </c>
      <c r="H2798" s="16">
        <v>0.0</v>
      </c>
      <c r="I2798" s="15" t="str">
        <f>SUBSTITUTE(Sheet1!K2798, "Rp", "")</f>
        <v>0</v>
      </c>
    </row>
    <row r="2799">
      <c r="A2799" s="8" t="s">
        <v>4083</v>
      </c>
      <c r="B2799" s="13" t="str">
        <f>HYPERLINK("https://shopee.co.id/BABOR-Refine-RX-Retinew-A16-i.131188140.7656717553", "https://shopee.co.id/BABOR-Refine-RX-Retinew-A16-i.131188140.7656717553")</f>
        <v>https://shopee.co.id/BABOR-Refine-RX-Retinew-A16-i.131188140.7656717553</v>
      </c>
      <c r="C2799" s="8" t="s">
        <v>1433</v>
      </c>
      <c r="D2799" s="8" t="s">
        <v>1434</v>
      </c>
      <c r="E2799" s="8" t="s">
        <v>12</v>
      </c>
      <c r="F2799" s="8" t="s">
        <v>13</v>
      </c>
      <c r="G2799" s="8" t="s">
        <v>61</v>
      </c>
      <c r="H2799" s="16">
        <v>0.0</v>
      </c>
      <c r="I2799" s="15" t="str">
        <f>SUBSTITUTE(Sheet1!K2799, "Rp", "")</f>
        <v>0</v>
      </c>
    </row>
    <row r="2800">
      <c r="A2800" s="8" t="s">
        <v>4084</v>
      </c>
      <c r="B2800" s="13" t="str">
        <f>HYPERLINK("https://shopee.co.id/Babor-Reversive-Anti-Aging-Serum-30ml-i.131188140.6268416493", "https://shopee.co.id/Babor-Reversive-Anti-Aging-Serum-30ml-i.131188140.6268416493")</f>
        <v>https://shopee.co.id/Babor-Reversive-Anti-Aging-Serum-30ml-i.131188140.6268416493</v>
      </c>
      <c r="C2800" s="8" t="s">
        <v>1433</v>
      </c>
      <c r="D2800" s="8" t="s">
        <v>1434</v>
      </c>
      <c r="E2800" s="8" t="s">
        <v>12</v>
      </c>
      <c r="F2800" s="8" t="s">
        <v>13</v>
      </c>
      <c r="G2800" s="8" t="s">
        <v>61</v>
      </c>
      <c r="H2800" s="16">
        <v>0.0</v>
      </c>
      <c r="I2800" s="15" t="str">
        <f>SUBSTITUTE(Sheet1!K2800, "Rp", "")</f>
        <v>0</v>
      </c>
    </row>
    <row r="2801">
      <c r="A2801" s="8" t="s">
        <v>4085</v>
      </c>
      <c r="B2801" s="13" t="str">
        <f>HYPERLINK("https://shopee.co.id/Babor-Skinovage-Balancing-Serum-30ml-i.131188140.4167445315", "https://shopee.co.id/Babor-Skinovage-Balancing-Serum-30ml-i.131188140.4167445315")</f>
        <v>https://shopee.co.id/Babor-Skinovage-Balancing-Serum-30ml-i.131188140.4167445315</v>
      </c>
      <c r="C2801" s="8" t="s">
        <v>1433</v>
      </c>
      <c r="D2801" s="8" t="s">
        <v>1434</v>
      </c>
      <c r="E2801" s="8" t="s">
        <v>12</v>
      </c>
      <c r="F2801" s="8" t="s">
        <v>13</v>
      </c>
      <c r="G2801" s="8" t="s">
        <v>61</v>
      </c>
      <c r="H2801" s="16">
        <v>0.0</v>
      </c>
      <c r="I2801" s="15" t="str">
        <f>SUBSTITUTE(Sheet1!K2801, "Rp", "")</f>
        <v>0</v>
      </c>
    </row>
    <row r="2802">
      <c r="A2802" s="8" t="s">
        <v>4086</v>
      </c>
      <c r="B2802" s="13" t="str">
        <f>HYPERLINK("https://shopee.co.id/Babor-Skinovage-Vitalizing-Serum-30ml-i.131188140.7652645519", "https://shopee.co.id/Babor-Skinovage-Vitalizing-Serum-30ml-i.131188140.7652645519")</f>
        <v>https://shopee.co.id/Babor-Skinovage-Vitalizing-Serum-30ml-i.131188140.7652645519</v>
      </c>
      <c r="C2802" s="8" t="s">
        <v>1433</v>
      </c>
      <c r="D2802" s="8" t="s">
        <v>1434</v>
      </c>
      <c r="E2802" s="8" t="s">
        <v>12</v>
      </c>
      <c r="F2802" s="8" t="s">
        <v>13</v>
      </c>
      <c r="G2802" s="8" t="s">
        <v>61</v>
      </c>
      <c r="H2802" s="16">
        <v>0.0</v>
      </c>
      <c r="I2802" s="15" t="str">
        <f>SUBSTITUTE(Sheet1!K2802, "Rp", "")</f>
        <v>0</v>
      </c>
    </row>
    <row r="2803">
      <c r="A2803" s="8" t="s">
        <v>4087</v>
      </c>
      <c r="B2803" s="13" t="str">
        <f>HYPERLINK("https://shopee.co.id/Babor-With-Love-The-Gold-Collection-7x2-ML-i.131188140.6241446865", "https://shopee.co.id/Babor-With-Love-The-Gold-Collection-7x2-ML-i.131188140.6241446865")</f>
        <v>https://shopee.co.id/Babor-With-Love-The-Gold-Collection-7x2-ML-i.131188140.6241446865</v>
      </c>
      <c r="C2803" s="8" t="s">
        <v>1433</v>
      </c>
      <c r="D2803" s="8" t="s">
        <v>1434</v>
      </c>
      <c r="E2803" s="8" t="s">
        <v>12</v>
      </c>
      <c r="F2803" s="8" t="s">
        <v>13</v>
      </c>
      <c r="G2803" s="8" t="s">
        <v>61</v>
      </c>
      <c r="H2803" s="16">
        <v>0.0</v>
      </c>
      <c r="I2803" s="15" t="str">
        <f>SUBSTITUTE(Sheet1!K2803, "Rp", "")</f>
        <v>0</v>
      </c>
    </row>
    <row r="2804">
      <c r="A2804" s="8" t="s">
        <v>4088</v>
      </c>
      <c r="B2804" s="13" t="str">
        <f>HYPERLINK("https://shopee.co.id/BARRY-M-Glass-Gloss-Radiance-Serum-i.184864609.5639423983", "https://shopee.co.id/BARRY-M-Glass-Gloss-Radiance-Serum-i.184864609.5639423983")</f>
        <v>https://shopee.co.id/BARRY-M-Glass-Gloss-Radiance-Serum-i.184864609.5639423983</v>
      </c>
      <c r="C2804" s="8" t="s">
        <v>4089</v>
      </c>
      <c r="D2804" s="8" t="s">
        <v>4090</v>
      </c>
      <c r="E2804" s="8" t="s">
        <v>12</v>
      </c>
      <c r="F2804" s="8" t="s">
        <v>13</v>
      </c>
      <c r="G2804" s="8" t="s">
        <v>80</v>
      </c>
      <c r="H2804" s="16">
        <v>0.0</v>
      </c>
      <c r="I2804" s="15" t="str">
        <f>SUBSTITUTE(Sheet1!K2804, "Rp", "")</f>
        <v>0</v>
      </c>
    </row>
    <row r="2805">
      <c r="A2805" s="8" t="s">
        <v>4091</v>
      </c>
      <c r="B2805" s="13" t="str">
        <f>HYPERLINK("https://shopee.co.id/Beautereine-Moonphase-Concentrated-Serum-20ml-i.825870.6937181754", "https://shopee.co.id/Beautereine-Moonphase-Concentrated-Serum-20ml-i.825870.6937181754")</f>
        <v>https://shopee.co.id/Beautereine-Moonphase-Concentrated-Serum-20ml-i.825870.6937181754</v>
      </c>
      <c r="C2805" s="8" t="s">
        <v>4092</v>
      </c>
      <c r="D2805" s="8" t="s">
        <v>1184</v>
      </c>
      <c r="E2805" s="8" t="s">
        <v>12</v>
      </c>
      <c r="F2805" s="8" t="s">
        <v>13</v>
      </c>
      <c r="G2805" s="8" t="s">
        <v>21</v>
      </c>
      <c r="H2805" s="16">
        <v>0.0</v>
      </c>
      <c r="I2805" s="15" t="str">
        <f>SUBSTITUTE(Sheet1!K2805, "Rp", "")</f>
        <v>0</v>
      </c>
    </row>
    <row r="2806">
      <c r="A2806" s="8" t="s">
        <v>4093</v>
      </c>
      <c r="B2806" s="13" t="str">
        <f>HYPERLINK("https://shopee.co.id/BeautieSS-CC-Me-24-7-Booster-Serum-i.48098269.8328384742", "https://shopee.co.id/BeautieSS-CC-Me-24-7-Booster-Serum-i.48098269.8328384742")</f>
        <v>https://shopee.co.id/BeautieSS-CC-Me-24-7-Booster-Serum-i.48098269.8328384742</v>
      </c>
      <c r="C2806" s="8" t="s">
        <v>3165</v>
      </c>
      <c r="D2806" s="8" t="s">
        <v>3166</v>
      </c>
      <c r="E2806" s="8" t="s">
        <v>12</v>
      </c>
      <c r="F2806" s="8" t="s">
        <v>13</v>
      </c>
      <c r="G2806" s="8" t="s">
        <v>241</v>
      </c>
      <c r="H2806" s="16">
        <v>0.0</v>
      </c>
      <c r="I2806" s="15" t="str">
        <f>SUBSTITUTE(Sheet1!K2806, "Rp", "")</f>
        <v>0</v>
      </c>
    </row>
    <row r="2807">
      <c r="A2807" s="8" t="s">
        <v>4094</v>
      </c>
      <c r="B2807" s="13" t="str">
        <f>HYPERLINK("https://shopee.co.id/Beauty-Barn-Mom-Night-Face-Treatment-30ml-i.43565817.1835792206", "https://shopee.co.id/Beauty-Barn-Mom-Night-Face-Treatment-30ml-i.43565817.1835792206")</f>
        <v>https://shopee.co.id/Beauty-Barn-Mom-Night-Face-Treatment-30ml-i.43565817.1835792206</v>
      </c>
      <c r="C2807" s="8" t="s">
        <v>4095</v>
      </c>
      <c r="D2807" s="8" t="s">
        <v>4096</v>
      </c>
      <c r="E2807" s="8" t="s">
        <v>12</v>
      </c>
      <c r="F2807" s="8" t="s">
        <v>13</v>
      </c>
      <c r="G2807" s="8" t="s">
        <v>36</v>
      </c>
      <c r="H2807" s="16">
        <v>0.0</v>
      </c>
      <c r="I2807" s="15" t="str">
        <f>SUBSTITUTE(Sheet1!K2807, "Rp", "")</f>
        <v>0</v>
      </c>
    </row>
    <row r="2808">
      <c r="A2808" s="8" t="s">
        <v>4097</v>
      </c>
      <c r="B2808" s="13" t="str">
        <f>HYPERLINK("https://shopee.co.id/Beautybarme-Cosrx-Advanced-Snail-96-Mucin-Power-Essence-100Ml-i.28781862.3180573765", "https://shopee.co.id/Beautybarme-Cosrx-Advanced-Snail-96-Mucin-Power-Essence-100Ml-i.28781862.3180573765")</f>
        <v>https://shopee.co.id/Beautybarme-Cosrx-Advanced-Snail-96-Mucin-Power-Essence-100Ml-i.28781862.3180573765</v>
      </c>
      <c r="C2808" s="8" t="s">
        <v>305</v>
      </c>
      <c r="D2808" s="8" t="s">
        <v>1189</v>
      </c>
      <c r="E2808" s="8" t="s">
        <v>12</v>
      </c>
      <c r="F2808" s="8" t="s">
        <v>13</v>
      </c>
      <c r="G2808" s="8" t="s">
        <v>1190</v>
      </c>
      <c r="H2808" s="16">
        <v>0.0</v>
      </c>
      <c r="I2808" s="15" t="str">
        <f>SUBSTITUTE(Sheet1!K2808, "Rp", "")</f>
        <v>0</v>
      </c>
    </row>
    <row r="2809">
      <c r="A2809" s="8" t="s">
        <v>4098</v>
      </c>
      <c r="B2809" s="13" t="str">
        <f>HYPERLINK("https://shopee.co.id/Beautybarme-Hanasui-Serum-Whitening-Gold-Vitamin-C-Collagen-Anti-Acne-20Ml-i.28781862.3884540370", "https://shopee.co.id/Beautybarme-Hanasui-Serum-Whitening-Gold-Vitamin-C-Collagen-Anti-Acne-20Ml-i.28781862.3884540370")</f>
        <v>https://shopee.co.id/Beautybarme-Hanasui-Serum-Whitening-Gold-Vitamin-C-Collagen-Anti-Acne-20Ml-i.28781862.3884540370</v>
      </c>
      <c r="C2809" s="8" t="s">
        <v>784</v>
      </c>
      <c r="D2809" s="8" t="s">
        <v>1189</v>
      </c>
      <c r="E2809" s="8" t="s">
        <v>12</v>
      </c>
      <c r="F2809" s="8" t="s">
        <v>13</v>
      </c>
      <c r="G2809" s="8" t="s">
        <v>1190</v>
      </c>
      <c r="H2809" s="16">
        <v>0.0</v>
      </c>
      <c r="I2809" s="15" t="str">
        <f>SUBSTITUTE(Sheet1!K2809, "Rp", "")</f>
        <v>0</v>
      </c>
    </row>
    <row r="2810">
      <c r="A2810" s="8" t="s">
        <v>4099</v>
      </c>
      <c r="B2810" s="13" t="str">
        <f>HYPERLINK("https://shopee.co.id/Beautybarme-Somebymi-Galactomyces-Pure-Vit-C-Glow-Serum-Brightening-100-Original-i.28781862.3111613431", "https://shopee.co.id/Beautybarme-Somebymi-Galactomyces-Pure-Vit-C-Glow-Serum-Brightening-100-Original-i.28781862.3111613431")</f>
        <v>https://shopee.co.id/Beautybarme-Somebymi-Galactomyces-Pure-Vit-C-Glow-Serum-Brightening-100-Original-i.28781862.3111613431</v>
      </c>
      <c r="C2810" s="8" t="s">
        <v>213</v>
      </c>
      <c r="D2810" s="8" t="s">
        <v>1189</v>
      </c>
      <c r="E2810" s="8" t="s">
        <v>12</v>
      </c>
      <c r="F2810" s="8" t="s">
        <v>13</v>
      </c>
      <c r="G2810" s="8" t="s">
        <v>1190</v>
      </c>
      <c r="H2810" s="16">
        <v>0.0</v>
      </c>
      <c r="I2810" s="15" t="str">
        <f>SUBSTITUTE(Sheet1!K2810, "Rp", "")</f>
        <v>0</v>
      </c>
    </row>
    <row r="2811">
      <c r="A2811" s="8" t="s">
        <v>4100</v>
      </c>
      <c r="B2811" s="13" t="str">
        <f>HYPERLINK("https://shopee.co.id/Benton-Deep-Green-Tea-Serum-30ml-i.270965687.2969771943", "https://shopee.co.id/Benton-Deep-Green-Tea-Serum-30ml-i.270965687.2969771943")</f>
        <v>https://shopee.co.id/Benton-Deep-Green-Tea-Serum-30ml-i.270965687.2969771943</v>
      </c>
      <c r="C2811" s="8" t="s">
        <v>456</v>
      </c>
      <c r="D2811" s="8" t="s">
        <v>379</v>
      </c>
      <c r="E2811" s="8" t="s">
        <v>12</v>
      </c>
      <c r="F2811" s="8" t="s">
        <v>13</v>
      </c>
      <c r="G2811" s="8" t="s">
        <v>380</v>
      </c>
      <c r="H2811" s="16">
        <v>0.0</v>
      </c>
      <c r="I2811" s="15" t="str">
        <f>SUBSTITUTE(Sheet1!K2811, "Rp", "")</f>
        <v>0</v>
      </c>
    </row>
    <row r="2812">
      <c r="A2812" s="8" t="s">
        <v>4101</v>
      </c>
      <c r="B2812" s="13" t="str">
        <f>HYPERLINK("https://shopee.co.id/Benton-Fermentation-Essence-100ml-i.825870.2032926732", "https://shopee.co.id/Benton-Fermentation-Essence-100ml-i.825870.2032926732")</f>
        <v>https://shopee.co.id/Benton-Fermentation-Essence-100ml-i.825870.2032926732</v>
      </c>
      <c r="C2812" s="8" t="s">
        <v>456</v>
      </c>
      <c r="D2812" s="8" t="s">
        <v>1184</v>
      </c>
      <c r="E2812" s="8" t="s">
        <v>12</v>
      </c>
      <c r="F2812" s="8" t="s">
        <v>13</v>
      </c>
      <c r="G2812" s="8" t="s">
        <v>21</v>
      </c>
      <c r="H2812" s="16">
        <v>0.0</v>
      </c>
      <c r="I2812" s="15" t="str">
        <f>SUBSTITUTE(Sheet1!K2812, "Rp", "")</f>
        <v>0</v>
      </c>
    </row>
    <row r="2813">
      <c r="A2813" s="8" t="s">
        <v>455</v>
      </c>
      <c r="B2813" s="13" t="str">
        <f>HYPERLINK("https://shopee.co.id/Benton-Snail-Bee-High-Content-Essence-60ml-i.10689.6559384776", "https://shopee.co.id/Benton-Snail-Bee-High-Content-Essence-60ml-i.10689.6559384776")</f>
        <v>https://shopee.co.id/Benton-Snail-Bee-High-Content-Essence-60ml-i.10689.6559384776</v>
      </c>
      <c r="C2813" s="8" t="s">
        <v>456</v>
      </c>
      <c r="D2813" s="8" t="s">
        <v>745</v>
      </c>
      <c r="E2813" s="8" t="s">
        <v>12</v>
      </c>
      <c r="F2813" s="8" t="s">
        <v>13</v>
      </c>
      <c r="G2813" s="8" t="s">
        <v>61</v>
      </c>
      <c r="H2813" s="16">
        <v>0.0</v>
      </c>
      <c r="I2813" s="15" t="str">
        <f>SUBSTITUTE(Sheet1!K2813, "Rp", "")</f>
        <v>0</v>
      </c>
    </row>
    <row r="2814">
      <c r="A2814" s="8" t="s">
        <v>4102</v>
      </c>
      <c r="B2814" s="13" t="str">
        <f>HYPERLINK("https://shopee.co.id/BENTON-Snail-Bee-High-Content-Essence-Pelembab-Wajah-i.187117294.9634973123", "https://shopee.co.id/BENTON-Snail-Bee-High-Content-Essence-Pelembab-Wajah-i.187117294.9634973123")</f>
        <v>https://shopee.co.id/BENTON-Snail-Bee-High-Content-Essence-Pelembab-Wajah-i.187117294.9634973123</v>
      </c>
      <c r="C2814" s="8" t="s">
        <v>456</v>
      </c>
      <c r="D2814" s="8" t="s">
        <v>2366</v>
      </c>
      <c r="E2814" s="8" t="s">
        <v>12</v>
      </c>
      <c r="F2814" s="8" t="s">
        <v>13</v>
      </c>
      <c r="G2814" s="8" t="s">
        <v>469</v>
      </c>
      <c r="H2814" s="16">
        <v>0.0</v>
      </c>
      <c r="I2814" s="15" t="str">
        <f>SUBSTITUTE(Sheet1!K2814, "Rp", "")</f>
        <v>0</v>
      </c>
    </row>
    <row r="2815">
      <c r="A2815" s="8" t="s">
        <v>4103</v>
      </c>
      <c r="B2815" s="13" t="str">
        <f>HYPERLINK("https://shopee.co.id/BENTON-snail-bee-ultimate-serum-35ml-i.187117294.8234988938", "https://shopee.co.id/BENTON-snail-bee-ultimate-serum-35ml-i.187117294.8234988938")</f>
        <v>https://shopee.co.id/BENTON-snail-bee-ultimate-serum-35ml-i.187117294.8234988938</v>
      </c>
      <c r="C2815" s="8" t="s">
        <v>456</v>
      </c>
      <c r="D2815" s="8" t="s">
        <v>2366</v>
      </c>
      <c r="E2815" s="8" t="s">
        <v>12</v>
      </c>
      <c r="F2815" s="8" t="s">
        <v>13</v>
      </c>
      <c r="G2815" s="8" t="s">
        <v>469</v>
      </c>
      <c r="H2815" s="16">
        <v>0.0</v>
      </c>
      <c r="I2815" s="15" t="str">
        <f>SUBSTITUTE(Sheet1!K2815, "Rp", "")</f>
        <v>0</v>
      </c>
    </row>
    <row r="2816">
      <c r="A2816" s="8" t="s">
        <v>2608</v>
      </c>
      <c r="B2816" s="13" t="str">
        <f>HYPERLINK("https://shopee.co.id/BENTON-Snail-Bee-Ultimate-Serum-35ml-i.68111.2138517148", "https://shopee.co.id/BENTON-Snail-Bee-Ultimate-Serum-35ml-i.68111.2138517148")</f>
        <v>https://shopee.co.id/BENTON-Snail-Bee-Ultimate-Serum-35ml-i.68111.2138517148</v>
      </c>
      <c r="C2816" s="8" t="s">
        <v>456</v>
      </c>
      <c r="D2816" s="8" t="s">
        <v>441</v>
      </c>
      <c r="E2816" s="8" t="s">
        <v>12</v>
      </c>
      <c r="F2816" s="8" t="s">
        <v>13</v>
      </c>
      <c r="G2816" s="8" t="s">
        <v>130</v>
      </c>
      <c r="H2816" s="16">
        <v>0.0</v>
      </c>
      <c r="I2816" s="15" t="str">
        <f>SUBSTITUTE(Sheet1!K2816, "Rp", "")</f>
        <v>0</v>
      </c>
    </row>
    <row r="2817">
      <c r="A2817" s="8" t="s">
        <v>4104</v>
      </c>
      <c r="B2817" s="13" t="str">
        <f>HYPERLINK("https://shopee.co.id/Bhumi-Acid-Complex-Clearing-Serum-i.68111.4020385138", "https://shopee.co.id/Bhumi-Acid-Complex-Clearing-Serum-i.68111.4020385138")</f>
        <v>https://shopee.co.id/Bhumi-Acid-Complex-Clearing-Serum-i.68111.4020385138</v>
      </c>
      <c r="C2817" s="8" t="s">
        <v>753</v>
      </c>
      <c r="D2817" s="8" t="s">
        <v>441</v>
      </c>
      <c r="E2817" s="8" t="s">
        <v>12</v>
      </c>
      <c r="F2817" s="8" t="s">
        <v>13</v>
      </c>
      <c r="G2817" s="8" t="s">
        <v>130</v>
      </c>
      <c r="H2817" s="16">
        <v>0.0</v>
      </c>
      <c r="I2817" s="15" t="str">
        <f>SUBSTITUTE(Sheet1!K2817, "Rp", "")</f>
        <v>0</v>
      </c>
    </row>
    <row r="2818">
      <c r="A2818" s="8" t="s">
        <v>4105</v>
      </c>
      <c r="B2818" s="13" t="str">
        <f>HYPERLINK("https://shopee.co.id/Bhumi-G-Alpine-Brightening-Serum-30ml-i.10689.4916067130", "https://shopee.co.id/Bhumi-G-Alpine-Brightening-Serum-30ml-i.10689.4916067130")</f>
        <v>https://shopee.co.id/Bhumi-G-Alpine-Brightening-Serum-30ml-i.10689.4916067130</v>
      </c>
      <c r="C2818" s="8" t="s">
        <v>753</v>
      </c>
      <c r="D2818" s="8" t="s">
        <v>745</v>
      </c>
      <c r="E2818" s="8" t="s">
        <v>12</v>
      </c>
      <c r="F2818" s="8" t="s">
        <v>13</v>
      </c>
      <c r="G2818" s="8" t="s">
        <v>61</v>
      </c>
      <c r="H2818" s="16">
        <v>0.0</v>
      </c>
      <c r="I2818" s="15" t="str">
        <f>SUBSTITUTE(Sheet1!K2818, "Rp", "")</f>
        <v>0</v>
      </c>
    </row>
    <row r="2819">
      <c r="A2819" s="8" t="s">
        <v>4106</v>
      </c>
      <c r="B2819" s="13" t="str">
        <f>HYPERLINK("https://shopee.co.id/Bhumi-Overnight-Body-Serum-i.17081863.3755770861", "https://shopee.co.id/Bhumi-Overnight-Body-Serum-i.17081863.3755770861")</f>
        <v>https://shopee.co.id/Bhumi-Overnight-Body-Serum-i.17081863.3755770861</v>
      </c>
      <c r="C2819" s="8" t="s">
        <v>753</v>
      </c>
      <c r="D2819" s="8" t="s">
        <v>2497</v>
      </c>
      <c r="E2819" s="8" t="s">
        <v>12</v>
      </c>
      <c r="F2819" s="8" t="s">
        <v>13</v>
      </c>
      <c r="G2819" s="8" t="s">
        <v>21</v>
      </c>
      <c r="H2819" s="16">
        <v>0.0</v>
      </c>
      <c r="I2819" s="15" t="str">
        <f>SUBSTITUTE(Sheet1!K2819, "Rp", "")</f>
        <v>0</v>
      </c>
    </row>
    <row r="2820">
      <c r="A2820" s="8" t="s">
        <v>4107</v>
      </c>
      <c r="B2820" s="13" t="str">
        <f>HYPERLINK("https://shopee.co.id/Bio-Beauty-Lab-Acne-Serum-Serum-Wajah-Jerawat-10-Ml-i.164238909.7767241204", "https://shopee.co.id/Bio-Beauty-Lab-Acne-Serum-Serum-Wajah-Jerawat-10-Ml-i.164238909.7767241204")</f>
        <v>https://shopee.co.id/Bio-Beauty-Lab-Acne-Serum-Serum-Wajah-Jerawat-10-Ml-i.164238909.7767241204</v>
      </c>
      <c r="C2820" s="8" t="s">
        <v>120</v>
      </c>
      <c r="D2820" s="8" t="s">
        <v>4108</v>
      </c>
      <c r="E2820" s="8" t="s">
        <v>12</v>
      </c>
      <c r="F2820" s="8" t="s">
        <v>13</v>
      </c>
      <c r="G2820" s="8" t="s">
        <v>350</v>
      </c>
      <c r="H2820" s="16">
        <v>0.0</v>
      </c>
      <c r="I2820" s="15" t="str">
        <f>SUBSTITUTE(Sheet1!K2820, "Rp", "")</f>
        <v>0</v>
      </c>
    </row>
    <row r="2821">
      <c r="A2821" s="8" t="s">
        <v>4109</v>
      </c>
      <c r="B2821" s="13" t="str">
        <f>HYPERLINK("https://shopee.co.id/Bio-Beauty-Lab-Acne-Treatment-5ml-i.187117294.9578904685", "https://shopee.co.id/Bio-Beauty-Lab-Acne-Treatment-5ml-i.187117294.9578904685")</f>
        <v>https://shopee.co.id/Bio-Beauty-Lab-Acne-Treatment-5ml-i.187117294.9578904685</v>
      </c>
      <c r="C2821" s="8" t="s">
        <v>120</v>
      </c>
      <c r="D2821" s="8" t="s">
        <v>2366</v>
      </c>
      <c r="E2821" s="8" t="s">
        <v>12</v>
      </c>
      <c r="F2821" s="8" t="s">
        <v>13</v>
      </c>
      <c r="G2821" s="8" t="s">
        <v>469</v>
      </c>
      <c r="H2821" s="16">
        <v>0.0</v>
      </c>
      <c r="I2821" s="15" t="str">
        <f>SUBSTITUTE(Sheet1!K2821, "Rp", "")</f>
        <v>0</v>
      </c>
    </row>
    <row r="2822">
      <c r="A2822" s="8" t="s">
        <v>4110</v>
      </c>
      <c r="B2822" s="13" t="str">
        <f>HYPERLINK("https://shopee.co.id/Bio-Essence-24K-Gold-Double-Serum-36-g-i.186214521.3404628700", "https://shopee.co.id/Bio-Essence-24K-Gold-Double-Serum-36-g-i.186214521.3404628700")</f>
        <v>https://shopee.co.id/Bio-Essence-24K-Gold-Double-Serum-36-g-i.186214521.3404628700</v>
      </c>
      <c r="C2822" s="8" t="s">
        <v>1254</v>
      </c>
      <c r="D2822" s="8" t="s">
        <v>2293</v>
      </c>
      <c r="E2822" s="8" t="s">
        <v>12</v>
      </c>
      <c r="F2822" s="8" t="s">
        <v>13</v>
      </c>
      <c r="G2822" s="8" t="s">
        <v>61</v>
      </c>
      <c r="H2822" s="16">
        <v>0.0</v>
      </c>
      <c r="I2822" s="15" t="str">
        <f>SUBSTITUTE(Sheet1!K2822, "Rp", "")</f>
        <v>0</v>
      </c>
    </row>
    <row r="2823">
      <c r="A2823" s="8" t="s">
        <v>4111</v>
      </c>
      <c r="B2823" s="13" t="str">
        <f>HYPERLINK("https://shopee.co.id/Bio-Essence-24K-Gold-Night-Cream-40-g-i.186214521.3416895190", "https://shopee.co.id/Bio-Essence-24K-Gold-Night-Cream-40-g-i.186214521.3416895190")</f>
        <v>https://shopee.co.id/Bio-Essence-24K-Gold-Night-Cream-40-g-i.186214521.3416895190</v>
      </c>
      <c r="C2823" s="8" t="s">
        <v>1254</v>
      </c>
      <c r="D2823" s="8" t="s">
        <v>2293</v>
      </c>
      <c r="E2823" s="8" t="s">
        <v>12</v>
      </c>
      <c r="F2823" s="8" t="s">
        <v>13</v>
      </c>
      <c r="G2823" s="8" t="s">
        <v>61</v>
      </c>
      <c r="H2823" s="16">
        <v>0.0</v>
      </c>
      <c r="I2823" s="15" t="str">
        <f>SUBSTITUTE(Sheet1!K2823, "Rp", "")</f>
        <v>0</v>
      </c>
    </row>
    <row r="2824">
      <c r="A2824" s="8" t="s">
        <v>4112</v>
      </c>
      <c r="B2824" s="13" t="str">
        <f>HYPERLINK("https://shopee.co.id/Bio-Essence-Bio-Bounce-Collagen-Essence-Cream-50-Gr-i.30736001.4036309928", "https://shopee.co.id/Bio-Essence-Bio-Bounce-Collagen-Essence-Cream-50-Gr-i.30736001.4036309928")</f>
        <v>https://shopee.co.id/Bio-Essence-Bio-Bounce-Collagen-Essence-Cream-50-Gr-i.30736001.4036309928</v>
      </c>
      <c r="C2824" s="8" t="s">
        <v>1254</v>
      </c>
      <c r="D2824" s="8" t="s">
        <v>335</v>
      </c>
      <c r="E2824" s="8" t="s">
        <v>12</v>
      </c>
      <c r="F2824" s="8" t="s">
        <v>13</v>
      </c>
      <c r="G2824" s="8" t="s">
        <v>36</v>
      </c>
      <c r="H2824" s="16">
        <v>0.0</v>
      </c>
      <c r="I2824" s="15" t="str">
        <f>SUBSTITUTE(Sheet1!K2824, "Rp", "")</f>
        <v>0</v>
      </c>
    </row>
    <row r="2825">
      <c r="A2825" s="8" t="s">
        <v>4113</v>
      </c>
      <c r="B2825" s="13" t="str">
        <f>HYPERLINK("https://shopee.co.id/Bio-Essence-Bio-Energizing-Water-100ml-i.186214521.7831366802", "https://shopee.co.id/Bio-Essence-Bio-Energizing-Water-100ml-i.186214521.7831366802")</f>
        <v>https://shopee.co.id/Bio-Essence-Bio-Energizing-Water-100ml-i.186214521.7831366802</v>
      </c>
      <c r="C2825" s="8" t="s">
        <v>1254</v>
      </c>
      <c r="D2825" s="8" t="s">
        <v>2293</v>
      </c>
      <c r="E2825" s="8" t="s">
        <v>12</v>
      </c>
      <c r="F2825" s="8" t="s">
        <v>13</v>
      </c>
      <c r="G2825" s="8" t="s">
        <v>61</v>
      </c>
      <c r="H2825" s="16">
        <v>0.0</v>
      </c>
      <c r="I2825" s="15" t="str">
        <f>SUBSTITUTE(Sheet1!K2825, "Rp", "")</f>
        <v>0</v>
      </c>
    </row>
    <row r="2826">
      <c r="A2826" s="8" t="s">
        <v>4114</v>
      </c>
      <c r="B2826" s="13" t="str">
        <f>HYPERLINK("https://shopee.co.id/Bio-Essence-Bio-Treatment-Essence-In-Oil-60-ml-i.65323877.11219475684", "https://shopee.co.id/Bio-Essence-Bio-Treatment-Essence-In-Oil-60-ml-i.65323877.11219475684")</f>
        <v>https://shopee.co.id/Bio-Essence-Bio-Treatment-Essence-In-Oil-60-ml-i.65323877.11219475684</v>
      </c>
      <c r="C2826" s="8" t="s">
        <v>1254</v>
      </c>
      <c r="D2826" s="8" t="s">
        <v>1600</v>
      </c>
      <c r="E2826" s="8" t="s">
        <v>12</v>
      </c>
      <c r="F2826" s="8" t="s">
        <v>13</v>
      </c>
      <c r="G2826" s="8" t="s">
        <v>296</v>
      </c>
      <c r="H2826" s="16">
        <v>0.0</v>
      </c>
      <c r="I2826" s="15" t="str">
        <f>SUBSTITUTE(Sheet1!K2826, "Rp", "")</f>
        <v>0</v>
      </c>
    </row>
    <row r="2827">
      <c r="A2827" s="8" t="s">
        <v>4115</v>
      </c>
      <c r="B2827" s="13" t="str">
        <f>HYPERLINK("https://shopee.co.id/Bio-Essence-Bio-White-Advanced-Whitening-Day-Cream-SPF20-i.30736001.4187980512", "https://shopee.co.id/Bio-Essence-Bio-White-Advanced-Whitening-Day-Cream-SPF20-i.30736001.4187980512")</f>
        <v>https://shopee.co.id/Bio-Essence-Bio-White-Advanced-Whitening-Day-Cream-SPF20-i.30736001.4187980512</v>
      </c>
      <c r="C2827" s="8" t="s">
        <v>1254</v>
      </c>
      <c r="D2827" s="8" t="s">
        <v>335</v>
      </c>
      <c r="E2827" s="8" t="s">
        <v>12</v>
      </c>
      <c r="F2827" s="8" t="s">
        <v>13</v>
      </c>
      <c r="G2827" s="8" t="s">
        <v>36</v>
      </c>
      <c r="H2827" s="16">
        <v>0.0</v>
      </c>
      <c r="I2827" s="15" t="str">
        <f>SUBSTITUTE(Sheet1!K2827, "Rp", "")</f>
        <v>0</v>
      </c>
    </row>
    <row r="2828">
      <c r="A2828" s="8" t="s">
        <v>4116</v>
      </c>
      <c r="B2828" s="13" t="str">
        <f>HYPERLINK("https://shopee.co.id/Bio-Essence-Bio-White-Advanced-Whitening-Serum-30ml-i.10689.1905168313", "https://shopee.co.id/Bio-Essence-Bio-White-Advanced-Whitening-Serum-30ml-i.10689.1905168313")</f>
        <v>https://shopee.co.id/Bio-Essence-Bio-White-Advanced-Whitening-Serum-30ml-i.10689.1905168313</v>
      </c>
      <c r="C2828" s="8" t="s">
        <v>1254</v>
      </c>
      <c r="D2828" s="8" t="s">
        <v>745</v>
      </c>
      <c r="E2828" s="8" t="s">
        <v>12</v>
      </c>
      <c r="F2828" s="8" t="s">
        <v>13</v>
      </c>
      <c r="G2828" s="8" t="s">
        <v>61</v>
      </c>
      <c r="H2828" s="16">
        <v>0.0</v>
      </c>
      <c r="I2828" s="15" t="str">
        <f>SUBSTITUTE(Sheet1!K2828, "Rp", "")</f>
        <v>0</v>
      </c>
    </row>
    <row r="2829">
      <c r="A2829" s="8" t="s">
        <v>4117</v>
      </c>
      <c r="B2829" s="13" t="str">
        <f>HYPERLINK("https://shopee.co.id/Bio-Essence-Bio-White-Tanaka-Advanced-Whitening-Night-Cream-50gr-i.30736001.6236312024", "https://shopee.co.id/Bio-Essence-Bio-White-Tanaka-Advanced-Whitening-Night-Cream-50gr-i.30736001.6236312024")</f>
        <v>https://shopee.co.id/Bio-Essence-Bio-White-Tanaka-Advanced-Whitening-Night-Cream-50gr-i.30736001.6236312024</v>
      </c>
      <c r="C2829" s="8" t="s">
        <v>1254</v>
      </c>
      <c r="D2829" s="8" t="s">
        <v>335</v>
      </c>
      <c r="E2829" s="8" t="s">
        <v>12</v>
      </c>
      <c r="F2829" s="8" t="s">
        <v>13</v>
      </c>
      <c r="G2829" s="8" t="s">
        <v>36</v>
      </c>
      <c r="H2829" s="16">
        <v>0.0</v>
      </c>
      <c r="I2829" s="15" t="str">
        <f>SUBSTITUTE(Sheet1!K2829, "Rp", "")</f>
        <v>0</v>
      </c>
    </row>
    <row r="2830">
      <c r="A2830" s="8" t="s">
        <v>4118</v>
      </c>
      <c r="B2830" s="13" t="str">
        <f>HYPERLINK("https://shopee.co.id/Bio-Essence-Bio-Gold-Double-Serum-36g-i.30736001.7487527384", "https://shopee.co.id/Bio-Essence-Bio-Gold-Double-Serum-36g-i.30736001.7487527384")</f>
        <v>https://shopee.co.id/Bio-Essence-Bio-Gold-Double-Serum-36g-i.30736001.7487527384</v>
      </c>
      <c r="C2830" s="8" t="s">
        <v>834</v>
      </c>
      <c r="D2830" s="8" t="s">
        <v>335</v>
      </c>
      <c r="E2830" s="8" t="s">
        <v>12</v>
      </c>
      <c r="F2830" s="8" t="s">
        <v>13</v>
      </c>
      <c r="G2830" s="8" t="s">
        <v>36</v>
      </c>
      <c r="H2830" s="16">
        <v>0.0</v>
      </c>
      <c r="I2830" s="15" t="str">
        <f>SUBSTITUTE(Sheet1!K2830, "Rp", "")</f>
        <v>0</v>
      </c>
    </row>
    <row r="2831">
      <c r="A2831" s="8" t="s">
        <v>4119</v>
      </c>
      <c r="B2831" s="13" t="str">
        <f>HYPERLINK("https://shopee.co.id/Bio-Essence-Bio-Gold-Gold-Water-100-ml-Twinpack-Special-i.63822287.8938789916", "https://shopee.co.id/Bio-Essence-Bio-Gold-Gold-Water-100-ml-Twinpack-Special-i.63822287.8938789916")</f>
        <v>https://shopee.co.id/Bio-Essence-Bio-Gold-Gold-Water-100-ml-Twinpack-Special-i.63822287.8938789916</v>
      </c>
      <c r="C2831" s="8" t="s">
        <v>834</v>
      </c>
      <c r="D2831" s="8" t="s">
        <v>835</v>
      </c>
      <c r="E2831" s="8" t="s">
        <v>12</v>
      </c>
      <c r="F2831" s="8" t="s">
        <v>13</v>
      </c>
      <c r="G2831" s="8" t="s">
        <v>61</v>
      </c>
      <c r="H2831" s="16">
        <v>0.0</v>
      </c>
      <c r="I2831" s="15" t="str">
        <f>SUBSTITUTE(Sheet1!K2831, "Rp", "")</f>
        <v>0</v>
      </c>
    </row>
    <row r="2832">
      <c r="A2832" s="8" t="s">
        <v>1165</v>
      </c>
      <c r="B2832" s="13" t="str">
        <f>HYPERLINK("https://shopee.co.id/Bio-Essence-Bio-Gold-Gold-Water-30-ml-Bio-Essence-Bio-Gold-Radiance-Cleanser-100-gr-i.65323877.8879906080", "https://shopee.co.id/Bio-Essence-Bio-Gold-Gold-Water-30-ml-Bio-Essence-Bio-Gold-Radiance-Cleanser-100-gr-i.65323877.8879906080")</f>
        <v>https://shopee.co.id/Bio-Essence-Bio-Gold-Gold-Water-30-ml-Bio-Essence-Bio-Gold-Radiance-Cleanser-100-gr-i.65323877.8879906080</v>
      </c>
      <c r="C2832" s="8" t="s">
        <v>834</v>
      </c>
      <c r="D2832" s="8" t="s">
        <v>1600</v>
      </c>
      <c r="E2832" s="8" t="s">
        <v>12</v>
      </c>
      <c r="F2832" s="8" t="s">
        <v>13</v>
      </c>
      <c r="G2832" s="8" t="s">
        <v>296</v>
      </c>
      <c r="H2832" s="16">
        <v>0.0</v>
      </c>
      <c r="I2832" s="15" t="str">
        <f>SUBSTITUTE(Sheet1!K2832, "Rp", "")</f>
        <v>0</v>
      </c>
    </row>
    <row r="2833">
      <c r="A2833" s="8" t="s">
        <v>4120</v>
      </c>
      <c r="B2833" s="13" t="str">
        <f>HYPERLINK("https://shopee.co.id/Bio-Essence-Bio-Gold-Night-Cream-40-gr-i.30736001.3737123193", "https://shopee.co.id/Bio-Essence-Bio-Gold-Night-Cream-40-gr-i.30736001.3737123193")</f>
        <v>https://shopee.co.id/Bio-Essence-Bio-Gold-Night-Cream-40-gr-i.30736001.3737123193</v>
      </c>
      <c r="C2833" s="8" t="s">
        <v>834</v>
      </c>
      <c r="D2833" s="8" t="s">
        <v>335</v>
      </c>
      <c r="E2833" s="8" t="s">
        <v>12</v>
      </c>
      <c r="F2833" s="8" t="s">
        <v>13</v>
      </c>
      <c r="G2833" s="8" t="s">
        <v>36</v>
      </c>
      <c r="H2833" s="16">
        <v>0.0</v>
      </c>
      <c r="I2833" s="15" t="str">
        <f>SUBSTITUTE(Sheet1!K2833, "Rp", "")</f>
        <v>0</v>
      </c>
    </row>
    <row r="2834">
      <c r="A2834" s="8" t="s">
        <v>4121</v>
      </c>
      <c r="B2834" s="13" t="str">
        <f>HYPERLINK("https://shopee.co.id/Bio-Essence-Bio-Gold-Rose-Gold-Water-100-ml-i.63822287.9823466498", "https://shopee.co.id/Bio-Essence-Bio-Gold-Rose-Gold-Water-100-ml-i.63822287.9823466498")</f>
        <v>https://shopee.co.id/Bio-Essence-Bio-Gold-Rose-Gold-Water-100-ml-i.63822287.9823466498</v>
      </c>
      <c r="C2834" s="8" t="s">
        <v>1688</v>
      </c>
      <c r="D2834" s="8" t="s">
        <v>835</v>
      </c>
      <c r="E2834" s="8" t="s">
        <v>12</v>
      </c>
      <c r="F2834" s="8" t="s">
        <v>13</v>
      </c>
      <c r="G2834" s="8" t="s">
        <v>61</v>
      </c>
      <c r="H2834" s="16">
        <v>0.0</v>
      </c>
      <c r="I2834" s="15" t="str">
        <f>SUBSTITUTE(Sheet1!K2834, "Rp", "")</f>
        <v>0</v>
      </c>
    </row>
    <row r="2835">
      <c r="A2835" s="8" t="s">
        <v>4122</v>
      </c>
      <c r="B2835" s="13" t="str">
        <f>HYPERLINK("https://shopee.co.id/Bio-Essence-Bio-Renew-Foamy-Cleanser-100gr-i.186214521.6331717164", "https://shopee.co.id/Bio-Essence-Bio-Renew-Foamy-Cleanser-100gr-i.186214521.6331717164")</f>
        <v>https://shopee.co.id/Bio-Essence-Bio-Renew-Foamy-Cleanser-100gr-i.186214521.6331717164</v>
      </c>
      <c r="C2835" s="8" t="s">
        <v>1254</v>
      </c>
      <c r="D2835" s="8" t="s">
        <v>2293</v>
      </c>
      <c r="E2835" s="8" t="s">
        <v>12</v>
      </c>
      <c r="F2835" s="8" t="s">
        <v>13</v>
      </c>
      <c r="G2835" s="8" t="s">
        <v>61</v>
      </c>
      <c r="H2835" s="16">
        <v>0.0</v>
      </c>
      <c r="I2835" s="15" t="str">
        <f>SUBSTITUTE(Sheet1!K2835, "Rp", "")</f>
        <v>0</v>
      </c>
    </row>
    <row r="2836">
      <c r="A2836" s="8" t="s">
        <v>4123</v>
      </c>
      <c r="B2836" s="13" t="str">
        <f>HYPERLINK("https://shopee.co.id/Bio-Essence-Bounce-Collagen-Essence-30ml-i.186214521.3327945403", "https://shopee.co.id/Bio-Essence-Bounce-Collagen-Essence-30ml-i.186214521.3327945403")</f>
        <v>https://shopee.co.id/Bio-Essence-Bounce-Collagen-Essence-30ml-i.186214521.3327945403</v>
      </c>
      <c r="C2836" s="8" t="s">
        <v>1254</v>
      </c>
      <c r="D2836" s="8" t="s">
        <v>2293</v>
      </c>
      <c r="E2836" s="8" t="s">
        <v>12</v>
      </c>
      <c r="F2836" s="8" t="s">
        <v>13</v>
      </c>
      <c r="G2836" s="8" t="s">
        <v>61</v>
      </c>
      <c r="H2836" s="16">
        <v>0.0</v>
      </c>
      <c r="I2836" s="15" t="str">
        <f>SUBSTITUTE(Sheet1!K2836, "Rp", "")</f>
        <v>0</v>
      </c>
    </row>
    <row r="2837">
      <c r="A2837" s="8" t="s">
        <v>4124</v>
      </c>
      <c r="B2837" s="13" t="str">
        <f>HYPERLINK("https://shopee.co.id/Bio-Essence-Gold-Water-15-ml-i.30736001.5537027075", "https://shopee.co.id/Bio-Essence-Gold-Water-15-ml-i.30736001.5537027075")</f>
        <v>https://shopee.co.id/Bio-Essence-Gold-Water-15-ml-i.30736001.5537027075</v>
      </c>
      <c r="C2837" s="8" t="s">
        <v>1254</v>
      </c>
      <c r="D2837" s="8" t="s">
        <v>335</v>
      </c>
      <c r="E2837" s="8" t="s">
        <v>12</v>
      </c>
      <c r="F2837" s="8" t="s">
        <v>13</v>
      </c>
      <c r="G2837" s="8" t="s">
        <v>36</v>
      </c>
      <c r="H2837" s="16">
        <v>0.0</v>
      </c>
      <c r="I2837" s="15" t="str">
        <f>SUBSTITUTE(Sheet1!K2837, "Rp", "")</f>
        <v>0</v>
      </c>
    </row>
    <row r="2838">
      <c r="A2838" s="8" t="s">
        <v>4125</v>
      </c>
      <c r="B2838" s="13" t="str">
        <f>HYPERLINK("https://shopee.co.id/Bio-Essence-Renew-Royal-Jelly-Nourishing-Ton-i.30736001.6937506791", "https://shopee.co.id/Bio-Essence-Renew-Royal-Jelly-Nourishing-Ton-i.30736001.6937506791")</f>
        <v>https://shopee.co.id/Bio-Essence-Renew-Royal-Jelly-Nourishing-Ton-i.30736001.6937506791</v>
      </c>
      <c r="C2838" s="8" t="s">
        <v>1254</v>
      </c>
      <c r="D2838" s="8" t="s">
        <v>335</v>
      </c>
      <c r="E2838" s="8" t="s">
        <v>12</v>
      </c>
      <c r="F2838" s="8" t="s">
        <v>13</v>
      </c>
      <c r="G2838" s="8" t="s">
        <v>36</v>
      </c>
      <c r="H2838" s="16">
        <v>0.0</v>
      </c>
      <c r="I2838" s="15" t="str">
        <f>SUBSTITUTE(Sheet1!K2838, "Rp", "")</f>
        <v>0</v>
      </c>
    </row>
    <row r="2839">
      <c r="A2839" s="8" t="s">
        <v>4126</v>
      </c>
      <c r="B2839" s="13" t="str">
        <f>HYPERLINK("https://shopee.co.id/BIO-ESSENCE-Bio-White-Day-Cream-50g-i.68111.2134415398", "https://shopee.co.id/BIO-ESSENCE-Bio-White-Day-Cream-50g-i.68111.2134415398")</f>
        <v>https://shopee.co.id/BIO-ESSENCE-Bio-White-Day-Cream-50g-i.68111.2134415398</v>
      </c>
      <c r="C2839" s="8" t="s">
        <v>1254</v>
      </c>
      <c r="D2839" s="8" t="s">
        <v>441</v>
      </c>
      <c r="E2839" s="8" t="s">
        <v>12</v>
      </c>
      <c r="F2839" s="8" t="s">
        <v>13</v>
      </c>
      <c r="G2839" s="8" t="s">
        <v>130</v>
      </c>
      <c r="H2839" s="16">
        <v>0.0</v>
      </c>
      <c r="I2839" s="15" t="str">
        <f>SUBSTITUTE(Sheet1!K2839, "Rp", "")</f>
        <v>0</v>
      </c>
    </row>
    <row r="2840">
      <c r="A2840" s="8" t="s">
        <v>4127</v>
      </c>
      <c r="B2840" s="13" t="str">
        <f>HYPERLINK("https://shopee.co.id/BIO-ESSENCE-Bio-White-Night-Cream-50g-i.68111.2134410314", "https://shopee.co.id/BIO-ESSENCE-Bio-White-Night-Cream-50g-i.68111.2134410314")</f>
        <v>https://shopee.co.id/BIO-ESSENCE-Bio-White-Night-Cream-50g-i.68111.2134410314</v>
      </c>
      <c r="C2840" s="8" t="s">
        <v>1254</v>
      </c>
      <c r="D2840" s="8" t="s">
        <v>441</v>
      </c>
      <c r="E2840" s="8" t="s">
        <v>12</v>
      </c>
      <c r="F2840" s="8" t="s">
        <v>13</v>
      </c>
      <c r="G2840" s="8" t="s">
        <v>130</v>
      </c>
      <c r="H2840" s="16">
        <v>0.0</v>
      </c>
      <c r="I2840" s="15" t="str">
        <f>SUBSTITUTE(Sheet1!K2840, "Rp", "")</f>
        <v>0</v>
      </c>
    </row>
    <row r="2841">
      <c r="A2841" s="8" t="s">
        <v>4128</v>
      </c>
      <c r="B2841" s="13" t="str">
        <f>HYPERLINK("https://shopee.co.id/BIO-ESSENCE-Bio-Vlift-Face-Lifting-Cream-Nourishing-45g-i.68111.2134418264", "https://shopee.co.id/BIO-ESSENCE-Bio-Vlift-Face-Lifting-Cream-Nourishing-45g-i.68111.2134418264")</f>
        <v>https://shopee.co.id/BIO-ESSENCE-Bio-Vlift-Face-Lifting-Cream-Nourishing-45g-i.68111.2134418264</v>
      </c>
      <c r="C2841" s="8" t="s">
        <v>1254</v>
      </c>
      <c r="D2841" s="8" t="s">
        <v>441</v>
      </c>
      <c r="E2841" s="8" t="s">
        <v>12</v>
      </c>
      <c r="F2841" s="8" t="s">
        <v>13</v>
      </c>
      <c r="G2841" s="8" t="s">
        <v>130</v>
      </c>
      <c r="H2841" s="16">
        <v>0.0</v>
      </c>
      <c r="I2841" s="15" t="str">
        <f>SUBSTITUTE(Sheet1!K2841, "Rp", "")</f>
        <v>0</v>
      </c>
    </row>
    <row r="2842">
      <c r="A2842" s="8" t="s">
        <v>4129</v>
      </c>
      <c r="B2842" s="13" t="str">
        <f>HYPERLINK("https://shopee.co.id/BIO-ESSENCE-Bio-White-Advanced-Whitening-Cleanser-100g-i.68111.2305191162", "https://shopee.co.id/BIO-ESSENCE-Bio-White-Advanced-Whitening-Cleanser-100g-i.68111.2305191162")</f>
        <v>https://shopee.co.id/BIO-ESSENCE-Bio-White-Advanced-Whitening-Cleanser-100g-i.68111.2305191162</v>
      </c>
      <c r="C2842" s="8" t="s">
        <v>1254</v>
      </c>
      <c r="D2842" s="8" t="s">
        <v>441</v>
      </c>
      <c r="E2842" s="8" t="s">
        <v>12</v>
      </c>
      <c r="F2842" s="8" t="s">
        <v>13</v>
      </c>
      <c r="G2842" s="8" t="s">
        <v>130</v>
      </c>
      <c r="H2842" s="16">
        <v>0.0</v>
      </c>
      <c r="I2842" s="15" t="str">
        <f>SUBSTITUTE(Sheet1!K2842, "Rp", "")</f>
        <v>0</v>
      </c>
    </row>
    <row r="2843">
      <c r="A2843" s="8" t="s">
        <v>4130</v>
      </c>
      <c r="B2843" s="13" t="str">
        <f>HYPERLINK("https://shopee.co.id/BIO-ESSENCE-Bio-White-Advanced-Whitening-Serum-30ml-i.68111.2304964216", "https://shopee.co.id/BIO-ESSENCE-Bio-White-Advanced-Whitening-Serum-30ml-i.68111.2304964216")</f>
        <v>https://shopee.co.id/BIO-ESSENCE-Bio-White-Advanced-Whitening-Serum-30ml-i.68111.2304964216</v>
      </c>
      <c r="C2843" s="8" t="s">
        <v>1254</v>
      </c>
      <c r="D2843" s="8" t="s">
        <v>441</v>
      </c>
      <c r="E2843" s="8" t="s">
        <v>12</v>
      </c>
      <c r="F2843" s="8" t="s">
        <v>13</v>
      </c>
      <c r="G2843" s="8" t="s">
        <v>130</v>
      </c>
      <c r="H2843" s="16">
        <v>0.0</v>
      </c>
      <c r="I2843" s="15" t="str">
        <f>SUBSTITUTE(Sheet1!K2843, "Rp", "")</f>
        <v>0</v>
      </c>
    </row>
    <row r="2844">
      <c r="A2844" s="8" t="s">
        <v>4131</v>
      </c>
      <c r="B2844" s="13" t="str">
        <f>HYPERLINK("https://shopee.co.id/BIOAQUA-Serum-Wajah-Emas-24K-Gold-Skin-Brightening-Serum-Essence-30Ml-i.297682305.3981184130", "https://shopee.co.id/BIOAQUA-Serum-Wajah-Emas-24K-Gold-Skin-Brightening-Serum-Essence-30Ml-i.297682305.3981184130")</f>
        <v>https://shopee.co.id/BIOAQUA-Serum-Wajah-Emas-24K-Gold-Skin-Brightening-Serum-Essence-30Ml-i.297682305.3981184130</v>
      </c>
      <c r="C2844" s="8" t="s">
        <v>1744</v>
      </c>
      <c r="D2844" s="8" t="s">
        <v>1745</v>
      </c>
      <c r="E2844" s="8" t="s">
        <v>12</v>
      </c>
      <c r="F2844" s="8" t="s">
        <v>13</v>
      </c>
      <c r="G2844" s="8" t="s">
        <v>61</v>
      </c>
      <c r="H2844" s="16">
        <v>0.0</v>
      </c>
      <c r="I2844" s="15" t="str">
        <f>SUBSTITUTE(Sheet1!K2844, "Rp", "")</f>
        <v>0</v>
      </c>
    </row>
    <row r="2845">
      <c r="A2845" s="8" t="s">
        <v>4132</v>
      </c>
      <c r="B2845" s="13" t="str">
        <f>HYPERLINK("https://shopee.co.id/Biokos-Botu-Like-Wrinkle-Filling-Serum-i.34904037.1007588530", "https://shopee.co.id/Biokos-Botu-Like-Wrinkle-Filling-Serum-i.34904037.1007588530")</f>
        <v>https://shopee.co.id/Biokos-Botu-Like-Wrinkle-Filling-Serum-i.34904037.1007588530</v>
      </c>
      <c r="C2845" s="8" t="s">
        <v>1873</v>
      </c>
      <c r="D2845" s="8" t="s">
        <v>1874</v>
      </c>
      <c r="E2845" s="8" t="s">
        <v>12</v>
      </c>
      <c r="F2845" s="8" t="s">
        <v>13</v>
      </c>
      <c r="G2845" s="8" t="s">
        <v>469</v>
      </c>
      <c r="H2845" s="16">
        <v>0.0</v>
      </c>
      <c r="I2845" s="15" t="str">
        <f>SUBSTITUTE(Sheet1!K2845, "Rp", "")</f>
        <v>0</v>
      </c>
    </row>
    <row r="2846">
      <c r="A2846" s="8" t="s">
        <v>4133</v>
      </c>
      <c r="B2846" s="13" t="str">
        <f>HYPERLINK("https://shopee.co.id/Biyu-HA-Serum-15ml-i.825870.5138688329", "https://shopee.co.id/Biyu-HA-Serum-15ml-i.825870.5138688329")</f>
        <v>https://shopee.co.id/Biyu-HA-Serum-15ml-i.825870.5138688329</v>
      </c>
      <c r="C2846" s="8" t="s">
        <v>2112</v>
      </c>
      <c r="D2846" s="8" t="s">
        <v>1184</v>
      </c>
      <c r="E2846" s="8" t="s">
        <v>12</v>
      </c>
      <c r="F2846" s="8" t="s">
        <v>13</v>
      </c>
      <c r="G2846" s="8" t="s">
        <v>98</v>
      </c>
      <c r="H2846" s="16">
        <v>0.0</v>
      </c>
      <c r="I2846" s="15" t="str">
        <f>SUBSTITUTE(Sheet1!K2846, "Rp", "")</f>
        <v>0</v>
      </c>
    </row>
    <row r="2847">
      <c r="A2847" s="8" t="s">
        <v>4134</v>
      </c>
      <c r="B2847" s="13" t="str">
        <f>HYPERLINK("https://shopee.co.id/BIYU-SKINCARE-BIYU-X-VA-HA-Serum-Hyaluronic-Acid-Serum-i.68111.5339371234", "https://shopee.co.id/BIYU-SKINCARE-BIYU-X-VA-HA-Serum-Hyaluronic-Acid-Serum-i.68111.5339371234")</f>
        <v>https://shopee.co.id/BIYU-SKINCARE-BIYU-X-VA-HA-Serum-Hyaluronic-Acid-Serum-i.68111.5339371234</v>
      </c>
      <c r="C2847" s="8" t="s">
        <v>2112</v>
      </c>
      <c r="D2847" s="8" t="s">
        <v>441</v>
      </c>
      <c r="E2847" s="8" t="s">
        <v>12</v>
      </c>
      <c r="F2847" s="8" t="s">
        <v>13</v>
      </c>
      <c r="G2847" s="8" t="s">
        <v>130</v>
      </c>
      <c r="H2847" s="16">
        <v>0.0</v>
      </c>
      <c r="I2847" s="15" t="str">
        <f>SUBSTITUTE(Sheet1!K2847, "Rp", "")</f>
        <v>0</v>
      </c>
    </row>
    <row r="2848">
      <c r="A2848" s="8" t="s">
        <v>4135</v>
      </c>
      <c r="B2848" s="13" t="str">
        <f>HYPERLINK("https://shopee.co.id/BLITHE-ESSENCE-8-BEANS-50ML-i.53497038.7269714431", "https://shopee.co.id/BLITHE-ESSENCE-8-BEANS-50ML-i.53497038.7269714431")</f>
        <v>https://shopee.co.id/BLITHE-ESSENCE-8-BEANS-50ML-i.53497038.7269714431</v>
      </c>
      <c r="C2848" s="8" t="s">
        <v>1969</v>
      </c>
      <c r="D2848" s="8" t="s">
        <v>907</v>
      </c>
      <c r="E2848" s="8" t="s">
        <v>12</v>
      </c>
      <c r="F2848" s="8" t="s">
        <v>13</v>
      </c>
      <c r="G2848" s="8" t="s">
        <v>61</v>
      </c>
      <c r="H2848" s="16">
        <v>0.0</v>
      </c>
      <c r="I2848" s="15" t="str">
        <f>SUBSTITUTE(Sheet1!K2848, "Rp", "")</f>
        <v>0</v>
      </c>
    </row>
    <row r="2849">
      <c r="A2849" s="8" t="s">
        <v>4136</v>
      </c>
      <c r="B2849" s="13" t="str">
        <f>HYPERLINK("https://shopee.co.id/BLITHE-Pressed-Serum-Tundra-Sachet-2ml-i.53497038.4380043648", "https://shopee.co.id/BLITHE-Pressed-Serum-Tundra-Sachet-2ml-i.53497038.4380043648")</f>
        <v>https://shopee.co.id/BLITHE-Pressed-Serum-Tundra-Sachet-2ml-i.53497038.4380043648</v>
      </c>
      <c r="C2849" s="8" t="s">
        <v>1969</v>
      </c>
      <c r="D2849" s="8" t="s">
        <v>907</v>
      </c>
      <c r="E2849" s="8" t="s">
        <v>12</v>
      </c>
      <c r="F2849" s="8" t="s">
        <v>13</v>
      </c>
      <c r="G2849" s="8" t="s">
        <v>61</v>
      </c>
      <c r="H2849" s="16">
        <v>0.0</v>
      </c>
      <c r="I2849" s="15" t="str">
        <f>SUBSTITUTE(Sheet1!K2849, "Rp", "")</f>
        <v>0</v>
      </c>
    </row>
    <row r="2850">
      <c r="A2850" s="8" t="s">
        <v>4137</v>
      </c>
      <c r="B2850" s="13" t="str">
        <f>HYPERLINK("https://shopee.co.id/BLITHE-VITAL-TREATMENT-ESSENCE-9-ESSENTIAL-SEEDS-150-ML-i.53497038.1374816414", "https://shopee.co.id/BLITHE-VITAL-TREATMENT-ESSENCE-9-ESSENTIAL-SEEDS-150-ML-i.53497038.1374816414")</f>
        <v>https://shopee.co.id/BLITHE-VITAL-TREATMENT-ESSENCE-9-ESSENTIAL-SEEDS-150-ML-i.53497038.1374816414</v>
      </c>
      <c r="C2850" s="8" t="s">
        <v>1969</v>
      </c>
      <c r="D2850" s="8" t="s">
        <v>907</v>
      </c>
      <c r="E2850" s="8" t="s">
        <v>12</v>
      </c>
      <c r="F2850" s="8" t="s">
        <v>13</v>
      </c>
      <c r="G2850" s="8" t="s">
        <v>61</v>
      </c>
      <c r="H2850" s="16">
        <v>0.0</v>
      </c>
      <c r="I2850" s="15" t="str">
        <f>SUBSTITUTE(Sheet1!K2850, "Rp", "")</f>
        <v>0</v>
      </c>
    </row>
    <row r="2851">
      <c r="A2851" s="8" t="s">
        <v>4138</v>
      </c>
      <c r="B2851" s="13" t="str">
        <f>HYPERLINK("https://shopee.co.id/Bloomka-Argireline-Leuphasyl-Facial-Anti-Aging-Serum-20ml-i.825870.9418209642", "https://shopee.co.id/Bloomka-Argireline-Leuphasyl-Facial-Anti-Aging-Serum-20ml-i.825870.9418209642")</f>
        <v>https://shopee.co.id/Bloomka-Argireline-Leuphasyl-Facial-Anti-Aging-Serum-20ml-i.825870.9418209642</v>
      </c>
      <c r="C2851" s="8" t="s">
        <v>375</v>
      </c>
      <c r="D2851" s="8" t="s">
        <v>1184</v>
      </c>
      <c r="E2851" s="8" t="s">
        <v>12</v>
      </c>
      <c r="F2851" s="8" t="s">
        <v>13</v>
      </c>
      <c r="G2851" s="8" t="s">
        <v>21</v>
      </c>
      <c r="H2851" s="16">
        <v>0.0</v>
      </c>
      <c r="I2851" s="15" t="str">
        <f>SUBSTITUTE(Sheet1!K2851, "Rp", "")</f>
        <v>0</v>
      </c>
    </row>
    <row r="2852">
      <c r="A2852" s="8" t="s">
        <v>4139</v>
      </c>
      <c r="B2852" s="13" t="str">
        <f>HYPERLINK("https://shopee.co.id/Bloomka-Boerhavia-Rice-Lightening-Serum-i.17081863.9444999957", "https://shopee.co.id/Bloomka-Boerhavia-Rice-Lightening-Serum-i.17081863.9444999957")</f>
        <v>https://shopee.co.id/Bloomka-Boerhavia-Rice-Lightening-Serum-i.17081863.9444999957</v>
      </c>
      <c r="C2852" s="8" t="s">
        <v>375</v>
      </c>
      <c r="D2852" s="8" t="s">
        <v>2497</v>
      </c>
      <c r="E2852" s="8" t="s">
        <v>12</v>
      </c>
      <c r="F2852" s="8" t="s">
        <v>13</v>
      </c>
      <c r="G2852" s="8" t="s">
        <v>21</v>
      </c>
      <c r="H2852" s="16">
        <v>0.0</v>
      </c>
      <c r="I2852" s="15" t="str">
        <f>SUBSTITUTE(Sheet1!K2852, "Rp", "")</f>
        <v>0</v>
      </c>
    </row>
    <row r="2853">
      <c r="A2853" s="8" t="s">
        <v>4140</v>
      </c>
      <c r="B2853" s="13" t="str">
        <f>HYPERLINK("https://shopee.co.id/Bloomka-Boerhavia-with-Niacinamide-Rice-Facial-Lightening-Serum-20ml-i.10689.6271567135", "https://shopee.co.id/Bloomka-Boerhavia-with-Niacinamide-Rice-Facial-Lightening-Serum-20ml-i.10689.6271567135")</f>
        <v>https://shopee.co.id/Bloomka-Boerhavia-with-Niacinamide-Rice-Facial-Lightening-Serum-20ml-i.10689.6271567135</v>
      </c>
      <c r="C2853" s="8" t="s">
        <v>375</v>
      </c>
      <c r="D2853" s="8" t="s">
        <v>745</v>
      </c>
      <c r="E2853" s="8" t="s">
        <v>12</v>
      </c>
      <c r="F2853" s="8" t="s">
        <v>13</v>
      </c>
      <c r="G2853" s="8" t="s">
        <v>61</v>
      </c>
      <c r="H2853" s="16">
        <v>0.0</v>
      </c>
      <c r="I2853" s="15" t="str">
        <f>SUBSTITUTE(Sheet1!K2853, "Rp", "")</f>
        <v>0</v>
      </c>
    </row>
    <row r="2854">
      <c r="A2854" s="8" t="s">
        <v>4141</v>
      </c>
      <c r="B2854" s="13" t="str">
        <f>HYPERLINK("https://shopee.co.id/Bloomka-Calendula-Poria-Cocos-Facial-Calming-Serum-20ml-i.825870.8318209151", "https://shopee.co.id/Bloomka-Calendula-Poria-Cocos-Facial-Calming-Serum-20ml-i.825870.8318209151")</f>
        <v>https://shopee.co.id/Bloomka-Calendula-Poria-Cocos-Facial-Calming-Serum-20ml-i.825870.8318209151</v>
      </c>
      <c r="C2854" s="8" t="s">
        <v>375</v>
      </c>
      <c r="D2854" s="8" t="s">
        <v>1184</v>
      </c>
      <c r="E2854" s="8" t="s">
        <v>12</v>
      </c>
      <c r="F2854" s="8" t="s">
        <v>13</v>
      </c>
      <c r="G2854" s="8" t="s">
        <v>21</v>
      </c>
      <c r="H2854" s="16">
        <v>0.0</v>
      </c>
      <c r="I2854" s="15" t="str">
        <f>SUBSTITUTE(Sheet1!K2854, "Rp", "")</f>
        <v>0</v>
      </c>
    </row>
    <row r="2855">
      <c r="A2855" s="8" t="s">
        <v>4142</v>
      </c>
      <c r="B2855" s="13" t="str">
        <f>HYPERLINK("https://shopee.co.id/BLOOMKA-Calendula-Poria-Cocos-Facial-Calming-Serum-20ml-i.68111.8517826614", "https://shopee.co.id/BLOOMKA-Calendula-Poria-Cocos-Facial-Calming-Serum-20ml-i.68111.8517826614")</f>
        <v>https://shopee.co.id/BLOOMKA-Calendula-Poria-Cocos-Facial-Calming-Serum-20ml-i.68111.8517826614</v>
      </c>
      <c r="C2855" s="8" t="s">
        <v>375</v>
      </c>
      <c r="D2855" s="8" t="s">
        <v>441</v>
      </c>
      <c r="E2855" s="8" t="s">
        <v>12</v>
      </c>
      <c r="F2855" s="8" t="s">
        <v>13</v>
      </c>
      <c r="G2855" s="8" t="s">
        <v>130</v>
      </c>
      <c r="H2855" s="16">
        <v>0.0</v>
      </c>
      <c r="I2855" s="15" t="str">
        <f>SUBSTITUTE(Sheet1!K2855, "Rp", "")</f>
        <v>0</v>
      </c>
    </row>
    <row r="2856">
      <c r="A2856" s="8" t="s">
        <v>4143</v>
      </c>
      <c r="B2856" s="13" t="str">
        <f>HYPERLINK("https://shopee.co.id/Bloomka-Edelweiss-Hyaluronate-Essence-melembabkan-anti-radikal-bebas-cegah-penuaan--i.52581685.4335154455", "https://shopee.co.id/Bloomka-Edelweiss-Hyaluronate-Essence-melembabkan-anti-radikal-bebas-cegah-penuaan--i.52581685.4335154455")</f>
        <v>https://shopee.co.id/Bloomka-Edelweiss-Hyaluronate-Essence-melembabkan-anti-radikal-bebas-cegah-penuaan--i.52581685.4335154455</v>
      </c>
      <c r="C2856" s="8" t="s">
        <v>375</v>
      </c>
      <c r="D2856" s="8" t="s">
        <v>614</v>
      </c>
      <c r="E2856" s="8" t="s">
        <v>12</v>
      </c>
      <c r="F2856" s="8" t="s">
        <v>13</v>
      </c>
      <c r="G2856" s="8" t="s">
        <v>61</v>
      </c>
      <c r="H2856" s="16">
        <v>0.0</v>
      </c>
      <c r="I2856" s="15" t="str">
        <f>SUBSTITUTE(Sheet1!K2856, "Rp", "")</f>
        <v>0</v>
      </c>
    </row>
    <row r="2857">
      <c r="A2857" s="8" t="s">
        <v>4144</v>
      </c>
      <c r="B2857" s="13" t="str">
        <f>HYPERLINK("https://shopee.co.id/Bloomka-Edelweiss-Hyaluronate-Serum-Facial-Hydrating-Serum-20ml-i.10689.4671588234", "https://shopee.co.id/Bloomka-Edelweiss-Hyaluronate-Serum-Facial-Hydrating-Serum-20ml-i.10689.4671588234")</f>
        <v>https://shopee.co.id/Bloomka-Edelweiss-Hyaluronate-Serum-Facial-Hydrating-Serum-20ml-i.10689.4671588234</v>
      </c>
      <c r="C2857" s="8" t="s">
        <v>375</v>
      </c>
      <c r="D2857" s="8" t="s">
        <v>745</v>
      </c>
      <c r="E2857" s="8" t="s">
        <v>12</v>
      </c>
      <c r="F2857" s="8" t="s">
        <v>13</v>
      </c>
      <c r="G2857" s="8" t="s">
        <v>61</v>
      </c>
      <c r="H2857" s="16">
        <v>0.0</v>
      </c>
      <c r="I2857" s="15" t="str">
        <f>SUBSTITUTE(Sheet1!K2857, "Rp", "")</f>
        <v>0</v>
      </c>
    </row>
    <row r="2858">
      <c r="A2858" s="8" t="s">
        <v>4145</v>
      </c>
      <c r="B2858" s="13" t="str">
        <f>HYPERLINK("https://shopee.co.id/Bloomka-Kombucha-Brown-Algae-Facial-Anti-Oxidant-Serum-20ml-i.10689.6871567120", "https://shopee.co.id/Bloomka-Kombucha-Brown-Algae-Facial-Anti-Oxidant-Serum-20ml-i.10689.6871567120")</f>
        <v>https://shopee.co.id/Bloomka-Kombucha-Brown-Algae-Facial-Anti-Oxidant-Serum-20ml-i.10689.6871567120</v>
      </c>
      <c r="C2858" s="8" t="s">
        <v>375</v>
      </c>
      <c r="D2858" s="8" t="s">
        <v>745</v>
      </c>
      <c r="E2858" s="8" t="s">
        <v>12</v>
      </c>
      <c r="F2858" s="8" t="s">
        <v>13</v>
      </c>
      <c r="G2858" s="8" t="s">
        <v>61</v>
      </c>
      <c r="H2858" s="16">
        <v>0.0</v>
      </c>
      <c r="I2858" s="15" t="str">
        <f>SUBSTITUTE(Sheet1!K2858, "Rp", "")</f>
        <v>0</v>
      </c>
    </row>
    <row r="2859">
      <c r="A2859" s="8" t="s">
        <v>4146</v>
      </c>
      <c r="B2859" s="13" t="str">
        <f>HYPERLINK("https://shopee.co.id/Bloomka-Manuka-Magnolia-Anti-Acne-Serum-i.17081863.8645007362", "https://shopee.co.id/Bloomka-Manuka-Magnolia-Anti-Acne-Serum-i.17081863.8645007362")</f>
        <v>https://shopee.co.id/Bloomka-Manuka-Magnolia-Anti-Acne-Serum-i.17081863.8645007362</v>
      </c>
      <c r="C2859" s="8" t="s">
        <v>375</v>
      </c>
      <c r="D2859" s="8" t="s">
        <v>2497</v>
      </c>
      <c r="E2859" s="8" t="s">
        <v>12</v>
      </c>
      <c r="F2859" s="8" t="s">
        <v>13</v>
      </c>
      <c r="G2859" s="8" t="s">
        <v>21</v>
      </c>
      <c r="H2859" s="16">
        <v>0.0</v>
      </c>
      <c r="I2859" s="15" t="str">
        <f>SUBSTITUTE(Sheet1!K2859, "Rp", "")</f>
        <v>0</v>
      </c>
    </row>
    <row r="2860">
      <c r="A2860" s="8" t="s">
        <v>4147</v>
      </c>
      <c r="B2860" s="13" t="str">
        <f>HYPERLINK("https://shopee.co.id/Botanica-Brightening-Serum-15-ML-Serum-Wajah-Mineral-Botanica-Serum-i.114789399.6007409069", "https://shopee.co.id/Botanica-Brightening-Serum-15-ML-Serum-Wajah-Mineral-Botanica-Serum-i.114789399.6007409069")</f>
        <v>https://shopee.co.id/Botanica-Brightening-Serum-15-ML-Serum-Wajah-Mineral-Botanica-Serum-i.114789399.6007409069</v>
      </c>
      <c r="C2860" s="8" t="s">
        <v>807</v>
      </c>
      <c r="D2860" s="8" t="s">
        <v>4148</v>
      </c>
      <c r="E2860" s="8" t="s">
        <v>12</v>
      </c>
      <c r="F2860" s="8" t="s">
        <v>13</v>
      </c>
      <c r="G2860" s="8" t="s">
        <v>36</v>
      </c>
      <c r="H2860" s="16">
        <v>0.0</v>
      </c>
      <c r="I2860" s="15" t="str">
        <f>SUBSTITUTE(Sheet1!K2860, "Rp", "")</f>
        <v>0</v>
      </c>
    </row>
    <row r="2861">
      <c r="A2861" s="8" t="s">
        <v>4149</v>
      </c>
      <c r="B2861" s="13" t="str">
        <f>HYPERLINK("https://shopee.co.id/Botanica-Face-Age-Defying-Serum-15-ML-Serum-Anti-Aging-Serum-Botanica-i.114789399.7615236068", "https://shopee.co.id/Botanica-Face-Age-Defying-Serum-15-ML-Serum-Anti-Aging-Serum-Botanica-i.114789399.7615236068")</f>
        <v>https://shopee.co.id/Botanica-Face-Age-Defying-Serum-15-ML-Serum-Anti-Aging-Serum-Botanica-i.114789399.7615236068</v>
      </c>
      <c r="C2861" s="8" t="s">
        <v>4150</v>
      </c>
      <c r="D2861" s="8" t="s">
        <v>2531</v>
      </c>
      <c r="E2861" s="8" t="s">
        <v>12</v>
      </c>
      <c r="F2861" s="8" t="s">
        <v>13</v>
      </c>
      <c r="G2861" s="8" t="s">
        <v>36</v>
      </c>
      <c r="H2861" s="16">
        <v>0.0</v>
      </c>
      <c r="I2861" s="15" t="str">
        <f>SUBSTITUTE(Sheet1!K2861, "Rp", "")</f>
        <v>0</v>
      </c>
    </row>
    <row r="2862">
      <c r="A2862" s="8" t="s">
        <v>4151</v>
      </c>
      <c r="B2862" s="13" t="str">
        <f>HYPERLINK("https://shopee.co.id/Botanica-Face-Brightening-Serum-15Ml-Serum-Wajah-Peremajaan-Kulit-Wajah-Perawatan-Kecantikan-i.175375997.7908968128", "https://shopee.co.id/Botanica-Face-Brightening-Serum-15Ml-Serum-Wajah-Peremajaan-Kulit-Wajah-Perawatan-Kecantikan-i.175375997.7908968128")</f>
        <v>https://shopee.co.id/Botanica-Face-Brightening-Serum-15Ml-Serum-Wajah-Peremajaan-Kulit-Wajah-Perawatan-Kecantikan-i.175375997.7908968128</v>
      </c>
      <c r="C2862" s="8" t="s">
        <v>4150</v>
      </c>
      <c r="D2862" s="8" t="s">
        <v>2123</v>
      </c>
      <c r="E2862" s="8" t="s">
        <v>12</v>
      </c>
      <c r="F2862" s="8" t="s">
        <v>13</v>
      </c>
      <c r="G2862" s="8" t="s">
        <v>36</v>
      </c>
      <c r="H2862" s="16">
        <v>0.0</v>
      </c>
      <c r="I2862" s="15" t="str">
        <f>SUBSTITUTE(Sheet1!K2862, "Rp", "")</f>
        <v>0</v>
      </c>
    </row>
    <row r="2863">
      <c r="A2863" s="8" t="s">
        <v>4151</v>
      </c>
      <c r="B2863" s="13" t="str">
        <f>HYPERLINK("https://shopee.co.id/Botanica-Face-Brightening-Serum-15Ml-Serum-Wajah-Peremajaan-Kulit-Wajah-Perawatan-Kecantikan-i.185943783.4435294254", "https://shopee.co.id/Botanica-Face-Brightening-Serum-15Ml-Serum-Wajah-Peremajaan-Kulit-Wajah-Perawatan-Kecantikan-i.185943783.4435294254")</f>
        <v>https://shopee.co.id/Botanica-Face-Brightening-Serum-15Ml-Serum-Wajah-Peremajaan-Kulit-Wajah-Perawatan-Kecantikan-i.185943783.4435294254</v>
      </c>
      <c r="C2863" s="8" t="s">
        <v>4150</v>
      </c>
      <c r="D2863" s="8" t="s">
        <v>3429</v>
      </c>
      <c r="E2863" s="8" t="s">
        <v>12</v>
      </c>
      <c r="F2863" s="8" t="s">
        <v>13</v>
      </c>
      <c r="G2863" s="8" t="s">
        <v>36</v>
      </c>
      <c r="H2863" s="16">
        <v>0.0</v>
      </c>
      <c r="I2863" s="15" t="str">
        <f>SUBSTITUTE(Sheet1!K2863, "Rp", "")</f>
        <v>0</v>
      </c>
    </row>
    <row r="2864">
      <c r="A2864" s="8" t="s">
        <v>4152</v>
      </c>
      <c r="B2864" s="13" t="str">
        <f>HYPERLINK("https://shopee.co.id/Botanity-Flavon-Serum-50ml-i.825870.4019185423", "https://shopee.co.id/Botanity-Flavon-Serum-50ml-i.825870.4019185423")</f>
        <v>https://shopee.co.id/Botanity-Flavon-Serum-50ml-i.825870.4019185423</v>
      </c>
      <c r="C2864" s="8" t="s">
        <v>1459</v>
      </c>
      <c r="D2864" s="8" t="s">
        <v>1184</v>
      </c>
      <c r="E2864" s="8" t="s">
        <v>12</v>
      </c>
      <c r="F2864" s="8" t="s">
        <v>13</v>
      </c>
      <c r="G2864" s="8" t="s">
        <v>21</v>
      </c>
      <c r="H2864" s="16">
        <v>0.0</v>
      </c>
      <c r="I2864" s="15" t="str">
        <f>SUBSTITUTE(Sheet1!K2864, "Rp", "")</f>
        <v>0</v>
      </c>
    </row>
    <row r="2865">
      <c r="A2865" s="8" t="s">
        <v>4153</v>
      </c>
      <c r="B2865" s="13" t="str">
        <f>HYPERLINK("https://shopee.co.id/Botanity-Package-1-Flavon-Serum-Bakuchiol-Spot-Cream-Hydrogel-Cream--i.203141970.3733535666", "https://shopee.co.id/Botanity-Package-1-Flavon-Serum-Bakuchiol-Spot-Cream-Hydrogel-Cream--i.203141970.3733535666")</f>
        <v>https://shopee.co.id/Botanity-Package-1-Flavon-Serum-Bakuchiol-Spot-Cream-Hydrogel-Cream--i.203141970.3733535666</v>
      </c>
      <c r="C2865" s="8" t="s">
        <v>1459</v>
      </c>
      <c r="D2865" s="8" t="s">
        <v>1460</v>
      </c>
      <c r="E2865" s="8" t="s">
        <v>12</v>
      </c>
      <c r="F2865" s="8" t="s">
        <v>13</v>
      </c>
      <c r="G2865" s="8" t="s">
        <v>21</v>
      </c>
      <c r="H2865" s="16">
        <v>0.0</v>
      </c>
      <c r="I2865" s="15" t="str">
        <f>SUBSTITUTE(Sheet1!K2865, "Rp", "")</f>
        <v>0</v>
      </c>
    </row>
    <row r="2866">
      <c r="A2866" s="8" t="s">
        <v>4154</v>
      </c>
      <c r="B2866" s="13" t="str">
        <f>HYPERLINK("https://shopee.co.id/Botanity-Set-1-Flavon-Serum-Hydrogel-Cream--i.203141970.4233438255", "https://shopee.co.id/Botanity-Set-1-Flavon-Serum-Hydrogel-Cream--i.203141970.4233438255")</f>
        <v>https://shopee.co.id/Botanity-Set-1-Flavon-Serum-Hydrogel-Cream--i.203141970.4233438255</v>
      </c>
      <c r="C2866" s="8" t="s">
        <v>1459</v>
      </c>
      <c r="D2866" s="8" t="s">
        <v>1460</v>
      </c>
      <c r="E2866" s="8" t="s">
        <v>12</v>
      </c>
      <c r="F2866" s="8" t="s">
        <v>13</v>
      </c>
      <c r="G2866" s="8" t="s">
        <v>21</v>
      </c>
      <c r="H2866" s="16">
        <v>0.0</v>
      </c>
      <c r="I2866" s="15" t="str">
        <f>SUBSTITUTE(Sheet1!K2866, "Rp", "")</f>
        <v>0</v>
      </c>
    </row>
    <row r="2867">
      <c r="A2867" s="8" t="s">
        <v>4155</v>
      </c>
      <c r="B2867" s="13" t="str">
        <f>HYPERLINK("https://shopee.co.id/Botanity-Set-3-Flavon-Serum-Bakuchiol-Spot-Cream--i.203141970.4033438753", "https://shopee.co.id/Botanity-Set-3-Flavon-Serum-Bakuchiol-Spot-Cream--i.203141970.4033438753")</f>
        <v>https://shopee.co.id/Botanity-Set-3-Flavon-Serum-Bakuchiol-Spot-Cream--i.203141970.4033438753</v>
      </c>
      <c r="C2867" s="8" t="s">
        <v>1459</v>
      </c>
      <c r="D2867" s="8" t="s">
        <v>1460</v>
      </c>
      <c r="E2867" s="8" t="s">
        <v>12</v>
      </c>
      <c r="F2867" s="8" t="s">
        <v>13</v>
      </c>
      <c r="G2867" s="8" t="s">
        <v>21</v>
      </c>
      <c r="H2867" s="16">
        <v>0.0</v>
      </c>
      <c r="I2867" s="15" t="str">
        <f>SUBSTITUTE(Sheet1!K2867, "Rp", "")</f>
        <v>0</v>
      </c>
    </row>
    <row r="2868">
      <c r="A2868" s="8" t="s">
        <v>4156</v>
      </c>
      <c r="B2868" s="13" t="str">
        <f>HYPERLINK("https://shopee.co.id/Breylee-Blackhead-Remover-Mask-Step-1-Pore-Minimize-Serum-Step-2-i.136011044.8425279149", "https://shopee.co.id/Breylee-Blackhead-Remover-Mask-Step-1-Pore-Minimize-Serum-Step-2-i.136011044.8425279149")</f>
        <v>https://shopee.co.id/Breylee-Blackhead-Remover-Mask-Step-1-Pore-Minimize-Serum-Step-2-i.136011044.8425279149</v>
      </c>
      <c r="C2868" s="8" t="s">
        <v>852</v>
      </c>
      <c r="D2868" s="8" t="s">
        <v>632</v>
      </c>
      <c r="E2868" s="8" t="s">
        <v>12</v>
      </c>
      <c r="F2868" s="8" t="s">
        <v>13</v>
      </c>
      <c r="G2868" s="8" t="s">
        <v>21</v>
      </c>
      <c r="H2868" s="16">
        <v>0.0</v>
      </c>
      <c r="I2868" s="15" t="str">
        <f>SUBSTITUTE(Sheet1!K2868, "Rp", "")</f>
        <v>0</v>
      </c>
    </row>
    <row r="2869">
      <c r="A2869" s="8" t="s">
        <v>4157</v>
      </c>
      <c r="B2869" s="13" t="str">
        <f>HYPERLINK("https://shopee.co.id/BREYLEE-Hyaluronic-Acid-Series-Melembabkan-3-pcs--i.324706771.7295158606", "https://shopee.co.id/BREYLEE-Hyaluronic-Acid-Series-Melembabkan-3-pcs--i.324706771.7295158606")</f>
        <v>https://shopee.co.id/BREYLEE-Hyaluronic-Acid-Series-Melembabkan-3-pcs--i.324706771.7295158606</v>
      </c>
      <c r="C2869" s="8" t="s">
        <v>852</v>
      </c>
      <c r="D2869" s="8" t="s">
        <v>853</v>
      </c>
      <c r="E2869" s="8" t="s">
        <v>12</v>
      </c>
      <c r="F2869" s="8" t="s">
        <v>13</v>
      </c>
      <c r="G2869" s="8" t="s">
        <v>532</v>
      </c>
      <c r="H2869" s="16">
        <v>0.0</v>
      </c>
      <c r="I2869" s="15" t="str">
        <f>SUBSTITUTE(Sheet1!K2869, "Rp", "")</f>
        <v>0</v>
      </c>
    </row>
    <row r="2870">
      <c r="A2870" s="8" t="s">
        <v>4158</v>
      </c>
      <c r="B2870" s="13" t="str">
        <f>HYPERLINK("https://shopee.co.id/BREYLEE-Serum-Mata-Roll-On-Hyaluronic-Acid-Melembabkan-15ml-i.68111.7188500065", "https://shopee.co.id/BREYLEE-Serum-Mata-Roll-On-Hyaluronic-Acid-Melembabkan-15ml-i.68111.7188500065")</f>
        <v>https://shopee.co.id/BREYLEE-Serum-Mata-Roll-On-Hyaluronic-Acid-Melembabkan-15ml-i.68111.7188500065</v>
      </c>
      <c r="C2870" s="8" t="s">
        <v>852</v>
      </c>
      <c r="D2870" s="8" t="s">
        <v>441</v>
      </c>
      <c r="E2870" s="8" t="s">
        <v>12</v>
      </c>
      <c r="F2870" s="8" t="s">
        <v>13</v>
      </c>
      <c r="G2870" s="8" t="s">
        <v>130</v>
      </c>
      <c r="H2870" s="16">
        <v>0.0</v>
      </c>
      <c r="I2870" s="15" t="str">
        <f>SUBSTITUTE(Sheet1!K2870, "Rp", "")</f>
        <v>0</v>
      </c>
    </row>
    <row r="2871">
      <c r="A2871" s="8" t="s">
        <v>4159</v>
      </c>
      <c r="B2871" s="13" t="str">
        <f>HYPERLINK("https://shopee.co.id/BREYLEE-Serum-Treatment-Wajah-Berjerawat-17ml-i.68111.4888484437", "https://shopee.co.id/BREYLEE-Serum-Treatment-Wajah-Berjerawat-17ml-i.68111.4888484437")</f>
        <v>https://shopee.co.id/BREYLEE-Serum-Treatment-Wajah-Berjerawat-17ml-i.68111.4888484437</v>
      </c>
      <c r="C2871" s="8" t="s">
        <v>852</v>
      </c>
      <c r="D2871" s="8" t="s">
        <v>441</v>
      </c>
      <c r="E2871" s="8" t="s">
        <v>12</v>
      </c>
      <c r="F2871" s="8" t="s">
        <v>13</v>
      </c>
      <c r="G2871" s="8" t="s">
        <v>130</v>
      </c>
      <c r="H2871" s="16">
        <v>0.0</v>
      </c>
      <c r="I2871" s="15" t="str">
        <f>SUBSTITUTE(Sheet1!K2871, "Rp", "")</f>
        <v>0</v>
      </c>
    </row>
    <row r="2872">
      <c r="A2872" s="8" t="s">
        <v>4160</v>
      </c>
      <c r="B2872" s="13" t="str">
        <f>HYPERLINK("https://shopee.co.id/BREYLEE-SETS-of-SERUM-D-Mencerahkan-Menyamarkan-Garis-Halus-2pcs--i.324706771.7470888071", "https://shopee.co.id/BREYLEE-SETS-of-SERUM-D-Mencerahkan-Menyamarkan-Garis-Halus-2pcs--i.324706771.7470888071")</f>
        <v>https://shopee.co.id/BREYLEE-SETS-of-SERUM-D-Mencerahkan-Menyamarkan-Garis-Halus-2pcs--i.324706771.7470888071</v>
      </c>
      <c r="C2872" s="8" t="s">
        <v>852</v>
      </c>
      <c r="D2872" s="8" t="s">
        <v>853</v>
      </c>
      <c r="E2872" s="8" t="s">
        <v>12</v>
      </c>
      <c r="F2872" s="8" t="s">
        <v>13</v>
      </c>
      <c r="G2872" s="8" t="s">
        <v>532</v>
      </c>
      <c r="H2872" s="16">
        <v>0.0</v>
      </c>
      <c r="I2872" s="15" t="str">
        <f>SUBSTITUTE(Sheet1!K2872, "Rp", "")</f>
        <v>0</v>
      </c>
    </row>
    <row r="2873">
      <c r="A2873" s="8" t="s">
        <v>4161</v>
      </c>
      <c r="B2873" s="13" t="str">
        <f>HYPERLINK("https://shopee.co.id/BREYLEE-Soothing-Serum-Menenangkan-Kulit-Wajah-i.68111.9253349699", "https://shopee.co.id/BREYLEE-Soothing-Serum-Menenangkan-Kulit-Wajah-i.68111.9253349699")</f>
        <v>https://shopee.co.id/BREYLEE-Soothing-Serum-Menenangkan-Kulit-Wajah-i.68111.9253349699</v>
      </c>
      <c r="C2873" s="8" t="s">
        <v>852</v>
      </c>
      <c r="D2873" s="8" t="s">
        <v>441</v>
      </c>
      <c r="E2873" s="8" t="s">
        <v>12</v>
      </c>
      <c r="F2873" s="8" t="s">
        <v>13</v>
      </c>
      <c r="G2873" s="8" t="s">
        <v>130</v>
      </c>
      <c r="H2873" s="16">
        <v>0.0</v>
      </c>
      <c r="I2873" s="15" t="str">
        <f>SUBSTITUTE(Sheet1!K2873, "Rp", "")</f>
        <v>0</v>
      </c>
    </row>
    <row r="2874">
      <c r="A2874" s="8" t="s">
        <v>4162</v>
      </c>
      <c r="B2874" s="13" t="str">
        <f>HYPERLINK("https://shopee.co.id/Brighter-Skin-Package-KANEBO-Smoothing-Serum-KANEBO-Illuminating-Serum-30ml-i.169111593.5773153675", "https://shopee.co.id/Brighter-Skin-Package-KANEBO-Smoothing-Serum-KANEBO-Illuminating-Serum-30ml-i.169111593.5773153675")</f>
        <v>https://shopee.co.id/Brighter-Skin-Package-KANEBO-Smoothing-Serum-KANEBO-Illuminating-Serum-30ml-i.169111593.5773153675</v>
      </c>
      <c r="C2874" s="8" t="s">
        <v>1473</v>
      </c>
      <c r="D2874" s="8" t="s">
        <v>1474</v>
      </c>
      <c r="E2874" s="8" t="s">
        <v>12</v>
      </c>
      <c r="F2874" s="8" t="s">
        <v>13</v>
      </c>
      <c r="G2874" s="8" t="s">
        <v>532</v>
      </c>
      <c r="H2874" s="16">
        <v>0.0</v>
      </c>
      <c r="I2874" s="15" t="str">
        <f>SUBSTITUTE(Sheet1!K2874, "Rp", "")</f>
        <v>0</v>
      </c>
    </row>
    <row r="2875">
      <c r="A2875" s="8" t="s">
        <v>4163</v>
      </c>
      <c r="B2875" s="13" t="str">
        <f>HYPERLINK("https://shopee.co.id/BRTC-Buy-1-Get-1-Free-The-First-Ampoule-Essence-30ml-i.252801087.5531845421", "https://shopee.co.id/BRTC-Buy-1-Get-1-Free-The-First-Ampoule-Essence-30ml-i.252801087.5531845421")</f>
        <v>https://shopee.co.id/BRTC-Buy-1-Get-1-Free-The-First-Ampoule-Essence-30ml-i.252801087.5531845421</v>
      </c>
      <c r="C2875" s="8" t="s">
        <v>3374</v>
      </c>
      <c r="D2875" s="8" t="s">
        <v>4164</v>
      </c>
      <c r="E2875" s="8" t="s">
        <v>12</v>
      </c>
      <c r="F2875" s="8" t="s">
        <v>13</v>
      </c>
      <c r="G2875" s="8" t="s">
        <v>130</v>
      </c>
      <c r="H2875" s="16">
        <v>0.0</v>
      </c>
      <c r="I2875" s="15" t="str">
        <f>SUBSTITUTE(Sheet1!K2875, "Rp", "")</f>
        <v>0</v>
      </c>
    </row>
    <row r="2876">
      <c r="A2876" s="8" t="s">
        <v>4165</v>
      </c>
      <c r="B2876" s="13" t="str">
        <f>HYPERLINK("https://shopee.co.id/BRTC-Pore-Tightening-Serum-60ml-i.252801087.5730923526", "https://shopee.co.id/BRTC-Pore-Tightening-Serum-60ml-i.252801087.5730923526")</f>
        <v>https://shopee.co.id/BRTC-Pore-Tightening-Serum-60ml-i.252801087.5730923526</v>
      </c>
      <c r="C2876" s="8" t="s">
        <v>3374</v>
      </c>
      <c r="D2876" s="8" t="s">
        <v>4164</v>
      </c>
      <c r="E2876" s="8" t="s">
        <v>12</v>
      </c>
      <c r="F2876" s="8" t="s">
        <v>13</v>
      </c>
      <c r="G2876" s="8" t="s">
        <v>130</v>
      </c>
      <c r="H2876" s="16">
        <v>0.0</v>
      </c>
      <c r="I2876" s="15" t="str">
        <f>SUBSTITUTE(Sheet1!K2876, "Rp", "")</f>
        <v>0</v>
      </c>
    </row>
    <row r="2877">
      <c r="A2877" s="8" t="s">
        <v>4165</v>
      </c>
      <c r="B2877" s="13" t="str">
        <f>HYPERLINK("https://shopee.co.id/BRTC-Pore-Tightening-Serum-60ml-i.24803305.6952507591", "https://shopee.co.id/BRTC-Pore-Tightening-Serum-60ml-i.24803305.6952507591")</f>
        <v>https://shopee.co.id/BRTC-Pore-Tightening-Serum-60ml-i.24803305.6952507591</v>
      </c>
      <c r="C2877" s="8" t="s">
        <v>3374</v>
      </c>
      <c r="D2877" s="8" t="s">
        <v>3375</v>
      </c>
      <c r="E2877" s="8" t="s">
        <v>12</v>
      </c>
      <c r="F2877" s="8" t="s">
        <v>13</v>
      </c>
      <c r="G2877" s="8" t="s">
        <v>130</v>
      </c>
      <c r="H2877" s="16">
        <v>0.0</v>
      </c>
      <c r="I2877" s="15" t="str">
        <f>SUBSTITUTE(Sheet1!K2877, "Rp", "")</f>
        <v>0</v>
      </c>
    </row>
    <row r="2878">
      <c r="A2878" s="8" t="s">
        <v>4166</v>
      </c>
      <c r="B2878" s="13" t="str">
        <f>HYPERLINK("https://shopee.co.id/BRTC-Pore-Tightening-Serum-30ml-i.10689.2368108169", "https://shopee.co.id/BRTC-Pore-Tightening-Serum-30ml-i.10689.2368108169")</f>
        <v>https://shopee.co.id/BRTC-Pore-Tightening-Serum-30ml-i.10689.2368108169</v>
      </c>
      <c r="C2878" s="8" t="s">
        <v>3374</v>
      </c>
      <c r="D2878" s="8" t="s">
        <v>745</v>
      </c>
      <c r="E2878" s="8" t="s">
        <v>12</v>
      </c>
      <c r="F2878" s="8" t="s">
        <v>13</v>
      </c>
      <c r="G2878" s="8" t="s">
        <v>61</v>
      </c>
      <c r="H2878" s="16">
        <v>0.0</v>
      </c>
      <c r="I2878" s="15" t="str">
        <f>SUBSTITUTE(Sheet1!K2878, "Rp", "")</f>
        <v>0</v>
      </c>
    </row>
    <row r="2879">
      <c r="A2879" s="8" t="s">
        <v>4167</v>
      </c>
      <c r="B2879" s="13" t="str">
        <f>HYPERLINK("https://shopee.co.id/BRTC-The-First-Ampoule-Essence-i.24803305.3852553821", "https://shopee.co.id/BRTC-The-First-Ampoule-Essence-i.24803305.3852553821")</f>
        <v>https://shopee.co.id/BRTC-The-First-Ampoule-Essence-i.24803305.3852553821</v>
      </c>
      <c r="C2879" s="8" t="s">
        <v>3374</v>
      </c>
      <c r="D2879" s="8" t="s">
        <v>3375</v>
      </c>
      <c r="E2879" s="8" t="s">
        <v>12</v>
      </c>
      <c r="F2879" s="8" t="s">
        <v>13</v>
      </c>
      <c r="G2879" s="8" t="s">
        <v>130</v>
      </c>
      <c r="H2879" s="16">
        <v>0.0</v>
      </c>
      <c r="I2879" s="15" t="str">
        <f>SUBSTITUTE(Sheet1!K2879, "Rp", "")</f>
        <v>0</v>
      </c>
    </row>
    <row r="2880">
      <c r="A2880" s="8" t="s">
        <v>3373</v>
      </c>
      <c r="B2880" s="13" t="str">
        <f>HYPERLINK("https://shopee.co.id/BRTC-The-First-Ampoule-Essence-150ml-i.252801087.6830923573", "https://shopee.co.id/BRTC-The-First-Ampoule-Essence-150ml-i.252801087.6830923573")</f>
        <v>https://shopee.co.id/BRTC-The-First-Ampoule-Essence-150ml-i.252801087.6830923573</v>
      </c>
      <c r="C2880" s="8" t="s">
        <v>3374</v>
      </c>
      <c r="D2880" s="8" t="s">
        <v>4164</v>
      </c>
      <c r="E2880" s="8" t="s">
        <v>12</v>
      </c>
      <c r="F2880" s="8" t="s">
        <v>13</v>
      </c>
      <c r="G2880" s="8" t="s">
        <v>130</v>
      </c>
      <c r="H2880" s="16">
        <v>0.0</v>
      </c>
      <c r="I2880" s="15" t="str">
        <f>SUBSTITUTE(Sheet1!K2880, "Rp", "")</f>
        <v>0</v>
      </c>
    </row>
    <row r="2881">
      <c r="A2881" s="8" t="s">
        <v>4168</v>
      </c>
      <c r="B2881" s="13" t="str">
        <f>HYPERLINK("https://shopee.co.id/BRTC-The-First-Ampoule-Essence-30ml-i.252801087.7930969920", "https://shopee.co.id/BRTC-The-First-Ampoule-Essence-30ml-i.252801087.7930969920")</f>
        <v>https://shopee.co.id/BRTC-The-First-Ampoule-Essence-30ml-i.252801087.7930969920</v>
      </c>
      <c r="C2881" s="8" t="s">
        <v>3374</v>
      </c>
      <c r="D2881" s="8" t="s">
        <v>4164</v>
      </c>
      <c r="E2881" s="8" t="s">
        <v>12</v>
      </c>
      <c r="F2881" s="8" t="s">
        <v>13</v>
      </c>
      <c r="G2881" s="8" t="s">
        <v>130</v>
      </c>
      <c r="H2881" s="16">
        <v>0.0</v>
      </c>
      <c r="I2881" s="15" t="str">
        <f>SUBSTITUTE(Sheet1!K2881, "Rp", "")</f>
        <v>0</v>
      </c>
    </row>
    <row r="2882">
      <c r="A2882" s="8" t="s">
        <v>4169</v>
      </c>
      <c r="B2882" s="13" t="str">
        <f>HYPERLINK("https://shopee.co.id/BRTC-The-First-Ampoule-Essence-310ml-i.24803305.6852507542", "https://shopee.co.id/BRTC-The-First-Ampoule-Essence-310ml-i.24803305.6852507542")</f>
        <v>https://shopee.co.id/BRTC-The-First-Ampoule-Essence-310ml-i.24803305.6852507542</v>
      </c>
      <c r="C2882" s="8" t="s">
        <v>3374</v>
      </c>
      <c r="D2882" s="8" t="s">
        <v>3375</v>
      </c>
      <c r="E2882" s="8" t="s">
        <v>12</v>
      </c>
      <c r="F2882" s="8" t="s">
        <v>13</v>
      </c>
      <c r="G2882" s="8" t="s">
        <v>130</v>
      </c>
      <c r="H2882" s="16">
        <v>0.0</v>
      </c>
      <c r="I2882" s="15" t="str">
        <f>SUBSTITUTE(Sheet1!K2882, "Rp", "")</f>
        <v>0</v>
      </c>
    </row>
    <row r="2883">
      <c r="A2883" s="8" t="s">
        <v>4169</v>
      </c>
      <c r="B2883" s="13" t="str">
        <f>HYPERLINK("https://shopee.co.id/BRTC-The-First-Ampoule-Essence-310ml-i.252801087.6230923573", "https://shopee.co.id/BRTC-The-First-Ampoule-Essence-310ml-i.252801087.6230923573")</f>
        <v>https://shopee.co.id/BRTC-The-First-Ampoule-Essence-310ml-i.252801087.6230923573</v>
      </c>
      <c r="C2883" s="8" t="s">
        <v>3374</v>
      </c>
      <c r="D2883" s="8" t="s">
        <v>4164</v>
      </c>
      <c r="E2883" s="8" t="s">
        <v>12</v>
      </c>
      <c r="F2883" s="8" t="s">
        <v>13</v>
      </c>
      <c r="G2883" s="8" t="s">
        <v>130</v>
      </c>
      <c r="H2883" s="16">
        <v>0.0</v>
      </c>
      <c r="I2883" s="15" t="str">
        <f>SUBSTITUTE(Sheet1!K2883, "Rp", "")</f>
        <v>0</v>
      </c>
    </row>
    <row r="2884">
      <c r="A2884" s="8" t="s">
        <v>4170</v>
      </c>
      <c r="B2884" s="13" t="str">
        <f>HYPERLINK("https://shopee.co.id/BUHOTEI-Serum-Wajah-Vitamin-Facial-Essense-Anti-Aging-Moisturizing-Serum-Isi-60-Kapsul-BPOM-i.403097854.13709240793", "https://shopee.co.id/BUHOTEI-Serum-Wajah-Vitamin-Facial-Essense-Anti-Aging-Moisturizing-Serum-Isi-60-Kapsul-BPOM-i.403097854.13709240793")</f>
        <v>https://shopee.co.id/BUHOTEI-Serum-Wajah-Vitamin-Facial-Essense-Anti-Aging-Moisturizing-Serum-Isi-60-Kapsul-BPOM-i.403097854.13709240793</v>
      </c>
      <c r="C2884" s="8" t="s">
        <v>4171</v>
      </c>
      <c r="D2884" s="8" t="s">
        <v>1035</v>
      </c>
      <c r="E2884" s="8" t="s">
        <v>12</v>
      </c>
      <c r="F2884" s="8" t="s">
        <v>13</v>
      </c>
      <c r="G2884" s="8" t="s">
        <v>61</v>
      </c>
      <c r="H2884" s="16">
        <v>0.0</v>
      </c>
      <c r="I2884" s="15" t="str">
        <f>SUBSTITUTE(Sheet1!K2884, "Rp", "")</f>
        <v>0</v>
      </c>
    </row>
    <row r="2885">
      <c r="A2885" s="8" t="s">
        <v>4172</v>
      </c>
      <c r="B2885" s="13" t="str">
        <f>HYPERLINK("https://shopee.co.id/Bundle-Neogen-Dermalogy-Wine-Sachet-3-pcs-x-Skinme-Dualmee-Series-Youthfull-i.61523009.9590381939", "https://shopee.co.id/Bundle-Neogen-Dermalogy-Wine-Sachet-3-pcs-x-Skinme-Dualmee-Series-Youthfull-i.61523009.9590381939")</f>
        <v>https://shopee.co.id/Bundle-Neogen-Dermalogy-Wine-Sachet-3-pcs-x-Skinme-Dualmee-Series-Youthfull-i.61523009.9590381939</v>
      </c>
      <c r="C2885" s="8" t="s">
        <v>2093</v>
      </c>
      <c r="D2885" s="8" t="s">
        <v>2094</v>
      </c>
      <c r="E2885" s="8" t="s">
        <v>12</v>
      </c>
      <c r="F2885" s="8" t="s">
        <v>13</v>
      </c>
      <c r="G2885" s="8" t="s">
        <v>98</v>
      </c>
      <c r="H2885" s="16">
        <v>0.0</v>
      </c>
      <c r="I2885" s="15" t="str">
        <f>SUBSTITUTE(Sheet1!K2885, "Rp", "")</f>
        <v>0</v>
      </c>
    </row>
    <row r="2886">
      <c r="A2886" s="8" t="s">
        <v>4173</v>
      </c>
      <c r="B2886" s="13" t="str">
        <f>HYPERLINK("https://shopee.co.id/Bundle-Neogen-Dermalogy-Wine-Small-x-Skinme-Dualmee-Series-Youthfull-i.61523009.10931985262", "https://shopee.co.id/Bundle-Neogen-Dermalogy-Wine-Small-x-Skinme-Dualmee-Series-Youthfull-i.61523009.10931985262")</f>
        <v>https://shopee.co.id/Bundle-Neogen-Dermalogy-Wine-Small-x-Skinme-Dualmee-Series-Youthfull-i.61523009.10931985262</v>
      </c>
      <c r="C2886" s="8" t="s">
        <v>2093</v>
      </c>
      <c r="D2886" s="8" t="s">
        <v>2094</v>
      </c>
      <c r="E2886" s="8" t="s">
        <v>12</v>
      </c>
      <c r="F2886" s="8" t="s">
        <v>13</v>
      </c>
      <c r="G2886" s="8" t="s">
        <v>98</v>
      </c>
      <c r="H2886" s="16">
        <v>0.0</v>
      </c>
      <c r="I2886" s="15" t="str">
        <f>SUBSTITUTE(Sheet1!K2886, "Rp", "")</f>
        <v>0</v>
      </c>
    </row>
    <row r="2887">
      <c r="A2887" s="8" t="s">
        <v>4174</v>
      </c>
      <c r="B2887" s="13" t="str">
        <f>HYPERLINK("https://shopee.co.id/BUNDLING-ESSENCE-INFILT-30-ML-WH-CREAM-30-GR-i.104888237.8273683918", "https://shopee.co.id/BUNDLING-ESSENCE-INFILT-30-ML-WH-CREAM-30-GR-i.104888237.8273683918")</f>
        <v>https://shopee.co.id/BUNDLING-ESSENCE-INFILT-30-ML-WH-CREAM-30-GR-i.104888237.8273683918</v>
      </c>
      <c r="C2887" s="8" t="s">
        <v>1529</v>
      </c>
      <c r="D2887" s="8" t="s">
        <v>1530</v>
      </c>
      <c r="E2887" s="8" t="s">
        <v>12</v>
      </c>
      <c r="F2887" s="8" t="s">
        <v>13</v>
      </c>
      <c r="G2887" s="8" t="s">
        <v>61</v>
      </c>
      <c r="H2887" s="16">
        <v>0.0</v>
      </c>
      <c r="I2887" s="15" t="str">
        <f>SUBSTITUTE(Sheet1!K2887, "Rp", "")</f>
        <v>0</v>
      </c>
    </row>
    <row r="2888">
      <c r="A2888" s="8" t="s">
        <v>4175</v>
      </c>
      <c r="B2888" s="13" t="str">
        <f>HYPERLINK("https://shopee.co.id/Bundling-HYA-Intensive-Whitening-Pre-Serum-Miracle-Fluid-Facial-Treatment-Essence-i.118878742.9913787013", "https://shopee.co.id/Bundling-HYA-Intensive-Whitening-Pre-Serum-Miracle-Fluid-Facial-Treatment-Essence-i.118878742.9913787013")</f>
        <v>https://shopee.co.id/Bundling-HYA-Intensive-Whitening-Pre-Serum-Miracle-Fluid-Facial-Treatment-Essence-i.118878742.9913787013</v>
      </c>
      <c r="C2888" s="8" t="s">
        <v>2592</v>
      </c>
      <c r="D2888" s="8" t="s">
        <v>2593</v>
      </c>
      <c r="E2888" s="8" t="s">
        <v>12</v>
      </c>
      <c r="F2888" s="8" t="s">
        <v>13</v>
      </c>
      <c r="G2888" s="8" t="s">
        <v>61</v>
      </c>
      <c r="H2888" s="16">
        <v>0.0</v>
      </c>
      <c r="I2888" s="15" t="str">
        <f>SUBSTITUTE(Sheet1!K2888, "Rp", "")</f>
        <v>0</v>
      </c>
    </row>
    <row r="2889">
      <c r="A2889" s="8" t="s">
        <v>4176</v>
      </c>
      <c r="B2889" s="13" t="str">
        <f>HYPERLINK("https://shopee.co.id/Bundling-Minimizer-Pore-free-FACE-MIST-i.3087844.3583137373", "https://shopee.co.id/Bundling-Minimizer-Pore-free-FACE-MIST-i.3087844.3583137373")</f>
        <v>https://shopee.co.id/Bundling-Minimizer-Pore-free-FACE-MIST-i.3087844.3583137373</v>
      </c>
      <c r="C2889" s="8" t="s">
        <v>2465</v>
      </c>
      <c r="D2889" s="8" t="s">
        <v>1158</v>
      </c>
      <c r="E2889" s="8" t="s">
        <v>12</v>
      </c>
      <c r="F2889" s="8" t="s">
        <v>13</v>
      </c>
      <c r="G2889" s="8" t="s">
        <v>241</v>
      </c>
      <c r="H2889" s="16">
        <v>0.0</v>
      </c>
      <c r="I2889" s="15" t="str">
        <f>SUBSTITUTE(Sheet1!K2889, "Rp", "")</f>
        <v>0</v>
      </c>
    </row>
    <row r="2890">
      <c r="A2890" s="8" t="s">
        <v>4177</v>
      </c>
      <c r="B2890" s="13" t="str">
        <f>HYPERLINK("https://shopee.co.id/Buy-1-Get-1-Bio-Essence-Bio-Bounce-Collagen-Essence-30-ml-i.63822287.12506193570", "https://shopee.co.id/Buy-1-Get-1-Bio-Essence-Bio-Bounce-Collagen-Essence-30-ml-i.63822287.12506193570")</f>
        <v>https://shopee.co.id/Buy-1-Get-1-Bio-Essence-Bio-Bounce-Collagen-Essence-30-ml-i.63822287.12506193570</v>
      </c>
      <c r="C2890" s="8" t="s">
        <v>1254</v>
      </c>
      <c r="D2890" s="8" t="s">
        <v>835</v>
      </c>
      <c r="E2890" s="8" t="s">
        <v>12</v>
      </c>
      <c r="F2890" s="8" t="s">
        <v>13</v>
      </c>
      <c r="G2890" s="8" t="s">
        <v>61</v>
      </c>
      <c r="H2890" s="16">
        <v>0.0</v>
      </c>
      <c r="I2890" s="15" t="str">
        <f>SUBSTITUTE(Sheet1!K2890, "Rp", "")</f>
        <v>0</v>
      </c>
    </row>
    <row r="2891">
      <c r="A2891" s="8" t="s">
        <v>4178</v>
      </c>
      <c r="B2891" s="13" t="str">
        <f>HYPERLINK("https://shopee.co.id/Buy-1-Get-1-Bio-Essence-BioWater-Moistin-Water-Lotion-Toner-150ml-i.63822287.11443964807", "https://shopee.co.id/Buy-1-Get-1-Bio-Essence-BioWater-Moistin-Water-Lotion-Toner-150ml-i.63822287.11443964807")</f>
        <v>https://shopee.co.id/Buy-1-Get-1-Bio-Essence-BioWater-Moistin-Water-Lotion-Toner-150ml-i.63822287.11443964807</v>
      </c>
      <c r="C2891" s="8" t="s">
        <v>1254</v>
      </c>
      <c r="D2891" s="8" t="s">
        <v>835</v>
      </c>
      <c r="E2891" s="8" t="s">
        <v>12</v>
      </c>
      <c r="F2891" s="8" t="s">
        <v>13</v>
      </c>
      <c r="G2891" s="8" t="s">
        <v>61</v>
      </c>
      <c r="H2891" s="16">
        <v>0.0</v>
      </c>
      <c r="I2891" s="15" t="str">
        <f>SUBSTITUTE(Sheet1!K2891, "Rp", "")</f>
        <v>0</v>
      </c>
    </row>
    <row r="2892">
      <c r="A2892" s="8" t="s">
        <v>4179</v>
      </c>
      <c r="B2892" s="13" t="str">
        <f>HYPERLINK("https://shopee.co.id/Buy-2x-Pond-s-Triple-Glow-Serum-30ml-Free-Wendy-s-Signed-Photo-Card-i.14318452.9272081138", "https://shopee.co.id/Buy-2x-Pond-s-Triple-Glow-Serum-30ml-Free-Wendy-s-Signed-Photo-Card-i.14318452.9272081138")</f>
        <v>https://shopee.co.id/Buy-2x-Pond-s-Triple-Glow-Serum-30ml-Free-Wendy-s-Signed-Photo-Card-i.14318452.9272081138</v>
      </c>
      <c r="C2892" s="8" t="s">
        <v>325</v>
      </c>
      <c r="D2892" s="8" t="s">
        <v>326</v>
      </c>
      <c r="E2892" s="8" t="s">
        <v>12</v>
      </c>
      <c r="F2892" s="8" t="s">
        <v>13</v>
      </c>
      <c r="G2892" s="8" t="s">
        <v>296</v>
      </c>
      <c r="H2892" s="16">
        <v>0.0</v>
      </c>
      <c r="I2892" s="15" t="str">
        <f>SUBSTITUTE(Sheet1!K2892, "Rp", "")</f>
        <v>0</v>
      </c>
    </row>
    <row r="2893">
      <c r="A2893" s="8" t="s">
        <v>4180</v>
      </c>
      <c r="B2893" s="13" t="str">
        <f>HYPERLINK("https://shopee.co.id/Callista-Cica-Reviving-Serum-20ml-i.825870.5968168295", "https://shopee.co.id/Callista-Cica-Reviving-Serum-20ml-i.825870.5968168295")</f>
        <v>https://shopee.co.id/Callista-Cica-Reviving-Serum-20ml-i.825870.5968168295</v>
      </c>
      <c r="C2893" s="8" t="s">
        <v>4181</v>
      </c>
      <c r="D2893" s="8" t="s">
        <v>1184</v>
      </c>
      <c r="E2893" s="8" t="s">
        <v>12</v>
      </c>
      <c r="F2893" s="8" t="s">
        <v>13</v>
      </c>
      <c r="G2893" s="8" t="s">
        <v>21</v>
      </c>
      <c r="H2893" s="16">
        <v>0.0</v>
      </c>
      <c r="I2893" s="15" t="str">
        <f>SUBSTITUTE(Sheet1!K2893, "Rp", "")</f>
        <v>0</v>
      </c>
    </row>
    <row r="2894">
      <c r="A2894" s="8" t="s">
        <v>4182</v>
      </c>
      <c r="B2894" s="13" t="str">
        <f>HYPERLINK("https://shopee.co.id/Calmedi-Essential-Mix-Serum-10-ml-Serum-Pelembab-Wajah-i.129229117.2606449260", "https://shopee.co.id/Calmedi-Essential-Mix-Serum-10-ml-Serum-Pelembab-Wajah-i.129229117.2606449260")</f>
        <v>https://shopee.co.id/Calmedi-Essential-Mix-Serum-10-ml-Serum-Pelembab-Wajah-i.129229117.2606449260</v>
      </c>
      <c r="C2894" s="8" t="s">
        <v>2931</v>
      </c>
      <c r="D2894" s="8" t="s">
        <v>2932</v>
      </c>
      <c r="E2894" s="8" t="s">
        <v>12</v>
      </c>
      <c r="F2894" s="8" t="s">
        <v>13</v>
      </c>
      <c r="G2894" s="8" t="s">
        <v>98</v>
      </c>
      <c r="H2894" s="16">
        <v>0.0</v>
      </c>
      <c r="I2894" s="15" t="str">
        <f>SUBSTITUTE(Sheet1!K2894, "Rp", "")</f>
        <v>0</v>
      </c>
    </row>
    <row r="2895">
      <c r="A2895" s="8" t="s">
        <v>4183</v>
      </c>
      <c r="B2895" s="13" t="str">
        <f>HYPERLINK("https://shopee.co.id/Calmedi-Exfoliating-Essence-60-ml-Melembabkan-Kulit-Mencerahkan-dan-Mengangkat-Sel-Kulit-Mati-i.129229117.6030127434", "https://shopee.co.id/Calmedi-Exfoliating-Essence-60-ml-Melembabkan-Kulit-Mencerahkan-dan-Mengangkat-Sel-Kulit-Mati-i.129229117.6030127434")</f>
        <v>https://shopee.co.id/Calmedi-Exfoliating-Essence-60-ml-Melembabkan-Kulit-Mencerahkan-dan-Mengangkat-Sel-Kulit-Mati-i.129229117.6030127434</v>
      </c>
      <c r="C2895" s="8" t="s">
        <v>2931</v>
      </c>
      <c r="D2895" s="8" t="s">
        <v>2932</v>
      </c>
      <c r="E2895" s="8" t="s">
        <v>12</v>
      </c>
      <c r="F2895" s="8" t="s">
        <v>13</v>
      </c>
      <c r="G2895" s="8" t="s">
        <v>98</v>
      </c>
      <c r="H2895" s="16">
        <v>0.0</v>
      </c>
      <c r="I2895" s="15" t="str">
        <f>SUBSTITUTE(Sheet1!K2895, "Rp", "")</f>
        <v>0</v>
      </c>
    </row>
    <row r="2896">
      <c r="A2896" s="8" t="s">
        <v>4184</v>
      </c>
      <c r="B2896" s="13" t="str">
        <f>HYPERLINK("https://shopee.co.id/Calmedi-Gold-Rejuvination-Series-Anti-Aging-for-All-Skin-Types-i.129229117.11622993154", "https://shopee.co.id/Calmedi-Gold-Rejuvination-Series-Anti-Aging-for-All-Skin-Types-i.129229117.11622993154")</f>
        <v>https://shopee.co.id/Calmedi-Gold-Rejuvination-Series-Anti-Aging-for-All-Skin-Types-i.129229117.11622993154</v>
      </c>
      <c r="C2896" s="8" t="s">
        <v>2931</v>
      </c>
      <c r="D2896" s="8" t="s">
        <v>2932</v>
      </c>
      <c r="E2896" s="8" t="s">
        <v>12</v>
      </c>
      <c r="F2896" s="8" t="s">
        <v>13</v>
      </c>
      <c r="G2896" s="8" t="s">
        <v>98</v>
      </c>
      <c r="H2896" s="16">
        <v>0.0</v>
      </c>
      <c r="I2896" s="15" t="str">
        <f>SUBSTITUTE(Sheet1!K2896, "Rp", "")</f>
        <v>0</v>
      </c>
    </row>
    <row r="2897">
      <c r="A2897" s="8" t="s">
        <v>4185</v>
      </c>
      <c r="B2897" s="13" t="str">
        <f>HYPERLINK("https://shopee.co.id/Cell-Renew-Bio-Emulsion-150ml-i.58386356.6226663864", "https://shopee.co.id/Cell-Renew-Bio-Emulsion-150ml-i.58386356.6226663864")</f>
        <v>https://shopee.co.id/Cell-Renew-Bio-Emulsion-150ml-i.58386356.6226663864</v>
      </c>
      <c r="C2897" s="8" t="s">
        <v>2339</v>
      </c>
      <c r="D2897" s="8" t="s">
        <v>2340</v>
      </c>
      <c r="E2897" s="8" t="s">
        <v>12</v>
      </c>
      <c r="F2897" s="8" t="s">
        <v>13</v>
      </c>
      <c r="G2897" s="8" t="s">
        <v>21</v>
      </c>
      <c r="H2897" s="16">
        <v>0.0</v>
      </c>
      <c r="I2897" s="15" t="str">
        <f>SUBSTITUTE(Sheet1!K2897, "Rp", "")</f>
        <v>0</v>
      </c>
    </row>
    <row r="2898">
      <c r="A2898" s="8" t="s">
        <v>4186</v>
      </c>
      <c r="B2898" s="13" t="str">
        <f>HYPERLINK("https://shopee.co.id/Cell-Renew-Bio-Essence-60ml-i.58386356.4732488023", "https://shopee.co.id/Cell-Renew-Bio-Essence-60ml-i.58386356.4732488023")</f>
        <v>https://shopee.co.id/Cell-Renew-Bio-Essence-60ml-i.58386356.4732488023</v>
      </c>
      <c r="C2898" s="8" t="s">
        <v>1254</v>
      </c>
      <c r="D2898" s="8" t="s">
        <v>2340</v>
      </c>
      <c r="E2898" s="8" t="s">
        <v>12</v>
      </c>
      <c r="F2898" s="8" t="s">
        <v>13</v>
      </c>
      <c r="G2898" s="8" t="s">
        <v>21</v>
      </c>
      <c r="H2898" s="16">
        <v>0.0</v>
      </c>
      <c r="I2898" s="15" t="str">
        <f>SUBSTITUTE(Sheet1!K2898, "Rp", "")</f>
        <v>0</v>
      </c>
    </row>
    <row r="2899">
      <c r="A2899" s="8" t="s">
        <v>4187</v>
      </c>
      <c r="B2899" s="13" t="str">
        <f>HYPERLINK("https://shopee.co.id/CELLSCIENCE-Skeyndor-Clear-Balance-Pore-Refining-Repair-Serum-i.296546304.7748465266", "https://shopee.co.id/CELLSCIENCE-Skeyndor-Clear-Balance-Pore-Refining-Repair-Serum-i.296546304.7748465266")</f>
        <v>https://shopee.co.id/CELLSCIENCE-Skeyndor-Clear-Balance-Pore-Refining-Repair-Serum-i.296546304.7748465266</v>
      </c>
      <c r="C2899" s="8" t="s">
        <v>2215</v>
      </c>
      <c r="D2899" s="8" t="s">
        <v>4188</v>
      </c>
      <c r="E2899" s="8" t="s">
        <v>12</v>
      </c>
      <c r="F2899" s="8" t="s">
        <v>13</v>
      </c>
      <c r="G2899" s="8" t="s">
        <v>21</v>
      </c>
      <c r="H2899" s="16">
        <v>0.0</v>
      </c>
      <c r="I2899" s="15" t="str">
        <f>SUBSTITUTE(Sheet1!K2899, "Rp", "")</f>
        <v>0</v>
      </c>
    </row>
    <row r="2900">
      <c r="A2900" s="8" t="s">
        <v>4189</v>
      </c>
      <c r="B2900" s="13" t="str">
        <f>HYPERLINK("https://shopee.co.id/Charlotte-Kay-Ageless-Firming-Serum-15ml-i.825870.5941475009", "https://shopee.co.id/Charlotte-Kay-Ageless-Firming-Serum-15ml-i.825870.5941475009")</f>
        <v>https://shopee.co.id/Charlotte-Kay-Ageless-Firming-Serum-15ml-i.825870.5941475009</v>
      </c>
      <c r="C2900" s="8" t="s">
        <v>4190</v>
      </c>
      <c r="D2900" s="8" t="s">
        <v>1184</v>
      </c>
      <c r="E2900" s="8" t="s">
        <v>12</v>
      </c>
      <c r="F2900" s="8" t="s">
        <v>13</v>
      </c>
      <c r="G2900" s="8" t="s">
        <v>21</v>
      </c>
      <c r="H2900" s="16">
        <v>0.0</v>
      </c>
      <c r="I2900" s="15" t="str">
        <f>SUBSTITUTE(Sheet1!K2900, "Rp", "")</f>
        <v>0</v>
      </c>
    </row>
    <row r="2901">
      <c r="A2901" s="8" t="s">
        <v>4191</v>
      </c>
      <c r="B2901" s="13" t="str">
        <f>HYPERLINK("https://shopee.co.id/Charlotte-Kay-Whitening-Serum-20ml-i.825870.7741486639", "https://shopee.co.id/Charlotte-Kay-Whitening-Serum-20ml-i.825870.7741486639")</f>
        <v>https://shopee.co.id/Charlotte-Kay-Whitening-Serum-20ml-i.825870.7741486639</v>
      </c>
      <c r="C2901" s="8" t="s">
        <v>4190</v>
      </c>
      <c r="D2901" s="8" t="s">
        <v>1184</v>
      </c>
      <c r="E2901" s="8" t="s">
        <v>12</v>
      </c>
      <c r="F2901" s="8" t="s">
        <v>13</v>
      </c>
      <c r="G2901" s="8" t="s">
        <v>21</v>
      </c>
      <c r="H2901" s="16">
        <v>0.0</v>
      </c>
      <c r="I2901" s="15" t="str">
        <f>SUBSTITUTE(Sheet1!K2901, "Rp", "")</f>
        <v>0</v>
      </c>
    </row>
    <row r="2902">
      <c r="A2902" s="8" t="s">
        <v>4192</v>
      </c>
      <c r="B2902" s="13" t="str">
        <f>HYPERLINK("https://shopee.co.id/Charlotte-Kay-Whitening-Serum-for-Oily-20ml-i.825870.4841492804", "https://shopee.co.id/Charlotte-Kay-Whitening-Serum-for-Oily-20ml-i.825870.4841492804")</f>
        <v>https://shopee.co.id/Charlotte-Kay-Whitening-Serum-for-Oily-20ml-i.825870.4841492804</v>
      </c>
      <c r="C2902" s="8" t="s">
        <v>4190</v>
      </c>
      <c r="D2902" s="8" t="s">
        <v>1184</v>
      </c>
      <c r="E2902" s="8" t="s">
        <v>12</v>
      </c>
      <c r="F2902" s="8" t="s">
        <v>13</v>
      </c>
      <c r="G2902" s="8" t="s">
        <v>21</v>
      </c>
      <c r="H2902" s="16">
        <v>0.0</v>
      </c>
      <c r="I2902" s="15" t="str">
        <f>SUBSTITUTE(Sheet1!K2902, "Rp", "")</f>
        <v>0</v>
      </c>
    </row>
    <row r="2903">
      <c r="A2903" s="8" t="s">
        <v>4193</v>
      </c>
      <c r="B2903" s="13" t="str">
        <f>HYPERLINK("https://shopee.co.id/CHLODIO-Murier-Blanc-Brightening-Serum-30ml--i.238844228.3130758867", "https://shopee.co.id/CHLODIO-Murier-Blanc-Brightening-Serum-30ml--i.238844228.3130758867")</f>
        <v>https://shopee.co.id/CHLODIO-Murier-Blanc-Brightening-Serum-30ml--i.238844228.3130758867</v>
      </c>
      <c r="C2903" s="8" t="s">
        <v>4194</v>
      </c>
      <c r="D2903" s="8" t="s">
        <v>4195</v>
      </c>
      <c r="E2903" s="8" t="s">
        <v>12</v>
      </c>
      <c r="F2903" s="8" t="s">
        <v>13</v>
      </c>
      <c r="G2903" s="8" t="s">
        <v>98</v>
      </c>
      <c r="H2903" s="16">
        <v>0.0</v>
      </c>
      <c r="I2903" s="15" t="str">
        <f>SUBSTITUTE(Sheet1!K2903, "Rp", "")</f>
        <v>0</v>
      </c>
    </row>
    <row r="2904">
      <c r="A2904" s="8" t="s">
        <v>4196</v>
      </c>
      <c r="B2904" s="13" t="str">
        <f>HYPERLINK("https://shopee.co.id/CHLODIO-Murier-Blanc-Brightening-Serum-Bundle-2-pcs-30ml--i.238844228.6923431224", "https://shopee.co.id/CHLODIO-Murier-Blanc-Brightening-Serum-Bundle-2-pcs-30ml--i.238844228.6923431224")</f>
        <v>https://shopee.co.id/CHLODIO-Murier-Blanc-Brightening-Serum-Bundle-2-pcs-30ml--i.238844228.6923431224</v>
      </c>
      <c r="C2904" s="8" t="s">
        <v>4194</v>
      </c>
      <c r="D2904" s="8" t="s">
        <v>4195</v>
      </c>
      <c r="E2904" s="8" t="s">
        <v>12</v>
      </c>
      <c r="F2904" s="8" t="s">
        <v>13</v>
      </c>
      <c r="G2904" s="8" t="s">
        <v>98</v>
      </c>
      <c r="H2904" s="16">
        <v>0.0</v>
      </c>
      <c r="I2904" s="15" t="str">
        <f>SUBSTITUTE(Sheet1!K2904, "Rp", "")</f>
        <v>0</v>
      </c>
    </row>
    <row r="2905">
      <c r="A2905" s="8" t="s">
        <v>4197</v>
      </c>
      <c r="B2905" s="13" t="str">
        <f>HYPERLINK("https://shopee.co.id/CLEARANCESALE-SERUM-EXPIRED-SEPTEMBER-2021--i.93727097.8419830271", "https://shopee.co.id/CLEARANCESALE-SERUM-EXPIRED-SEPTEMBER-2021--i.93727097.8419830271")</f>
        <v>https://shopee.co.id/CLEARANCESALE-SERUM-EXPIRED-SEPTEMBER-2021--i.93727097.8419830271</v>
      </c>
      <c r="C2905" s="8" t="s">
        <v>2713</v>
      </c>
      <c r="D2905" s="8" t="s">
        <v>2714</v>
      </c>
      <c r="E2905" s="8" t="s">
        <v>12</v>
      </c>
      <c r="F2905" s="8" t="s">
        <v>13</v>
      </c>
      <c r="G2905" s="8" t="s">
        <v>1048</v>
      </c>
      <c r="H2905" s="16">
        <v>0.0</v>
      </c>
      <c r="I2905" s="15" t="str">
        <f>SUBSTITUTE(Sheet1!K2905, "Rp", "")</f>
        <v>0</v>
      </c>
    </row>
    <row r="2906">
      <c r="A2906" s="8" t="s">
        <v>4198</v>
      </c>
      <c r="B2906" s="13" t="str">
        <f>HYPERLINK("https://shopee.co.id/Clinelle-Age-Revive-Emulsion-80ml-i.186214521.3633399130", "https://shopee.co.id/Clinelle-Age-Revive-Emulsion-80ml-i.186214521.3633399130")</f>
        <v>https://shopee.co.id/Clinelle-Age-Revive-Emulsion-80ml-i.186214521.3633399130</v>
      </c>
      <c r="C2906" s="8" t="s">
        <v>1456</v>
      </c>
      <c r="D2906" s="8" t="s">
        <v>2293</v>
      </c>
      <c r="E2906" s="8" t="s">
        <v>12</v>
      </c>
      <c r="F2906" s="8" t="s">
        <v>13</v>
      </c>
      <c r="G2906" s="8" t="s">
        <v>61</v>
      </c>
      <c r="H2906" s="16">
        <v>0.0</v>
      </c>
      <c r="I2906" s="15" t="str">
        <f>SUBSTITUTE(Sheet1!K2906, "Rp", "")</f>
        <v>0</v>
      </c>
    </row>
    <row r="2907">
      <c r="A2907" s="8" t="s">
        <v>4199</v>
      </c>
      <c r="B2907" s="13" t="str">
        <f>HYPERLINK("https://shopee.co.id/Clinelle-Age-Revive-Youth-Essence-20ml-i.186214521.3533399126", "https://shopee.co.id/Clinelle-Age-Revive-Youth-Essence-20ml-i.186214521.3533399126")</f>
        <v>https://shopee.co.id/Clinelle-Age-Revive-Youth-Essence-20ml-i.186214521.3533399126</v>
      </c>
      <c r="C2907" s="8" t="s">
        <v>1456</v>
      </c>
      <c r="D2907" s="8" t="s">
        <v>2293</v>
      </c>
      <c r="E2907" s="8" t="s">
        <v>12</v>
      </c>
      <c r="F2907" s="8" t="s">
        <v>13</v>
      </c>
      <c r="G2907" s="8" t="s">
        <v>61</v>
      </c>
      <c r="H2907" s="16">
        <v>0.0</v>
      </c>
      <c r="I2907" s="15" t="str">
        <f>SUBSTITUTE(Sheet1!K2907, "Rp", "")</f>
        <v>0</v>
      </c>
    </row>
    <row r="2908">
      <c r="A2908" s="8" t="s">
        <v>4200</v>
      </c>
      <c r="B2908" s="13" t="str">
        <f>HYPERLINK("https://shopee.co.id/Clinelle-Caviar-Gold-Firming-Serum-30-ml-i.186214521.6404532303", "https://shopee.co.id/Clinelle-Caviar-Gold-Firming-Serum-30-ml-i.186214521.6404532303")</f>
        <v>https://shopee.co.id/Clinelle-Caviar-Gold-Firming-Serum-30-ml-i.186214521.6404532303</v>
      </c>
      <c r="C2908" s="8" t="s">
        <v>1456</v>
      </c>
      <c r="D2908" s="8" t="s">
        <v>2293</v>
      </c>
      <c r="E2908" s="8" t="s">
        <v>12</v>
      </c>
      <c r="F2908" s="8" t="s">
        <v>13</v>
      </c>
      <c r="G2908" s="8" t="s">
        <v>61</v>
      </c>
      <c r="H2908" s="16">
        <v>0.0</v>
      </c>
      <c r="I2908" s="15" t="str">
        <f>SUBSTITUTE(Sheet1!K2908, "Rp", "")</f>
        <v>0</v>
      </c>
    </row>
    <row r="2909">
      <c r="A2909" s="8" t="s">
        <v>4201</v>
      </c>
      <c r="B2909" s="13" t="str">
        <f>HYPERLINK("https://shopee.co.id/Clinelle-CaviarGold-Firming-Serum-30ml-i.10689.1449238228", "https://shopee.co.id/Clinelle-CaviarGold-Firming-Serum-30ml-i.10689.1449238228")</f>
        <v>https://shopee.co.id/Clinelle-CaviarGold-Firming-Serum-30ml-i.10689.1449238228</v>
      </c>
      <c r="C2909" s="8" t="s">
        <v>1456</v>
      </c>
      <c r="D2909" s="8" t="s">
        <v>745</v>
      </c>
      <c r="E2909" s="8" t="s">
        <v>12</v>
      </c>
      <c r="F2909" s="8" t="s">
        <v>13</v>
      </c>
      <c r="G2909" s="8" t="s">
        <v>61</v>
      </c>
      <c r="H2909" s="16">
        <v>0.0</v>
      </c>
      <c r="I2909" s="15" t="str">
        <f>SUBSTITUTE(Sheet1!K2909, "Rp", "")</f>
        <v>0</v>
      </c>
    </row>
    <row r="2910">
      <c r="A2910" s="8" t="s">
        <v>4202</v>
      </c>
      <c r="B2910" s="13" t="str">
        <f>HYPERLINK("https://shopee.co.id/Clinelle-PureSWISS-Hydracalm-Serum-20ml-i.10689.1449189762", "https://shopee.co.id/Clinelle-PureSWISS-Hydracalm-Serum-20ml-i.10689.1449189762")</f>
        <v>https://shopee.co.id/Clinelle-PureSWISS-Hydracalm-Serum-20ml-i.10689.1449189762</v>
      </c>
      <c r="C2910" s="8" t="s">
        <v>1456</v>
      </c>
      <c r="D2910" s="8" t="s">
        <v>745</v>
      </c>
      <c r="E2910" s="8" t="s">
        <v>12</v>
      </c>
      <c r="F2910" s="8" t="s">
        <v>13</v>
      </c>
      <c r="G2910" s="8" t="s">
        <v>61</v>
      </c>
      <c r="H2910" s="16">
        <v>0.0</v>
      </c>
      <c r="I2910" s="15" t="str">
        <f>SUBSTITUTE(Sheet1!K2910, "Rp", "")</f>
        <v>0</v>
      </c>
    </row>
    <row r="2911">
      <c r="A2911" s="8" t="s">
        <v>4203</v>
      </c>
      <c r="B2911" s="13" t="str">
        <f>HYPERLINK("https://shopee.co.id/Clove-Flower-Turmeric-Anti-Aging-Serum-i.69878037.1168212728", "https://shopee.co.id/Clove-Flower-Turmeric-Anti-Aging-Serum-i.69878037.1168212728")</f>
        <v>https://shopee.co.id/Clove-Flower-Turmeric-Anti-Aging-Serum-i.69878037.1168212728</v>
      </c>
      <c r="C2911" s="8" t="s">
        <v>3655</v>
      </c>
      <c r="D2911" s="8" t="s">
        <v>3656</v>
      </c>
      <c r="E2911" s="8" t="s">
        <v>12</v>
      </c>
      <c r="F2911" s="8" t="s">
        <v>13</v>
      </c>
      <c r="G2911" s="8" t="s">
        <v>532</v>
      </c>
      <c r="H2911" s="16">
        <v>0.0</v>
      </c>
      <c r="I2911" s="15" t="str">
        <f>SUBSTITUTE(Sheet1!K2911, "Rp", "")</f>
        <v>0</v>
      </c>
    </row>
    <row r="2912">
      <c r="A2912" s="8" t="s">
        <v>4204</v>
      </c>
      <c r="B2912" s="13" t="str">
        <f>HYPERLINK("https://shopee.co.id/Collistar-2-Pack-Molecular-Spray-Collagen-Anti-Wrinkle-Firming-100-mL-i.399500781.6786487927", "https://shopee.co.id/Collistar-2-Pack-Molecular-Spray-Collagen-Anti-Wrinkle-Firming-100-mL-i.399500781.6786487927")</f>
        <v>https://shopee.co.id/Collistar-2-Pack-Molecular-Spray-Collagen-Anti-Wrinkle-Firming-100-mL-i.399500781.6786487927</v>
      </c>
      <c r="C2912" s="8" t="s">
        <v>4205</v>
      </c>
      <c r="D2912" s="8" t="s">
        <v>4206</v>
      </c>
      <c r="E2912" s="8" t="s">
        <v>12</v>
      </c>
      <c r="F2912" s="8" t="s">
        <v>13</v>
      </c>
      <c r="G2912" s="8" t="s">
        <v>61</v>
      </c>
      <c r="H2912" s="16">
        <v>0.0</v>
      </c>
      <c r="I2912" s="15" t="str">
        <f>SUBSTITUTE(Sheet1!K2912, "Rp", "")</f>
        <v>0</v>
      </c>
    </row>
    <row r="2913">
      <c r="A2913" s="8" t="s">
        <v>4207</v>
      </c>
      <c r="B2913" s="13" t="str">
        <f>HYPERLINK("https://shopee.co.id/COSRX-Hyaluronic-Acid-Hydra-Power-Essence-100ml-i.187117294.8602504982", "https://shopee.co.id/COSRX-Hyaluronic-Acid-Hydra-Power-Essence-100ml-i.187117294.8602504982")</f>
        <v>https://shopee.co.id/COSRX-Hyaluronic-Acid-Hydra-Power-Essence-100ml-i.187117294.8602504982</v>
      </c>
      <c r="C2913" s="8" t="s">
        <v>305</v>
      </c>
      <c r="D2913" s="8" t="s">
        <v>2366</v>
      </c>
      <c r="E2913" s="8" t="s">
        <v>12</v>
      </c>
      <c r="F2913" s="8" t="s">
        <v>13</v>
      </c>
      <c r="G2913" s="8" t="s">
        <v>469</v>
      </c>
      <c r="H2913" s="16">
        <v>0.0</v>
      </c>
      <c r="I2913" s="15" t="str">
        <f>SUBSTITUTE(Sheet1!K2913, "Rp", "")</f>
        <v>0</v>
      </c>
    </row>
    <row r="2914">
      <c r="A2914" s="8" t="s">
        <v>1181</v>
      </c>
      <c r="B2914" s="13" t="str">
        <f>HYPERLINK("https://shopee.co.id/COSRX-Advanced-Snail-96-Mucin-Power-Essence-100ml-i.10689.7654525987", "https://shopee.co.id/COSRX-Advanced-Snail-96-Mucin-Power-Essence-100ml-i.10689.7654525987")</f>
        <v>https://shopee.co.id/COSRX-Advanced-Snail-96-Mucin-Power-Essence-100ml-i.10689.7654525987</v>
      </c>
      <c r="C2914" s="8" t="s">
        <v>305</v>
      </c>
      <c r="D2914" s="8" t="s">
        <v>745</v>
      </c>
      <c r="E2914" s="8" t="s">
        <v>12</v>
      </c>
      <c r="F2914" s="8" t="s">
        <v>13</v>
      </c>
      <c r="G2914" s="8" t="s">
        <v>61</v>
      </c>
      <c r="H2914" s="16">
        <v>0.0</v>
      </c>
      <c r="I2914" s="15" t="str">
        <f>SUBSTITUTE(Sheet1!K2914, "Rp", "")</f>
        <v>0</v>
      </c>
    </row>
    <row r="2915">
      <c r="A2915" s="8" t="s">
        <v>491</v>
      </c>
      <c r="B2915" s="13" t="str">
        <f>HYPERLINK("https://shopee.co.id/COSRX-Advanced-Snail-Mucin-96-Power-Essence-100-ml-Esens-Lendir-Siput-Skincare-i.47255270.7967676980", "https://shopee.co.id/COSRX-Advanced-Snail-Mucin-96-Power-Essence-100-ml-Esens-Lendir-Siput-Skincare-i.47255270.7967676980")</f>
        <v>https://shopee.co.id/COSRX-Advanced-Snail-Mucin-96-Power-Essence-100-ml-Esens-Lendir-Siput-Skincare-i.47255270.7967676980</v>
      </c>
      <c r="C2915" s="8" t="s">
        <v>305</v>
      </c>
      <c r="D2915" s="8" t="s">
        <v>1978</v>
      </c>
      <c r="E2915" s="8" t="s">
        <v>12</v>
      </c>
      <c r="F2915" s="8" t="s">
        <v>13</v>
      </c>
      <c r="G2915" s="8" t="s">
        <v>241</v>
      </c>
      <c r="H2915" s="16">
        <v>0.0</v>
      </c>
      <c r="I2915" s="15" t="str">
        <f>SUBSTITUTE(Sheet1!K2915, "Rp", "")</f>
        <v>0</v>
      </c>
    </row>
    <row r="2916">
      <c r="A2916" s="8" t="s">
        <v>4208</v>
      </c>
      <c r="B2916" s="13" t="str">
        <f>HYPERLINK("https://shopee.co.id/COSRX-Hyaluronic-Acid-Hydra-Power-Essence-100ml--i.47255270.9716644514", "https://shopee.co.id/COSRX-Hyaluronic-Acid-Hydra-Power-Essence-100ml--i.47255270.9716644514")</f>
        <v>https://shopee.co.id/COSRX-Hyaluronic-Acid-Hydra-Power-Essence-100ml--i.47255270.9716644514</v>
      </c>
      <c r="C2916" s="8" t="s">
        <v>1814</v>
      </c>
      <c r="D2916" s="8" t="s">
        <v>1978</v>
      </c>
      <c r="E2916" s="8" t="s">
        <v>12</v>
      </c>
      <c r="F2916" s="8" t="s">
        <v>13</v>
      </c>
      <c r="G2916" s="8" t="s">
        <v>241</v>
      </c>
      <c r="H2916" s="16">
        <v>0.0</v>
      </c>
      <c r="I2916" s="15" t="str">
        <f>SUBSTITUTE(Sheet1!K2916, "Rp", "")</f>
        <v>0</v>
      </c>
    </row>
    <row r="2917">
      <c r="A2917" s="8" t="s">
        <v>4209</v>
      </c>
      <c r="B2917" s="13" t="str">
        <f>HYPERLINK("https://shopee.co.id/Covermark-Cell-Advanced-Serum-WR-i.295808783.7147636315", "https://shopee.co.id/Covermark-Cell-Advanced-Serum-WR-i.295808783.7147636315")</f>
        <v>https://shopee.co.id/Covermark-Cell-Advanced-Serum-WR-i.295808783.7147636315</v>
      </c>
      <c r="C2917" s="8" t="s">
        <v>4210</v>
      </c>
      <c r="D2917" s="8" t="s">
        <v>4211</v>
      </c>
      <c r="E2917" s="8" t="s">
        <v>12</v>
      </c>
      <c r="F2917" s="8" t="s">
        <v>13</v>
      </c>
      <c r="G2917" s="8" t="s">
        <v>3901</v>
      </c>
      <c r="H2917" s="16">
        <v>0.0</v>
      </c>
      <c r="I2917" s="15" t="str">
        <f>SUBSTITUTE(Sheet1!K2917, "Rp", "")</f>
        <v>0</v>
      </c>
    </row>
    <row r="2918">
      <c r="A2918" s="8" t="s">
        <v>4212</v>
      </c>
      <c r="B2918" s="13" t="str">
        <f>HYPERLINK("https://shopee.co.id/Crystallure-Daily-Glow-Package-i.59763733.9515612770", "https://shopee.co.id/Crystallure-Daily-Glow-Package-i.59763733.9515612770")</f>
        <v>https://shopee.co.id/Crystallure-Daily-Glow-Package-i.59763733.9515612770</v>
      </c>
      <c r="C2918" s="8" t="s">
        <v>169</v>
      </c>
      <c r="D2918" s="8" t="s">
        <v>170</v>
      </c>
      <c r="E2918" s="8" t="s">
        <v>12</v>
      </c>
      <c r="F2918" s="8" t="s">
        <v>13</v>
      </c>
      <c r="G2918" s="8" t="s">
        <v>98</v>
      </c>
      <c r="H2918" s="16">
        <v>0.0</v>
      </c>
      <c r="I2918" s="15" t="str">
        <f>SUBSTITUTE(Sheet1!K2918, "Rp", "")</f>
        <v>0</v>
      </c>
    </row>
    <row r="2919">
      <c r="A2919" s="8" t="s">
        <v>4213</v>
      </c>
      <c r="B2919" s="13" t="str">
        <f>HYPERLINK("https://shopee.co.id/Crystallure-Glowing-Skin-1-i.59763733.2950443429", "https://shopee.co.id/Crystallure-Glowing-Skin-1-i.59763733.2950443429")</f>
        <v>https://shopee.co.id/Crystallure-Glowing-Skin-1-i.59763733.2950443429</v>
      </c>
      <c r="C2919" s="8" t="s">
        <v>169</v>
      </c>
      <c r="D2919" s="8" t="s">
        <v>170</v>
      </c>
      <c r="E2919" s="8" t="s">
        <v>12</v>
      </c>
      <c r="F2919" s="8" t="s">
        <v>13</v>
      </c>
      <c r="G2919" s="8" t="s">
        <v>98</v>
      </c>
      <c r="H2919" s="16">
        <v>0.0</v>
      </c>
      <c r="I2919" s="15" t="str">
        <f>SUBSTITUTE(Sheet1!K2919, "Rp", "")</f>
        <v>0</v>
      </c>
    </row>
    <row r="2920">
      <c r="A2920" s="8" t="s">
        <v>4214</v>
      </c>
      <c r="B2920" s="13" t="str">
        <f>HYPERLINK("https://shopee.co.id/Daneen-3G-Ultra-Vitamin-C-Serum-10ml-i.328329669.5079304810", "https://shopee.co.id/Daneen-3G-Ultra-Vitamin-C-Serum-10ml-i.328329669.5079304810")</f>
        <v>https://shopee.co.id/Daneen-3G-Ultra-Vitamin-C-Serum-10ml-i.328329669.5079304810</v>
      </c>
      <c r="C2920" s="8" t="s">
        <v>2675</v>
      </c>
      <c r="D2920" s="8" t="s">
        <v>2676</v>
      </c>
      <c r="E2920" s="8" t="s">
        <v>12</v>
      </c>
      <c r="F2920" s="8" t="s">
        <v>13</v>
      </c>
      <c r="G2920" s="8" t="s">
        <v>36</v>
      </c>
      <c r="H2920" s="16">
        <v>0.0</v>
      </c>
      <c r="I2920" s="15" t="str">
        <f>SUBSTITUTE(Sheet1!K2920, "Rp", "")</f>
        <v>0</v>
      </c>
    </row>
    <row r="2921">
      <c r="A2921" s="8" t="s">
        <v>3086</v>
      </c>
      <c r="B2921" s="13" t="str">
        <f>HYPERLINK("https://shopee.co.id/Dear-Me-Beauty-1-Bakuchiol-Blueberry-Extract-Face-Serum-i.10689.10213130425", "https://shopee.co.id/Dear-Me-Beauty-1-Bakuchiol-Blueberry-Extract-Face-Serum-i.10689.10213130425")</f>
        <v>https://shopee.co.id/Dear-Me-Beauty-1-Bakuchiol-Blueberry-Extract-Face-Serum-i.10689.10213130425</v>
      </c>
      <c r="C2921" s="8" t="s">
        <v>70</v>
      </c>
      <c r="D2921" s="8" t="s">
        <v>745</v>
      </c>
      <c r="E2921" s="8" t="s">
        <v>12</v>
      </c>
      <c r="F2921" s="8" t="s">
        <v>13</v>
      </c>
      <c r="G2921" s="8" t="s">
        <v>61</v>
      </c>
      <c r="H2921" s="16">
        <v>0.0</v>
      </c>
      <c r="I2921" s="15" t="str">
        <f>SUBSTITUTE(Sheet1!K2921, "Rp", "")</f>
        <v>0</v>
      </c>
    </row>
    <row r="2922">
      <c r="A2922" s="8" t="s">
        <v>4215</v>
      </c>
      <c r="B2922" s="13" t="str">
        <f>HYPERLINK("https://shopee.co.id/Dear-Me-Beauty-10-Cica-Watermelon-Extract-Face-Serum-i.10689.11815766942", "https://shopee.co.id/Dear-Me-Beauty-10-Cica-Watermelon-Extract-Face-Serum-i.10689.11815766942")</f>
        <v>https://shopee.co.id/Dear-Me-Beauty-10-Cica-Watermelon-Extract-Face-Serum-i.10689.11815766942</v>
      </c>
      <c r="C2922" s="8" t="s">
        <v>70</v>
      </c>
      <c r="D2922" s="8" t="s">
        <v>745</v>
      </c>
      <c r="E2922" s="8" t="s">
        <v>12</v>
      </c>
      <c r="F2922" s="8" t="s">
        <v>13</v>
      </c>
      <c r="G2922" s="8" t="s">
        <v>61</v>
      </c>
      <c r="H2922" s="16">
        <v>0.0</v>
      </c>
      <c r="I2922" s="15" t="str">
        <f>SUBSTITUTE(Sheet1!K2922, "Rp", "")</f>
        <v>0</v>
      </c>
    </row>
    <row r="2923">
      <c r="A2923" s="8" t="s">
        <v>4216</v>
      </c>
      <c r="B2923" s="13" t="str">
        <f>HYPERLINK("https://shopee.co.id/Dear-Me-Beauty-10-Lactobionic-Acid-PHA-Lime-Extract-Face-Serum-i.270965687.8770625029", "https://shopee.co.id/Dear-Me-Beauty-10-Lactobionic-Acid-PHA-Lime-Extract-Face-Serum-i.270965687.8770625029")</f>
        <v>https://shopee.co.id/Dear-Me-Beauty-10-Lactobionic-Acid-PHA-Lime-Extract-Face-Serum-i.270965687.8770625029</v>
      </c>
      <c r="C2923" s="8" t="s">
        <v>70</v>
      </c>
      <c r="D2923" s="8" t="s">
        <v>379</v>
      </c>
      <c r="E2923" s="8" t="s">
        <v>12</v>
      </c>
      <c r="F2923" s="8" t="s">
        <v>13</v>
      </c>
      <c r="G2923" s="8" t="s">
        <v>380</v>
      </c>
      <c r="H2923" s="16">
        <v>0.0</v>
      </c>
      <c r="I2923" s="15" t="str">
        <f>SUBSTITUTE(Sheet1!K2923, "Rp", "")</f>
        <v>0</v>
      </c>
    </row>
    <row r="2924">
      <c r="A2924" s="8" t="s">
        <v>4217</v>
      </c>
      <c r="B2924" s="13" t="str">
        <f>HYPERLINK("https://shopee.co.id/Dear-Me-Beauty-10-Niacinamide-Watermelon-Extract-Face-Serum-12ml-i.45495764.3041294317", "https://shopee.co.id/Dear-Me-Beauty-10-Niacinamide-Watermelon-Extract-Face-Serum-12ml-i.45495764.3041294317")</f>
        <v>https://shopee.co.id/Dear-Me-Beauty-10-Niacinamide-Watermelon-Extract-Face-Serum-12ml-i.45495764.3041294317</v>
      </c>
      <c r="C2924" s="8" t="s">
        <v>70</v>
      </c>
      <c r="D2924" s="8" t="s">
        <v>71</v>
      </c>
      <c r="E2924" s="8" t="s">
        <v>12</v>
      </c>
      <c r="F2924" s="8" t="s">
        <v>13</v>
      </c>
      <c r="G2924" s="8" t="s">
        <v>61</v>
      </c>
      <c r="H2924" s="16">
        <v>0.0</v>
      </c>
      <c r="I2924" s="15" t="str">
        <f>SUBSTITUTE(Sheet1!K2924, "Rp", "")</f>
        <v>0</v>
      </c>
    </row>
    <row r="2925">
      <c r="A2925" s="8" t="s">
        <v>4218</v>
      </c>
      <c r="B2925" s="13" t="str">
        <f>HYPERLINK("https://shopee.co.id/Dear-Me-Beauty-8-Snap-8-Peptide-Avocado-Extract-Face-Serum-12ml-i.10689.10820215598", "https://shopee.co.id/Dear-Me-Beauty-8-Snap-8-Peptide-Avocado-Extract-Face-Serum-12ml-i.10689.10820215598")</f>
        <v>https://shopee.co.id/Dear-Me-Beauty-8-Snap-8-Peptide-Avocado-Extract-Face-Serum-12ml-i.10689.10820215598</v>
      </c>
      <c r="C2925" s="8" t="s">
        <v>70</v>
      </c>
      <c r="D2925" s="8" t="s">
        <v>745</v>
      </c>
      <c r="E2925" s="8" t="s">
        <v>12</v>
      </c>
      <c r="F2925" s="8" t="s">
        <v>13</v>
      </c>
      <c r="G2925" s="8" t="s">
        <v>61</v>
      </c>
      <c r="H2925" s="16">
        <v>0.0</v>
      </c>
      <c r="I2925" s="15" t="str">
        <f>SUBSTITUTE(Sheet1!K2925, "Rp", "")</f>
        <v>0</v>
      </c>
    </row>
    <row r="2926">
      <c r="A2926" s="8" t="s">
        <v>4219</v>
      </c>
      <c r="B2926" s="13" t="str">
        <f>HYPERLINK("https://shopee.co.id/DEAR-ME-BEAUTY-8-Snap-8-Peptide-Avocado-Extract-Face-Serum-12ml-i.270965687.8780377745", "https://shopee.co.id/DEAR-ME-BEAUTY-8-Snap-8-Peptide-Avocado-Extract-Face-Serum-12ml-i.270965687.8780377745")</f>
        <v>https://shopee.co.id/DEAR-ME-BEAUTY-8-Snap-8-Peptide-Avocado-Extract-Face-Serum-12ml-i.270965687.8780377745</v>
      </c>
      <c r="C2926" s="8" t="s">
        <v>70</v>
      </c>
      <c r="D2926" s="8" t="s">
        <v>379</v>
      </c>
      <c r="E2926" s="8" t="s">
        <v>12</v>
      </c>
      <c r="F2926" s="8" t="s">
        <v>13</v>
      </c>
      <c r="G2926" s="8" t="s">
        <v>380</v>
      </c>
      <c r="H2926" s="16">
        <v>0.0</v>
      </c>
      <c r="I2926" s="15" t="str">
        <f>SUBSTITUTE(Sheet1!K2926, "Rp", "")</f>
        <v>0</v>
      </c>
    </row>
    <row r="2927">
      <c r="A2927" s="8" t="s">
        <v>4220</v>
      </c>
      <c r="B2927" s="13" t="str">
        <f>HYPERLINK("https://shopee.co.id/Dear-Me-Beauty-Paket-Anti-Kerutan-12ml-PHA-Peptide-i.45495764.12511664936", "https://shopee.co.id/Dear-Me-Beauty-Paket-Anti-Kerutan-12ml-PHA-Peptide-i.45495764.12511664936")</f>
        <v>https://shopee.co.id/Dear-Me-Beauty-Paket-Anti-Kerutan-12ml-PHA-Peptide-i.45495764.12511664936</v>
      </c>
      <c r="C2927" s="8" t="s">
        <v>70</v>
      </c>
      <c r="D2927" s="8" t="s">
        <v>71</v>
      </c>
      <c r="E2927" s="8" t="s">
        <v>12</v>
      </c>
      <c r="F2927" s="8" t="s">
        <v>13</v>
      </c>
      <c r="G2927" s="8" t="s">
        <v>61</v>
      </c>
      <c r="H2927" s="16">
        <v>0.0</v>
      </c>
      <c r="I2927" s="15" t="str">
        <f>SUBSTITUTE(Sheet1!K2927, "Rp", "")</f>
        <v>0</v>
      </c>
    </row>
    <row r="2928">
      <c r="A2928" s="8" t="s">
        <v>4221</v>
      </c>
      <c r="B2928" s="13" t="str">
        <f>HYPERLINK("https://shopee.co.id/Dear-Me-Beauty-Paket-Serum-Jerawat-12-ml-Niacinamide-BHA-Saliyclic-Acid-i.45495764.2986700544", "https://shopee.co.id/Dear-Me-Beauty-Paket-Serum-Jerawat-12-ml-Niacinamide-BHA-Saliyclic-Acid-i.45495764.2986700544")</f>
        <v>https://shopee.co.id/Dear-Me-Beauty-Paket-Serum-Jerawat-12-ml-Niacinamide-BHA-Saliyclic-Acid-i.45495764.2986700544</v>
      </c>
      <c r="C2928" s="8" t="s">
        <v>70</v>
      </c>
      <c r="D2928" s="8" t="s">
        <v>71</v>
      </c>
      <c r="E2928" s="8" t="s">
        <v>12</v>
      </c>
      <c r="F2928" s="8" t="s">
        <v>13</v>
      </c>
      <c r="G2928" s="8" t="s">
        <v>61</v>
      </c>
      <c r="H2928" s="16">
        <v>0.0</v>
      </c>
      <c r="I2928" s="15" t="str">
        <f>SUBSTITUTE(Sheet1!K2928, "Rp", "")</f>
        <v>0</v>
      </c>
    </row>
    <row r="2929">
      <c r="A2929" s="8" t="s">
        <v>4222</v>
      </c>
      <c r="B2929" s="13" t="str">
        <f>HYPERLINK("https://shopee.co.id/DEAR-ME-BEAUTY-Single-Active-Face-Serum-10-Cica-Watermelon-Extract-12ml-i.68111.11905223586", "https://shopee.co.id/DEAR-ME-BEAUTY-Single-Active-Face-Serum-10-Cica-Watermelon-Extract-12ml-i.68111.11905223586")</f>
        <v>https://shopee.co.id/DEAR-ME-BEAUTY-Single-Active-Face-Serum-10-Cica-Watermelon-Extract-12ml-i.68111.11905223586</v>
      </c>
      <c r="C2929" s="8" t="s">
        <v>70</v>
      </c>
      <c r="D2929" s="8" t="s">
        <v>441</v>
      </c>
      <c r="E2929" s="8" t="s">
        <v>12</v>
      </c>
      <c r="F2929" s="8" t="s">
        <v>13</v>
      </c>
      <c r="G2929" s="8" t="s">
        <v>130</v>
      </c>
      <c r="H2929" s="16">
        <v>0.0</v>
      </c>
      <c r="I2929" s="15" t="str">
        <f>SUBSTITUTE(Sheet1!K2929, "Rp", "")</f>
        <v>0</v>
      </c>
    </row>
    <row r="2930">
      <c r="A2930" s="8" t="s">
        <v>4223</v>
      </c>
      <c r="B2930" s="13" t="str">
        <f>HYPERLINK("https://shopee.co.id/DEAR-ME-BEAUTY-Single-Active-Face-Serum-10-Vitamin-C-Orange-Extract-12ml-i.68111.11305221024", "https://shopee.co.id/DEAR-ME-BEAUTY-Single-Active-Face-Serum-10-Vitamin-C-Orange-Extract-12ml-i.68111.11305221024")</f>
        <v>https://shopee.co.id/DEAR-ME-BEAUTY-Single-Active-Face-Serum-10-Vitamin-C-Orange-Extract-12ml-i.68111.11305221024</v>
      </c>
      <c r="C2930" s="8" t="s">
        <v>70</v>
      </c>
      <c r="D2930" s="8" t="s">
        <v>441</v>
      </c>
      <c r="E2930" s="8" t="s">
        <v>12</v>
      </c>
      <c r="F2930" s="8" t="s">
        <v>13</v>
      </c>
      <c r="G2930" s="8" t="s">
        <v>130</v>
      </c>
      <c r="H2930" s="16">
        <v>0.0</v>
      </c>
      <c r="I2930" s="15" t="str">
        <f>SUBSTITUTE(Sheet1!K2930, "Rp", "")</f>
        <v>0</v>
      </c>
    </row>
    <row r="2931">
      <c r="A2931" s="8" t="s">
        <v>4224</v>
      </c>
      <c r="B2931" s="13" t="str">
        <f>HYPERLINK("https://shopee.co.id/DeBiuryn-Give-Me-That-Glow-Essential-i.231437504.3067491156", "https://shopee.co.id/DeBiuryn-Give-Me-That-Glow-Essential-i.231437504.3067491156")</f>
        <v>https://shopee.co.id/DeBiuryn-Give-Me-That-Glow-Essential-i.231437504.3067491156</v>
      </c>
      <c r="C2931" s="8" t="s">
        <v>3484</v>
      </c>
      <c r="D2931" s="8" t="s">
        <v>3485</v>
      </c>
      <c r="E2931" s="8" t="s">
        <v>12</v>
      </c>
      <c r="F2931" s="8" t="s">
        <v>13</v>
      </c>
      <c r="G2931" s="8" t="s">
        <v>1480</v>
      </c>
      <c r="H2931" s="16">
        <v>0.0</v>
      </c>
      <c r="I2931" s="15" t="str">
        <f>SUBSTITUTE(Sheet1!K2931, "Rp", "")</f>
        <v>0</v>
      </c>
    </row>
    <row r="2932">
      <c r="A2932" s="8" t="s">
        <v>4225</v>
      </c>
      <c r="B2932" s="13" t="str">
        <f>HYPERLINK("https://shopee.co.id/DeBiuryn-Skin-Energy-Serum-Anti-Aging-20ml-Retinol-Glow-i.231437504.6133080140", "https://shopee.co.id/DeBiuryn-Skin-Energy-Serum-Anti-Aging-20ml-Retinol-Glow-i.231437504.6133080140")</f>
        <v>https://shopee.co.id/DeBiuryn-Skin-Energy-Serum-Anti-Aging-20ml-Retinol-Glow-i.231437504.6133080140</v>
      </c>
      <c r="C2932" s="8" t="s">
        <v>3484</v>
      </c>
      <c r="D2932" s="8" t="s">
        <v>3485</v>
      </c>
      <c r="E2932" s="8" t="s">
        <v>12</v>
      </c>
      <c r="F2932" s="8" t="s">
        <v>13</v>
      </c>
      <c r="G2932" s="8" t="s">
        <v>1480</v>
      </c>
      <c r="H2932" s="16">
        <v>0.0</v>
      </c>
      <c r="I2932" s="15" t="str">
        <f>SUBSTITUTE(Sheet1!K2932, "Rp", "")</f>
        <v>0</v>
      </c>
    </row>
    <row r="2933">
      <c r="A2933" s="8" t="s">
        <v>4226</v>
      </c>
      <c r="B2933" s="13" t="str">
        <f>HYPERLINK("https://shopee.co.id/Derma-Plan-Sensitive-Soothing-Treatment-Special-Set-i.58386356.5566742004", "https://shopee.co.id/Derma-Plan-Sensitive-Soothing-Treatment-Special-Set-i.58386356.5566742004")</f>
        <v>https://shopee.co.id/Derma-Plan-Sensitive-Soothing-Treatment-Special-Set-i.58386356.5566742004</v>
      </c>
      <c r="C2933" s="8" t="s">
        <v>1162</v>
      </c>
      <c r="D2933" s="8" t="s">
        <v>2340</v>
      </c>
      <c r="E2933" s="8" t="s">
        <v>12</v>
      </c>
      <c r="F2933" s="8" t="s">
        <v>13</v>
      </c>
      <c r="G2933" s="8" t="s">
        <v>21</v>
      </c>
      <c r="H2933" s="16">
        <v>0.0</v>
      </c>
      <c r="I2933" s="15" t="str">
        <f>SUBSTITUTE(Sheet1!K2933, "Rp", "")</f>
        <v>0</v>
      </c>
    </row>
    <row r="2934">
      <c r="A2934" s="8" t="s">
        <v>4227</v>
      </c>
      <c r="B2934" s="13" t="str">
        <f>HYPERLINK("https://shopee.co.id/Derma-T-rra-Ageless-Anti-Aging-Serum-i.234808009.6727566110", "https://shopee.co.id/Derma-T-rra-Ageless-Anti-Aging-Serum-i.234808009.6727566110")</f>
        <v>https://shopee.co.id/Derma-T-rra-Ageless-Anti-Aging-Serum-i.234808009.6727566110</v>
      </c>
      <c r="C2934" s="8" t="s">
        <v>1162</v>
      </c>
      <c r="D2934" s="8" t="s">
        <v>4228</v>
      </c>
      <c r="E2934" s="8" t="s">
        <v>12</v>
      </c>
      <c r="F2934" s="8" t="s">
        <v>13</v>
      </c>
      <c r="G2934" s="8" t="s">
        <v>61</v>
      </c>
      <c r="H2934" s="16">
        <v>0.0</v>
      </c>
      <c r="I2934" s="15" t="str">
        <f>SUBSTITUTE(Sheet1!K2934, "Rp", "")</f>
        <v>0</v>
      </c>
    </row>
    <row r="2935">
      <c r="A2935" s="8" t="s">
        <v>4229</v>
      </c>
      <c r="B2935" s="13" t="str">
        <f>HYPERLINK("https://shopee.co.id/dermalogica-AGE-Bright-Serum-30ml--i.230946408.7240026473", "https://shopee.co.id/dermalogica-AGE-Bright-Serum-30ml--i.230946408.7240026473")</f>
        <v>https://shopee.co.id/dermalogica-AGE-Bright-Serum-30ml--i.230946408.7240026473</v>
      </c>
      <c r="C2935" s="8" t="s">
        <v>1903</v>
      </c>
      <c r="D2935" s="8" t="s">
        <v>1904</v>
      </c>
      <c r="E2935" s="8" t="s">
        <v>12</v>
      </c>
      <c r="F2935" s="8" t="s">
        <v>13</v>
      </c>
      <c r="G2935" s="8" t="s">
        <v>21</v>
      </c>
      <c r="H2935" s="16">
        <v>0.0</v>
      </c>
      <c r="I2935" s="15" t="str">
        <f>SUBSTITUTE(Sheet1!K2935, "Rp", "")</f>
        <v>0</v>
      </c>
    </row>
    <row r="2936">
      <c r="A2936" s="8" t="s">
        <v>4230</v>
      </c>
      <c r="B2936" s="13" t="str">
        <f>HYPERLINK("https://shopee.co.id/Dermaluz-Serum-Acne-Exfoliating-15Ml-i.175375997.6207014444", "https://shopee.co.id/Dermaluz-Serum-Acne-Exfoliating-15Ml-i.175375997.6207014444")</f>
        <v>https://shopee.co.id/Dermaluz-Serum-Acne-Exfoliating-15Ml-i.175375997.6207014444</v>
      </c>
      <c r="C2936" s="8" t="s">
        <v>1064</v>
      </c>
      <c r="D2936" s="8" t="s">
        <v>2123</v>
      </c>
      <c r="E2936" s="8" t="s">
        <v>12</v>
      </c>
      <c r="F2936" s="8" t="s">
        <v>13</v>
      </c>
      <c r="G2936" s="8" t="s">
        <v>36</v>
      </c>
      <c r="H2936" s="16">
        <v>0.0</v>
      </c>
      <c r="I2936" s="15" t="str">
        <f>SUBSTITUTE(Sheet1!K2936, "Rp", "")</f>
        <v>0</v>
      </c>
    </row>
    <row r="2937">
      <c r="A2937" s="8" t="s">
        <v>4231</v>
      </c>
      <c r="B2937" s="13" t="str">
        <f>HYPERLINK("https://shopee.co.id/Dermies-Clear-Me-Acne-Control-Serum-20-ml-Serum-Wajah-Untuk-Kulit-Berminyak-dan-Berjerawat-i.260681089.3233515191", "https://shopee.co.id/Dermies-Clear-Me-Acne-Control-Serum-20-ml-Serum-Wajah-Untuk-Kulit-Berminyak-dan-Berjerawat-i.260681089.3233515191")</f>
        <v>https://shopee.co.id/Dermies-Clear-Me-Acne-Control-Serum-20-ml-Serum-Wajah-Untuk-Kulit-Berminyak-dan-Berjerawat-i.260681089.3233515191</v>
      </c>
      <c r="C2937" s="8" t="s">
        <v>2456</v>
      </c>
      <c r="D2937" s="8" t="s">
        <v>2457</v>
      </c>
      <c r="E2937" s="8" t="s">
        <v>12</v>
      </c>
      <c r="F2937" s="8" t="s">
        <v>13</v>
      </c>
      <c r="G2937" s="8" t="s">
        <v>296</v>
      </c>
      <c r="H2937" s="16">
        <v>0.0</v>
      </c>
      <c r="I2937" s="15" t="str">
        <f>SUBSTITUTE(Sheet1!K2937, "Rp", "")</f>
        <v>0</v>
      </c>
    </row>
    <row r="2938">
      <c r="A2938" s="8" t="s">
        <v>4232</v>
      </c>
      <c r="B2938" s="13" t="str">
        <f>HYPERLINK("https://shopee.co.id/Disc-40-Anti-Aging-Skincare-W-III-Pre-Essence-Repair-Serum-i.178522399.7721729449", "https://shopee.co.id/Disc-40-Anti-Aging-Skincare-W-III-Pre-Essence-Repair-Serum-i.178522399.7721729449")</f>
        <v>https://shopee.co.id/Disc-40-Anti-Aging-Skincare-W-III-Pre-Essence-Repair-Serum-i.178522399.7721729449</v>
      </c>
      <c r="C2938" s="8" t="s">
        <v>4233</v>
      </c>
      <c r="D2938" s="8" t="s">
        <v>4234</v>
      </c>
      <c r="E2938" s="8" t="s">
        <v>12</v>
      </c>
      <c r="F2938" s="8" t="s">
        <v>13</v>
      </c>
      <c r="G2938" s="8" t="s">
        <v>61</v>
      </c>
      <c r="H2938" s="16">
        <v>0.0</v>
      </c>
      <c r="I2938" s="15" t="str">
        <f>SUBSTITUTE(Sheet1!K2938, "Rp", "")</f>
        <v>0</v>
      </c>
    </row>
    <row r="2939">
      <c r="A2939" s="8" t="s">
        <v>4235</v>
      </c>
      <c r="B2939" s="13" t="str">
        <f>HYPERLINK("https://shopee.co.id/Disc-40-Anti-Aging-Skincare-W-III-Skin-Essence-Remodelling-Serum-i.178522399.4421740793", "https://shopee.co.id/Disc-40-Anti-Aging-Skincare-W-III-Skin-Essence-Remodelling-Serum-i.178522399.4421740793")</f>
        <v>https://shopee.co.id/Disc-40-Anti-Aging-Skincare-W-III-Skin-Essence-Remodelling-Serum-i.178522399.4421740793</v>
      </c>
      <c r="C2939" s="8" t="s">
        <v>4233</v>
      </c>
      <c r="D2939" s="8" t="s">
        <v>4234</v>
      </c>
      <c r="E2939" s="8" t="s">
        <v>12</v>
      </c>
      <c r="F2939" s="8" t="s">
        <v>13</v>
      </c>
      <c r="G2939" s="8" t="s">
        <v>61</v>
      </c>
      <c r="H2939" s="16">
        <v>0.0</v>
      </c>
      <c r="I2939" s="15" t="str">
        <f>SUBSTITUTE(Sheet1!K2939, "Rp", "")</f>
        <v>0</v>
      </c>
    </row>
    <row r="2940">
      <c r="A2940" s="8" t="s">
        <v>4236</v>
      </c>
      <c r="B2940" s="13" t="str">
        <f>HYPERLINK("https://shopee.co.id/DNI-AHA-BHA-Pore-Serum-i.41174739.3186382285", "https://shopee.co.id/DNI-AHA-BHA-Pore-Serum-i.41174739.3186382285")</f>
        <v>https://shopee.co.id/DNI-AHA-BHA-Pore-Serum-i.41174739.3186382285</v>
      </c>
      <c r="C2940" s="8" t="s">
        <v>2026</v>
      </c>
      <c r="D2940" s="8" t="s">
        <v>2383</v>
      </c>
      <c r="E2940" s="8" t="s">
        <v>12</v>
      </c>
      <c r="F2940" s="8" t="s">
        <v>13</v>
      </c>
      <c r="G2940" s="8" t="s">
        <v>945</v>
      </c>
      <c r="H2940" s="16">
        <v>0.0</v>
      </c>
      <c r="I2940" s="15" t="str">
        <f>SUBSTITUTE(Sheet1!K2940, "Rp", "")</f>
        <v>0</v>
      </c>
    </row>
    <row r="2941">
      <c r="A2941" s="8" t="s">
        <v>3605</v>
      </c>
      <c r="B2941" s="13" t="str">
        <f>HYPERLINK("https://shopee.co.id/DNI-Anti-Aging-Serum-i.60506784.2861366427", "https://shopee.co.id/DNI-Anti-Aging-Serum-i.60506784.2861366427")</f>
        <v>https://shopee.co.id/DNI-Anti-Aging-Serum-i.60506784.2861366427</v>
      </c>
      <c r="C2941" s="8" t="s">
        <v>3842</v>
      </c>
      <c r="D2941" s="8" t="s">
        <v>3843</v>
      </c>
      <c r="E2941" s="8" t="s">
        <v>12</v>
      </c>
      <c r="F2941" s="8" t="s">
        <v>13</v>
      </c>
      <c r="G2941" s="8" t="s">
        <v>3844</v>
      </c>
      <c r="H2941" s="16">
        <v>0.0</v>
      </c>
      <c r="I2941" s="15" t="str">
        <f>SUBSTITUTE(Sheet1!K2941, "Rp", "")</f>
        <v>0</v>
      </c>
    </row>
    <row r="2942">
      <c r="A2942" s="8" t="s">
        <v>3053</v>
      </c>
      <c r="B2942" s="13" t="str">
        <f>HYPERLINK("https://shopee.co.id/DNI-Glowing-Snail-Serum-i.60506784.3213974814", "https://shopee.co.id/DNI-Glowing-Snail-Serum-i.60506784.3213974814")</f>
        <v>https://shopee.co.id/DNI-Glowing-Snail-Serum-i.60506784.3213974814</v>
      </c>
      <c r="C2942" s="8" t="s">
        <v>3842</v>
      </c>
      <c r="D2942" s="8" t="s">
        <v>3843</v>
      </c>
      <c r="E2942" s="8" t="s">
        <v>12</v>
      </c>
      <c r="F2942" s="8" t="s">
        <v>13</v>
      </c>
      <c r="G2942" s="8" t="s">
        <v>3844</v>
      </c>
      <c r="H2942" s="16">
        <v>0.0</v>
      </c>
      <c r="I2942" s="15" t="str">
        <f>SUBSTITUTE(Sheet1!K2942, "Rp", "")</f>
        <v>0</v>
      </c>
    </row>
    <row r="2943">
      <c r="A2943" s="8" t="s">
        <v>4237</v>
      </c>
      <c r="B2943" s="13" t="str">
        <f>HYPERLINK("https://shopee.co.id/Dr-Babor-Pro-Vitamin-C-Concentrate-i.131188140.5356363894", "https://shopee.co.id/Dr-Babor-Pro-Vitamin-C-Concentrate-i.131188140.5356363894")</f>
        <v>https://shopee.co.id/Dr-Babor-Pro-Vitamin-C-Concentrate-i.131188140.5356363894</v>
      </c>
      <c r="C2943" s="8" t="s">
        <v>1433</v>
      </c>
      <c r="D2943" s="8" t="s">
        <v>1434</v>
      </c>
      <c r="E2943" s="8" t="s">
        <v>12</v>
      </c>
      <c r="F2943" s="8" t="s">
        <v>13</v>
      </c>
      <c r="G2943" s="8" t="s">
        <v>61</v>
      </c>
      <c r="H2943" s="16">
        <v>0.0</v>
      </c>
      <c r="I2943" s="15" t="str">
        <f>SUBSTITUTE(Sheet1!K2943, "Rp", "")</f>
        <v>0</v>
      </c>
    </row>
    <row r="2944">
      <c r="A2944" s="8" t="s">
        <v>4238</v>
      </c>
      <c r="B2944" s="13" t="str">
        <f>HYPERLINK("https://shopee.co.id/DR-JART-NEW-Ceramidin-Serum-40ml-i.68111.1941642560", "https://shopee.co.id/DR-JART-NEW-Ceramidin-Serum-40ml-i.68111.1941642560")</f>
        <v>https://shopee.co.id/DR-JART-NEW-Ceramidin-Serum-40ml-i.68111.1941642560</v>
      </c>
      <c r="C2944" s="8" t="s">
        <v>639</v>
      </c>
      <c r="D2944" s="8" t="s">
        <v>441</v>
      </c>
      <c r="E2944" s="8" t="s">
        <v>12</v>
      </c>
      <c r="F2944" s="8" t="s">
        <v>13</v>
      </c>
      <c r="G2944" s="8" t="s">
        <v>130</v>
      </c>
      <c r="H2944" s="16">
        <v>0.0</v>
      </c>
      <c r="I2944" s="15" t="str">
        <f>SUBSTITUTE(Sheet1!K2944, "Rp", "")</f>
        <v>0</v>
      </c>
    </row>
    <row r="2945">
      <c r="A2945" s="8" t="s">
        <v>4239</v>
      </c>
      <c r="B2945" s="13" t="str">
        <f>HYPERLINK("https://shopee.co.id/Dr-Althea-Premium-Intensive-Essence-Mask-14-sachet--i.295755423.5946610181", "https://shopee.co.id/Dr-Althea-Premium-Intensive-Essence-Mask-14-sachet--i.295755423.5946610181")</f>
        <v>https://shopee.co.id/Dr-Althea-Premium-Intensive-Essence-Mask-14-sachet--i.295755423.5946610181</v>
      </c>
      <c r="C2945" s="8" t="s">
        <v>4240</v>
      </c>
      <c r="D2945" s="8" t="s">
        <v>4241</v>
      </c>
      <c r="E2945" s="8" t="s">
        <v>12</v>
      </c>
      <c r="F2945" s="8" t="s">
        <v>13</v>
      </c>
      <c r="G2945" s="8" t="s">
        <v>21</v>
      </c>
      <c r="H2945" s="16">
        <v>0.0</v>
      </c>
      <c r="I2945" s="15" t="str">
        <f>SUBSTITUTE(Sheet1!K2945, "Rp", "")</f>
        <v>0</v>
      </c>
    </row>
    <row r="2946">
      <c r="A2946" s="8" t="s">
        <v>4242</v>
      </c>
      <c r="B2946" s="13" t="str">
        <f>HYPERLINK("https://shopee.co.id/Dr-Babor-Refine-Cellular-Glow-Booster-Bi-Phase-Ampoule-i.131188140.6956372177", "https://shopee.co.id/Dr-Babor-Refine-Cellular-Glow-Booster-Bi-Phase-Ampoule-i.131188140.6956372177")</f>
        <v>https://shopee.co.id/Dr-Babor-Refine-Cellular-Glow-Booster-Bi-Phase-Ampoule-i.131188140.6956372177</v>
      </c>
      <c r="C2946" s="8" t="s">
        <v>1433</v>
      </c>
      <c r="D2946" s="8" t="s">
        <v>1434</v>
      </c>
      <c r="E2946" s="8" t="s">
        <v>12</v>
      </c>
      <c r="F2946" s="8" t="s">
        <v>13</v>
      </c>
      <c r="G2946" s="8" t="s">
        <v>61</v>
      </c>
      <c r="H2946" s="16">
        <v>0.0</v>
      </c>
      <c r="I2946" s="15" t="str">
        <f>SUBSTITUTE(Sheet1!K2946, "Rp", "")</f>
        <v>0</v>
      </c>
    </row>
    <row r="2947">
      <c r="A2947" s="8" t="s">
        <v>4243</v>
      </c>
      <c r="B2947" s="13" t="str">
        <f>HYPERLINK("https://shopee.co.id/Dr-Ceuracle-Royal-Vita-Propolis-33-Ampoule-15-ml-Ampul-Mencerahkan-Glowing-Skincare-i.224957239.3231717645", "https://shopee.co.id/Dr-Ceuracle-Royal-Vita-Propolis-33-Ampoule-15-ml-Ampul-Mencerahkan-Glowing-Skincare-i.224957239.3231717645")</f>
        <v>https://shopee.co.id/Dr-Ceuracle-Royal-Vita-Propolis-33-Ampoule-15-ml-Ampul-Mencerahkan-Glowing-Skincare-i.224957239.3231717645</v>
      </c>
      <c r="C2947" s="8" t="s">
        <v>4244</v>
      </c>
      <c r="D2947" s="8" t="s">
        <v>492</v>
      </c>
      <c r="E2947" s="8" t="s">
        <v>12</v>
      </c>
      <c r="F2947" s="8" t="s">
        <v>13</v>
      </c>
      <c r="G2947" s="8" t="s">
        <v>21</v>
      </c>
      <c r="H2947" s="16">
        <v>0.0</v>
      </c>
      <c r="I2947" s="15" t="str">
        <f>SUBSTITUTE(Sheet1!K2947, "Rp", "")</f>
        <v>0</v>
      </c>
    </row>
    <row r="2948">
      <c r="A2948" s="8" t="s">
        <v>4245</v>
      </c>
      <c r="B2948" s="13" t="str">
        <f>HYPERLINK("https://shopee.co.id/dr-Erna-Lightening-Serum-Brightening-Serum-Pencerah-Wajah-dr-Erna-Skincare-i.147564934.6269788623", "https://shopee.co.id/dr-Erna-Lightening-Serum-Brightening-Serum-Pencerah-Wajah-dr-Erna-Skincare-i.147564934.6269788623")</f>
        <v>https://shopee.co.id/dr-Erna-Lightening-Serum-Brightening-Serum-Pencerah-Wajah-dr-Erna-Skincare-i.147564934.6269788623</v>
      </c>
      <c r="C2948" s="8" t="s">
        <v>2222</v>
      </c>
      <c r="D2948" s="8" t="s">
        <v>2223</v>
      </c>
      <c r="E2948" s="8" t="s">
        <v>12</v>
      </c>
      <c r="F2948" s="8" t="s">
        <v>13</v>
      </c>
      <c r="G2948" s="8" t="s">
        <v>21</v>
      </c>
      <c r="H2948" s="16">
        <v>0.0</v>
      </c>
      <c r="I2948" s="15" t="str">
        <f>SUBSTITUTE(Sheet1!K2948, "Rp", "")</f>
        <v>0</v>
      </c>
    </row>
    <row r="2949">
      <c r="A2949" s="8" t="s">
        <v>4246</v>
      </c>
      <c r="B2949" s="13" t="str">
        <f>HYPERLINK("https://shopee.co.id/dr-Erna-Serum-Acne-Serum-Anti-Jerawat-dr-Erna-Skincare-i.147564934.2237506042", "https://shopee.co.id/dr-Erna-Serum-Acne-Serum-Anti-Jerawat-dr-Erna-Skincare-i.147564934.2237506042")</f>
        <v>https://shopee.co.id/dr-Erna-Serum-Acne-Serum-Anti-Jerawat-dr-Erna-Skincare-i.147564934.2237506042</v>
      </c>
      <c r="C2949" s="8" t="s">
        <v>2222</v>
      </c>
      <c r="D2949" s="8" t="s">
        <v>2223</v>
      </c>
      <c r="E2949" s="8" t="s">
        <v>12</v>
      </c>
      <c r="F2949" s="8" t="s">
        <v>13</v>
      </c>
      <c r="G2949" s="8" t="s">
        <v>21</v>
      </c>
      <c r="H2949" s="16">
        <v>0.0</v>
      </c>
      <c r="I2949" s="15" t="str">
        <f>SUBSTITUTE(Sheet1!K2949, "Rp", "")</f>
        <v>0</v>
      </c>
    </row>
    <row r="2950">
      <c r="A2950" s="8" t="s">
        <v>4247</v>
      </c>
      <c r="B2950" s="13" t="str">
        <f>HYPERLINK("https://shopee.co.id/Dr-Oracle-21-Stay-Acerola-C-Ampoule-i.17081863.4315067691", "https://shopee.co.id/Dr-Oracle-21-Stay-Acerola-C-Ampoule-i.17081863.4315067691")</f>
        <v>https://shopee.co.id/Dr-Oracle-21-Stay-Acerola-C-Ampoule-i.17081863.4315067691</v>
      </c>
      <c r="C2950" s="8" t="s">
        <v>3611</v>
      </c>
      <c r="D2950" s="8" t="s">
        <v>2497</v>
      </c>
      <c r="E2950" s="8" t="s">
        <v>12</v>
      </c>
      <c r="F2950" s="8" t="s">
        <v>13</v>
      </c>
      <c r="G2950" s="8" t="s">
        <v>21</v>
      </c>
      <c r="H2950" s="16">
        <v>0.0</v>
      </c>
      <c r="I2950" s="15" t="str">
        <f>SUBSTITUTE(Sheet1!K2950, "Rp", "")</f>
        <v>0</v>
      </c>
    </row>
    <row r="2951">
      <c r="A2951" s="8" t="s">
        <v>4248</v>
      </c>
      <c r="B2951" s="13" t="str">
        <f>HYPERLINK("https://shopee.co.id/Dr-Oracle-21-Stay-Maca-Peptide-Ampoule-i.17081863.7115067237", "https://shopee.co.id/Dr-Oracle-21-Stay-Maca-Peptide-Ampoule-i.17081863.7115067237")</f>
        <v>https://shopee.co.id/Dr-Oracle-21-Stay-Maca-Peptide-Ampoule-i.17081863.7115067237</v>
      </c>
      <c r="C2951" s="8" t="s">
        <v>3611</v>
      </c>
      <c r="D2951" s="8" t="s">
        <v>2497</v>
      </c>
      <c r="E2951" s="8" t="s">
        <v>12</v>
      </c>
      <c r="F2951" s="8" t="s">
        <v>13</v>
      </c>
      <c r="G2951" s="8" t="s">
        <v>21</v>
      </c>
      <c r="H2951" s="16">
        <v>0.0</v>
      </c>
      <c r="I2951" s="15" t="str">
        <f>SUBSTITUTE(Sheet1!K2951, "Rp", "")</f>
        <v>0</v>
      </c>
    </row>
    <row r="2952">
      <c r="A2952" s="8" t="s">
        <v>4249</v>
      </c>
      <c r="B2952" s="13" t="str">
        <f>HYPERLINK("https://shopee.co.id/Dr-Althea-Skin-Balancing-UV-Essence-i.295755423.5154814811", "https://shopee.co.id/Dr-Althea-Skin-Balancing-UV-Essence-i.295755423.5154814811")</f>
        <v>https://shopee.co.id/Dr-Althea-Skin-Balancing-UV-Essence-i.295755423.5154814811</v>
      </c>
      <c r="C2952" s="8" t="s">
        <v>4250</v>
      </c>
      <c r="D2952" s="8" t="s">
        <v>4241</v>
      </c>
      <c r="E2952" s="8" t="s">
        <v>12</v>
      </c>
      <c r="F2952" s="8" t="s">
        <v>13</v>
      </c>
      <c r="G2952" s="8" t="s">
        <v>21</v>
      </c>
      <c r="H2952" s="16">
        <v>0.0</v>
      </c>
      <c r="I2952" s="15" t="str">
        <f>SUBSTITUTE(Sheet1!K2952, "Rp", "")</f>
        <v>0</v>
      </c>
    </row>
    <row r="2953">
      <c r="A2953" s="8" t="s">
        <v>4251</v>
      </c>
      <c r="B2953" s="13" t="str">
        <f>HYPERLINK("https://shopee.co.id/Dr-Jart-Cicapair-Serum-30ml-i.825870.2043749529", "https://shopee.co.id/Dr-Jart-Cicapair-Serum-30ml-i.825870.2043749529")</f>
        <v>https://shopee.co.id/Dr-Jart-Cicapair-Serum-30ml-i.825870.2043749529</v>
      </c>
      <c r="C2953" s="8" t="s">
        <v>639</v>
      </c>
      <c r="D2953" s="8" t="s">
        <v>1184</v>
      </c>
      <c r="E2953" s="8" t="s">
        <v>12</v>
      </c>
      <c r="F2953" s="8" t="s">
        <v>13</v>
      </c>
      <c r="G2953" s="8" t="s">
        <v>98</v>
      </c>
      <c r="H2953" s="16">
        <v>0.0</v>
      </c>
      <c r="I2953" s="15" t="str">
        <f>SUBSTITUTE(Sheet1!K2953, "Rp", "")</f>
        <v>0</v>
      </c>
    </row>
    <row r="2954">
      <c r="A2954" s="8" t="s">
        <v>4252</v>
      </c>
      <c r="B2954" s="13" t="str">
        <f>HYPERLINK("https://shopee.co.id/Dr-Jart-Vital-Hydra-Solution-Biome-Essence-with-Blue-Shot-50ml-i.126014132.4520408452", "https://shopee.co.id/Dr-Jart-Vital-Hydra-Solution-Biome-Essence-with-Blue-Shot-50ml-i.126014132.4520408452")</f>
        <v>https://shopee.co.id/Dr-Jart-Vital-Hydra-Solution-Biome-Essence-with-Blue-Shot-50ml-i.126014132.4520408452</v>
      </c>
      <c r="C2954" s="8" t="s">
        <v>1814</v>
      </c>
      <c r="D2954" s="8" t="s">
        <v>640</v>
      </c>
      <c r="E2954" s="8" t="s">
        <v>12</v>
      </c>
      <c r="F2954" s="8" t="s">
        <v>13</v>
      </c>
      <c r="G2954" s="8" t="s">
        <v>61</v>
      </c>
      <c r="H2954" s="16">
        <v>0.0</v>
      </c>
      <c r="I2954" s="15" t="str">
        <f>SUBSTITUTE(Sheet1!K2954, "Rp", "")</f>
        <v>0</v>
      </c>
    </row>
    <row r="2955">
      <c r="A2955" s="8" t="s">
        <v>4253</v>
      </c>
      <c r="B2955" s="13" t="str">
        <f>HYPERLINK("https://shopee.co.id/Duvaderm-Acne-Shot-15ml-i.825870.9133966482", "https://shopee.co.id/Duvaderm-Acne-Shot-15ml-i.825870.9133966482")</f>
        <v>https://shopee.co.id/Duvaderm-Acne-Shot-15ml-i.825870.9133966482</v>
      </c>
      <c r="C2955" s="8" t="s">
        <v>2752</v>
      </c>
      <c r="D2955" s="8" t="s">
        <v>1184</v>
      </c>
      <c r="E2955" s="8" t="s">
        <v>12</v>
      </c>
      <c r="F2955" s="8" t="s">
        <v>13</v>
      </c>
      <c r="G2955" s="8" t="s">
        <v>21</v>
      </c>
      <c r="H2955" s="16">
        <v>0.0</v>
      </c>
      <c r="I2955" s="15" t="str">
        <f>SUBSTITUTE(Sheet1!K2955, "Rp", "")</f>
        <v>0</v>
      </c>
    </row>
    <row r="2956">
      <c r="A2956" s="8" t="s">
        <v>4254</v>
      </c>
      <c r="B2956" s="13" t="str">
        <f>HYPERLINK("https://shopee.co.id/Duvaderm-Hyaluronic-Calming-Serum-30ml-i.825870.6660574493", "https://shopee.co.id/Duvaderm-Hyaluronic-Calming-Serum-30ml-i.825870.6660574493")</f>
        <v>https://shopee.co.id/Duvaderm-Hyaluronic-Calming-Serum-30ml-i.825870.6660574493</v>
      </c>
      <c r="C2956" s="8" t="s">
        <v>2752</v>
      </c>
      <c r="D2956" s="8" t="s">
        <v>1184</v>
      </c>
      <c r="E2956" s="8" t="s">
        <v>12</v>
      </c>
      <c r="F2956" s="8" t="s">
        <v>13</v>
      </c>
      <c r="G2956" s="8" t="s">
        <v>21</v>
      </c>
      <c r="H2956" s="16">
        <v>0.0</v>
      </c>
      <c r="I2956" s="15" t="str">
        <f>SUBSTITUTE(Sheet1!K2956, "Rp", "")</f>
        <v>0</v>
      </c>
    </row>
    <row r="2957">
      <c r="A2957" s="8" t="s">
        <v>3943</v>
      </c>
      <c r="B2957" s="13" t="str">
        <f>HYPERLINK("https://shopee.co.id/Ecla-C-Lite-Brightening-Serum-10G-i.353463233.5569715212", "https://shopee.co.id/Ecla-C-Lite-Brightening-Serum-10G-i.353463233.5569715212")</f>
        <v>https://shopee.co.id/Ecla-C-Lite-Brightening-Serum-10G-i.353463233.5569715212</v>
      </c>
      <c r="C2957" s="8" t="s">
        <v>3626</v>
      </c>
      <c r="D2957" s="8" t="s">
        <v>3968</v>
      </c>
      <c r="E2957" s="8" t="s">
        <v>12</v>
      </c>
      <c r="F2957" s="8" t="s">
        <v>13</v>
      </c>
      <c r="G2957" s="8" t="s">
        <v>350</v>
      </c>
      <c r="H2957" s="16">
        <v>0.0</v>
      </c>
      <c r="I2957" s="15" t="str">
        <f>SUBSTITUTE(Sheet1!K2957, "Rp", "")</f>
        <v>0</v>
      </c>
    </row>
    <row r="2958">
      <c r="A2958" s="8" t="s">
        <v>4255</v>
      </c>
      <c r="B2958" s="13" t="str">
        <f>HYPERLINK("https://shopee.co.id/ECLA-Gold-Anti-Aging-Serum-i.14403453.498250700", "https://shopee.co.id/ECLA-Gold-Anti-Aging-Serum-i.14403453.498250700")</f>
        <v>https://shopee.co.id/ECLA-Gold-Anti-Aging-Serum-i.14403453.498250700</v>
      </c>
      <c r="C2958" s="8" t="s">
        <v>4256</v>
      </c>
      <c r="D2958" s="8" t="s">
        <v>3627</v>
      </c>
      <c r="E2958" s="8" t="s">
        <v>12</v>
      </c>
      <c r="F2958" s="8" t="s">
        <v>13</v>
      </c>
      <c r="G2958" s="8" t="s">
        <v>469</v>
      </c>
      <c r="H2958" s="16">
        <v>0.0</v>
      </c>
      <c r="I2958" s="15" t="str">
        <f>SUBSTITUTE(Sheet1!K2958, "Rp", "")</f>
        <v>0</v>
      </c>
    </row>
    <row r="2959">
      <c r="A2959" s="8" t="s">
        <v>4257</v>
      </c>
      <c r="B2959" s="13" t="str">
        <f>HYPERLINK("https://shopee.co.id/Elemis-Dynamic-Resurfacing-Serum-30ml-i.298239433.3857297959", "https://shopee.co.id/Elemis-Dynamic-Resurfacing-Serum-30ml-i.298239433.3857297959")</f>
        <v>https://shopee.co.id/Elemis-Dynamic-Resurfacing-Serum-30ml-i.298239433.3857297959</v>
      </c>
      <c r="C2959" s="8" t="s">
        <v>4258</v>
      </c>
      <c r="D2959" s="8" t="s">
        <v>4259</v>
      </c>
      <c r="E2959" s="8" t="s">
        <v>12</v>
      </c>
      <c r="F2959" s="8" t="s">
        <v>13</v>
      </c>
      <c r="G2959" s="8" t="s">
        <v>532</v>
      </c>
      <c r="H2959" s="16">
        <v>0.0</v>
      </c>
      <c r="I2959" s="15" t="str">
        <f>SUBSTITUTE(Sheet1!K2959, "Rp", "")</f>
        <v>0</v>
      </c>
    </row>
    <row r="2960">
      <c r="A2960" s="8" t="s">
        <v>4260</v>
      </c>
      <c r="B2960" s="13" t="str">
        <f>HYPERLINK("https://shopee.co.id/Elemis-Pro-Collagen-Quartz-Lift-Serum-30ml-i.298239433.7657173129", "https://shopee.co.id/Elemis-Pro-Collagen-Quartz-Lift-Serum-30ml-i.298239433.7657173129")</f>
        <v>https://shopee.co.id/Elemis-Pro-Collagen-Quartz-Lift-Serum-30ml-i.298239433.7657173129</v>
      </c>
      <c r="C2960" s="8" t="s">
        <v>4258</v>
      </c>
      <c r="D2960" s="8" t="s">
        <v>4259</v>
      </c>
      <c r="E2960" s="8" t="s">
        <v>12</v>
      </c>
      <c r="F2960" s="8" t="s">
        <v>13</v>
      </c>
      <c r="G2960" s="8" t="s">
        <v>532</v>
      </c>
      <c r="H2960" s="16">
        <v>0.0</v>
      </c>
      <c r="I2960" s="15" t="str">
        <f>SUBSTITUTE(Sheet1!K2960, "Rp", "")</f>
        <v>0</v>
      </c>
    </row>
    <row r="2961">
      <c r="A2961" s="8" t="s">
        <v>4261</v>
      </c>
      <c r="B2961" s="13" t="str">
        <f>HYPERLINK("https://shopee.co.id/Elemis-Superfood-Cica-Calm-Booster-9ml-i.298239433.7057187343", "https://shopee.co.id/Elemis-Superfood-Cica-Calm-Booster-9ml-i.298239433.7057187343")</f>
        <v>https://shopee.co.id/Elemis-Superfood-Cica-Calm-Booster-9ml-i.298239433.7057187343</v>
      </c>
      <c r="C2961" s="8" t="s">
        <v>4258</v>
      </c>
      <c r="D2961" s="8" t="s">
        <v>4259</v>
      </c>
      <c r="E2961" s="8" t="s">
        <v>12</v>
      </c>
      <c r="F2961" s="8" t="s">
        <v>13</v>
      </c>
      <c r="G2961" s="8" t="s">
        <v>532</v>
      </c>
      <c r="H2961" s="16">
        <v>0.0</v>
      </c>
      <c r="I2961" s="15" t="str">
        <f>SUBSTITUTE(Sheet1!K2961, "Rp", "")</f>
        <v>0</v>
      </c>
    </row>
    <row r="2962">
      <c r="A2962" s="8" t="s">
        <v>4262</v>
      </c>
      <c r="B2962" s="13" t="str">
        <f>HYPERLINK("https://shopee.co.id/Elemis-Superfood-Glow-Booster-9ml-i.298239433.11700821136", "https://shopee.co.id/Elemis-Superfood-Glow-Booster-9ml-i.298239433.11700821136")</f>
        <v>https://shopee.co.id/Elemis-Superfood-Glow-Booster-9ml-i.298239433.11700821136</v>
      </c>
      <c r="C2962" s="8" t="s">
        <v>4258</v>
      </c>
      <c r="D2962" s="8" t="s">
        <v>4259</v>
      </c>
      <c r="E2962" s="8" t="s">
        <v>12</v>
      </c>
      <c r="F2962" s="8" t="s">
        <v>13</v>
      </c>
      <c r="G2962" s="8" t="s">
        <v>532</v>
      </c>
      <c r="H2962" s="16">
        <v>0.0</v>
      </c>
      <c r="I2962" s="15" t="str">
        <f>SUBSTITUTE(Sheet1!K2962, "Rp", "")</f>
        <v>0</v>
      </c>
    </row>
    <row r="2963">
      <c r="A2963" s="8" t="s">
        <v>4263</v>
      </c>
      <c r="B2963" s="13" t="str">
        <f>HYPERLINK("https://shopee.co.id/Elevatione-Nutrix-Facial-Serum-Preserve-Your-Youth-Collection-i.253186674.7432485328", "https://shopee.co.id/Elevatione-Nutrix-Facial-Serum-Preserve-Your-Youth-Collection-i.253186674.7432485328")</f>
        <v>https://shopee.co.id/Elevatione-Nutrix-Facial-Serum-Preserve-Your-Youth-Collection-i.253186674.7432485328</v>
      </c>
      <c r="C2963" s="8" t="s">
        <v>4264</v>
      </c>
      <c r="D2963" s="8" t="s">
        <v>4265</v>
      </c>
      <c r="E2963" s="8" t="s">
        <v>12</v>
      </c>
      <c r="F2963" s="8" t="s">
        <v>13</v>
      </c>
      <c r="G2963" s="8" t="s">
        <v>296</v>
      </c>
      <c r="H2963" s="16">
        <v>0.0</v>
      </c>
      <c r="I2963" s="15" t="str">
        <f>SUBSTITUTE(Sheet1!K2963, "Rp", "")</f>
        <v>0</v>
      </c>
    </row>
    <row r="2964">
      <c r="A2964" s="8" t="s">
        <v>4266</v>
      </c>
      <c r="B2964" s="13" t="str">
        <f>HYPERLINK("https://shopee.co.id/Elsheskin-Active-Rejuvenating-Night-Serum-i.17081863.9321007574", "https://shopee.co.id/Elsheskin-Active-Rejuvenating-Night-Serum-i.17081863.9321007574")</f>
        <v>https://shopee.co.id/Elsheskin-Active-Rejuvenating-Night-Serum-i.17081863.9321007574</v>
      </c>
      <c r="C2964" s="8" t="s">
        <v>135</v>
      </c>
      <c r="D2964" s="8" t="s">
        <v>2497</v>
      </c>
      <c r="E2964" s="8" t="s">
        <v>12</v>
      </c>
      <c r="F2964" s="8" t="s">
        <v>13</v>
      </c>
      <c r="G2964" s="8" t="s">
        <v>21</v>
      </c>
      <c r="H2964" s="16">
        <v>0.0</v>
      </c>
      <c r="I2964" s="15" t="str">
        <f>SUBSTITUTE(Sheet1!K2964, "Rp", "")</f>
        <v>0</v>
      </c>
    </row>
    <row r="2965">
      <c r="A2965" s="8" t="s">
        <v>4267</v>
      </c>
      <c r="B2965" s="13" t="str">
        <f>HYPERLINK("https://shopee.co.id/ElsheSkin-Active-Rejuvenating-Night-Serum-Limited-Edition-i.9035345.9537619151", "https://shopee.co.id/ElsheSkin-Active-Rejuvenating-Night-Serum-Limited-Edition-i.9035345.9537619151")</f>
        <v>https://shopee.co.id/ElsheSkin-Active-Rejuvenating-Night-Serum-Limited-Edition-i.9035345.9537619151</v>
      </c>
      <c r="C2965" s="8" t="s">
        <v>135</v>
      </c>
      <c r="D2965" s="8" t="s">
        <v>136</v>
      </c>
      <c r="E2965" s="8" t="s">
        <v>12</v>
      </c>
      <c r="F2965" s="8" t="s">
        <v>13</v>
      </c>
      <c r="G2965" s="8" t="s">
        <v>80</v>
      </c>
      <c r="H2965" s="16">
        <v>0.0</v>
      </c>
      <c r="I2965" s="15" t="str">
        <f>SUBSTITUTE(Sheet1!K2965, "Rp", "")</f>
        <v>0</v>
      </c>
    </row>
    <row r="2966">
      <c r="A2966" s="8" t="s">
        <v>200</v>
      </c>
      <c r="B2966" s="13" t="str">
        <f>HYPERLINK("https://shopee.co.id/ElsheSkin-Radiant-Skin-Serum-i.17081863.9320873368", "https://shopee.co.id/ElsheSkin-Radiant-Skin-Serum-i.17081863.9320873368")</f>
        <v>https://shopee.co.id/ElsheSkin-Radiant-Skin-Serum-i.17081863.9320873368</v>
      </c>
      <c r="C2966" s="8" t="s">
        <v>135</v>
      </c>
      <c r="D2966" s="8" t="s">
        <v>2497</v>
      </c>
      <c r="E2966" s="8" t="s">
        <v>12</v>
      </c>
      <c r="F2966" s="8" t="s">
        <v>13</v>
      </c>
      <c r="G2966" s="8" t="s">
        <v>21</v>
      </c>
      <c r="H2966" s="16">
        <v>0.0</v>
      </c>
      <c r="I2966" s="15" t="str">
        <f>SUBSTITUTE(Sheet1!K2966, "Rp", "")</f>
        <v>0</v>
      </c>
    </row>
    <row r="2967">
      <c r="A2967" s="8" t="s">
        <v>4268</v>
      </c>
      <c r="B2967" s="13" t="str">
        <f>HYPERLINK("https://shopee.co.id/ElsheSkin-Sebum-Reducer-Serum-20ml-i.825870.1945026413", "https://shopee.co.id/ElsheSkin-Sebum-Reducer-Serum-20ml-i.825870.1945026413")</f>
        <v>https://shopee.co.id/ElsheSkin-Sebum-Reducer-Serum-20ml-i.825870.1945026413</v>
      </c>
      <c r="C2967" s="8" t="s">
        <v>135</v>
      </c>
      <c r="D2967" s="8" t="s">
        <v>1184</v>
      </c>
      <c r="E2967" s="8" t="s">
        <v>12</v>
      </c>
      <c r="F2967" s="8" t="s">
        <v>13</v>
      </c>
      <c r="G2967" s="8" t="s">
        <v>21</v>
      </c>
      <c r="H2967" s="16">
        <v>0.0</v>
      </c>
      <c r="I2967" s="15" t="str">
        <f>SUBSTITUTE(Sheet1!K2967, "Rp", "")</f>
        <v>0</v>
      </c>
    </row>
    <row r="2968">
      <c r="A2968" s="8" t="s">
        <v>4269</v>
      </c>
      <c r="B2968" s="13" t="str">
        <f>HYPERLINK("https://shopee.co.id/Elsheskin-Skin-Serum-i.136011044.6139556914", "https://shopee.co.id/Elsheskin-Skin-Serum-i.136011044.6139556914")</f>
        <v>https://shopee.co.id/Elsheskin-Skin-Serum-i.136011044.6139556914</v>
      </c>
      <c r="C2968" s="8" t="s">
        <v>135</v>
      </c>
      <c r="D2968" s="8" t="s">
        <v>632</v>
      </c>
      <c r="E2968" s="8" t="s">
        <v>12</v>
      </c>
      <c r="F2968" s="8" t="s">
        <v>13</v>
      </c>
      <c r="G2968" s="8" t="s">
        <v>21</v>
      </c>
      <c r="H2968" s="16">
        <v>0.0</v>
      </c>
      <c r="I2968" s="15" t="str">
        <f>SUBSTITUTE(Sheet1!K2968, "Rp", "")</f>
        <v>0</v>
      </c>
    </row>
    <row r="2969">
      <c r="A2969" s="8" t="s">
        <v>780</v>
      </c>
      <c r="B2969" s="13" t="str">
        <f>HYPERLINK("https://shopee.co.id/ElsheSkin-Smoothing-Serum-For-Acne-Skin-i.17081863.6580729757", "https://shopee.co.id/ElsheSkin-Smoothing-Serum-For-Acne-Skin-i.17081863.6580729757")</f>
        <v>https://shopee.co.id/ElsheSkin-Smoothing-Serum-For-Acne-Skin-i.17081863.6580729757</v>
      </c>
      <c r="C2969" s="8" t="s">
        <v>135</v>
      </c>
      <c r="D2969" s="8" t="s">
        <v>2497</v>
      </c>
      <c r="E2969" s="8" t="s">
        <v>12</v>
      </c>
      <c r="F2969" s="8" t="s">
        <v>13</v>
      </c>
      <c r="G2969" s="8" t="s">
        <v>21</v>
      </c>
      <c r="H2969" s="16">
        <v>0.0</v>
      </c>
      <c r="I2969" s="15" t="str">
        <f>SUBSTITUTE(Sheet1!K2969, "Rp", "")</f>
        <v>0</v>
      </c>
    </row>
    <row r="2970">
      <c r="A2970" s="8" t="s">
        <v>4270</v>
      </c>
      <c r="B2970" s="13" t="str">
        <f>HYPERLINK("https://shopee.co.id/ElsheSkin-Vitamin-C-Serum-20ml-i.825870.1924193278", "https://shopee.co.id/ElsheSkin-Vitamin-C-Serum-20ml-i.825870.1924193278")</f>
        <v>https://shopee.co.id/ElsheSkin-Vitamin-C-Serum-20ml-i.825870.1924193278</v>
      </c>
      <c r="C2970" s="8" t="s">
        <v>135</v>
      </c>
      <c r="D2970" s="8" t="s">
        <v>1184</v>
      </c>
      <c r="E2970" s="8" t="s">
        <v>12</v>
      </c>
      <c r="F2970" s="8" t="s">
        <v>13</v>
      </c>
      <c r="G2970" s="8" t="s">
        <v>21</v>
      </c>
      <c r="H2970" s="16">
        <v>0.0</v>
      </c>
      <c r="I2970" s="15" t="str">
        <f>SUBSTITUTE(Sheet1!K2970, "Rp", "")</f>
        <v>0</v>
      </c>
    </row>
    <row r="2971">
      <c r="A2971" s="8" t="s">
        <v>4271</v>
      </c>
      <c r="B2971" s="13" t="str">
        <f>HYPERLINK("https://shopee.co.id/EMINA-Bright-Stuff-Face-Serum-i.187117294.8749438142", "https://shopee.co.id/EMINA-Bright-Stuff-Face-Serum-i.187117294.8749438142")</f>
        <v>https://shopee.co.id/EMINA-Bright-Stuff-Face-Serum-i.187117294.8749438142</v>
      </c>
      <c r="C2971" s="8" t="s">
        <v>209</v>
      </c>
      <c r="D2971" s="8" t="s">
        <v>2366</v>
      </c>
      <c r="E2971" s="8" t="s">
        <v>12</v>
      </c>
      <c r="F2971" s="8" t="s">
        <v>13</v>
      </c>
      <c r="G2971" s="8" t="s">
        <v>469</v>
      </c>
      <c r="H2971" s="16">
        <v>0.0</v>
      </c>
      <c r="I2971" s="15" t="str">
        <f>SUBSTITUTE(Sheet1!K2971, "Rp", "")</f>
        <v>0</v>
      </c>
    </row>
    <row r="2972">
      <c r="A2972" s="8" t="s">
        <v>4272</v>
      </c>
      <c r="B2972" s="13" t="str">
        <f>HYPERLINK("https://shopee.co.id/Emina-It-s-Time-to-Glow-Up-Serum-Magic-Potion-i.63983008.9369210108", "https://shopee.co.id/Emina-It-s-Time-to-Glow-Up-Serum-Magic-Potion-i.63983008.9369210108")</f>
        <v>https://shopee.co.id/Emina-It-s-Time-to-Glow-Up-Serum-Magic-Potion-i.63983008.9369210108</v>
      </c>
      <c r="C2972" s="8" t="s">
        <v>209</v>
      </c>
      <c r="D2972" s="8" t="s">
        <v>210</v>
      </c>
      <c r="E2972" s="8" t="s">
        <v>12</v>
      </c>
      <c r="F2972" s="8" t="s">
        <v>13</v>
      </c>
      <c r="G2972" s="8" t="s">
        <v>98</v>
      </c>
      <c r="H2972" s="16">
        <v>0.0</v>
      </c>
      <c r="I2972" s="15" t="str">
        <f>SUBSTITUTE(Sheet1!K2972, "Rp", "")</f>
        <v>0</v>
      </c>
    </row>
    <row r="2973">
      <c r="A2973" s="8" t="s">
        <v>4273</v>
      </c>
      <c r="B2973" s="13" t="str">
        <f>HYPERLINK("https://shopee.co.id/Emina-You-Glow-Girl-Serum-Creamatte-i.63983008.5592354429", "https://shopee.co.id/Emina-You-Glow-Girl-Serum-Creamatte-i.63983008.5592354429")</f>
        <v>https://shopee.co.id/Emina-You-Glow-Girl-Serum-Creamatte-i.63983008.5592354429</v>
      </c>
      <c r="C2973" s="8" t="s">
        <v>209</v>
      </c>
      <c r="D2973" s="8" t="s">
        <v>210</v>
      </c>
      <c r="E2973" s="8" t="s">
        <v>12</v>
      </c>
      <c r="F2973" s="8" t="s">
        <v>13</v>
      </c>
      <c r="G2973" s="8" t="s">
        <v>98</v>
      </c>
      <c r="H2973" s="16">
        <v>0.0</v>
      </c>
      <c r="I2973" s="15" t="str">
        <f>SUBSTITUTE(Sheet1!K2973, "Rp", "")</f>
        <v>0</v>
      </c>
    </row>
    <row r="2974">
      <c r="A2974" s="8" t="s">
        <v>4274</v>
      </c>
      <c r="B2974" s="13" t="str">
        <f>HYPERLINK("https://shopee.co.id/Envygreen-Intensify-Brightening-Serum-with-AHA-8-BHA-Niacinamide-10gr-i.825870.9823544568", "https://shopee.co.id/Envygreen-Intensify-Brightening-Serum-with-AHA-8-BHA-Niacinamide-10gr-i.825870.9823544568")</f>
        <v>https://shopee.co.id/Envygreen-Intensify-Brightening-Serum-with-AHA-8-BHA-Niacinamide-10gr-i.825870.9823544568</v>
      </c>
      <c r="C2974" s="8" t="s">
        <v>2034</v>
      </c>
      <c r="D2974" s="8" t="s">
        <v>1184</v>
      </c>
      <c r="E2974" s="8" t="s">
        <v>12</v>
      </c>
      <c r="F2974" s="8" t="s">
        <v>13</v>
      </c>
      <c r="G2974" s="8" t="s">
        <v>21</v>
      </c>
      <c r="H2974" s="16">
        <v>0.0</v>
      </c>
      <c r="I2974" s="15" t="str">
        <f>SUBSTITUTE(Sheet1!K2974, "Rp", "")</f>
        <v>0</v>
      </c>
    </row>
    <row r="2975">
      <c r="A2975" s="8" t="s">
        <v>4275</v>
      </c>
      <c r="B2975" s="13" t="str">
        <f>HYPERLINK("https://shopee.co.id/Envygreen-x-Wellisna-The-Right-Bright-Glow-Serum-20gr-i.825870.9323539622", "https://shopee.co.id/Envygreen-x-Wellisna-The-Right-Bright-Glow-Serum-20gr-i.825870.9323539622")</f>
        <v>https://shopee.co.id/Envygreen-x-Wellisna-The-Right-Bright-Glow-Serum-20gr-i.825870.9323539622</v>
      </c>
      <c r="C2975" s="8" t="s">
        <v>2034</v>
      </c>
      <c r="D2975" s="8" t="s">
        <v>1184</v>
      </c>
      <c r="E2975" s="8" t="s">
        <v>12</v>
      </c>
      <c r="F2975" s="8" t="s">
        <v>13</v>
      </c>
      <c r="G2975" s="8" t="s">
        <v>21</v>
      </c>
      <c r="H2975" s="16">
        <v>0.0</v>
      </c>
      <c r="I2975" s="15" t="str">
        <f>SUBSTITUTE(Sheet1!K2975, "Rp", "")</f>
        <v>0</v>
      </c>
    </row>
    <row r="2976">
      <c r="A2976" s="8" t="s">
        <v>4276</v>
      </c>
      <c r="B2976" s="13" t="str">
        <f>HYPERLINK("https://shopee.co.id/ERHA-hiserha-gentle-acne-essence-all-in-one-i.187117294.4965909957", "https://shopee.co.id/ERHA-hiserha-gentle-acne-essence-all-in-one-i.187117294.4965909957")</f>
        <v>https://shopee.co.id/ERHA-hiserha-gentle-acne-essence-all-in-one-i.187117294.4965909957</v>
      </c>
      <c r="C2976" s="8" t="s">
        <v>181</v>
      </c>
      <c r="D2976" s="8" t="s">
        <v>2366</v>
      </c>
      <c r="E2976" s="8" t="s">
        <v>12</v>
      </c>
      <c r="F2976" s="8" t="s">
        <v>13</v>
      </c>
      <c r="G2976" s="8" t="s">
        <v>469</v>
      </c>
      <c r="H2976" s="16">
        <v>0.0</v>
      </c>
      <c r="I2976" s="15" t="str">
        <f>SUBSTITUTE(Sheet1!K2976, "Rp", "")</f>
        <v>0</v>
      </c>
    </row>
    <row r="2977">
      <c r="A2977" s="8" t="s">
        <v>4277</v>
      </c>
      <c r="B2977" s="13" t="str">
        <f>HYPERLINK("https://shopee.co.id/ERHA-Age-Corrector-Moisture-Control-Booster-15ML-Anti-Aging-Booster-i.187117294.8354835616", "https://shopee.co.id/ERHA-Age-Corrector-Moisture-Control-Booster-15ML-Anti-Aging-Booster-i.187117294.8354835616")</f>
        <v>https://shopee.co.id/ERHA-Age-Corrector-Moisture-Control-Booster-15ML-Anti-Aging-Booster-i.187117294.8354835616</v>
      </c>
      <c r="C2977" s="8" t="s">
        <v>181</v>
      </c>
      <c r="D2977" s="8" t="s">
        <v>2366</v>
      </c>
      <c r="E2977" s="8" t="s">
        <v>12</v>
      </c>
      <c r="F2977" s="8" t="s">
        <v>13</v>
      </c>
      <c r="G2977" s="8" t="s">
        <v>469</v>
      </c>
      <c r="H2977" s="16">
        <v>0.0</v>
      </c>
      <c r="I2977" s="15" t="str">
        <f>SUBSTITUTE(Sheet1!K2977, "Rp", "")</f>
        <v>0</v>
      </c>
    </row>
    <row r="2978">
      <c r="A2978" s="8" t="s">
        <v>4278</v>
      </c>
      <c r="B2978" s="13" t="str">
        <f>HYPERLINK("https://shopee.co.id/ERHA-Age-Corrector-Skin-Renew-Booster-15ML-Anti-Aging-Booster-i.187117294.9854840086", "https://shopee.co.id/ERHA-Age-Corrector-Skin-Renew-Booster-15ML-Anti-Aging-Booster-i.187117294.9854840086")</f>
        <v>https://shopee.co.id/ERHA-Age-Corrector-Skin-Renew-Booster-15ML-Anti-Aging-Booster-i.187117294.9854840086</v>
      </c>
      <c r="C2978" s="8" t="s">
        <v>181</v>
      </c>
      <c r="D2978" s="8" t="s">
        <v>2366</v>
      </c>
      <c r="E2978" s="8" t="s">
        <v>12</v>
      </c>
      <c r="F2978" s="8" t="s">
        <v>13</v>
      </c>
      <c r="G2978" s="8" t="s">
        <v>469</v>
      </c>
      <c r="H2978" s="16">
        <v>0.0</v>
      </c>
      <c r="I2978" s="15" t="str">
        <f>SUBSTITUTE(Sheet1!K2978, "Rp", "")</f>
        <v>0</v>
      </c>
    </row>
    <row r="2979">
      <c r="A2979" s="8" t="s">
        <v>4279</v>
      </c>
      <c r="B2979" s="13" t="str">
        <f>HYPERLINK("https://shopee.co.id/Erha-Truwhite-Activator-C-Serum-19ml-i.30736001.3537157618", "https://shopee.co.id/Erha-Truwhite-Activator-C-Serum-19ml-i.30736001.3537157618")</f>
        <v>https://shopee.co.id/Erha-Truwhite-Activator-C-Serum-19ml-i.30736001.3537157618</v>
      </c>
      <c r="C2979" s="8" t="s">
        <v>181</v>
      </c>
      <c r="D2979" s="8" t="s">
        <v>335</v>
      </c>
      <c r="E2979" s="8" t="s">
        <v>12</v>
      </c>
      <c r="F2979" s="8" t="s">
        <v>13</v>
      </c>
      <c r="G2979" s="8" t="s">
        <v>36</v>
      </c>
      <c r="H2979" s="16">
        <v>0.0</v>
      </c>
      <c r="I2979" s="15" t="str">
        <f>SUBSTITUTE(Sheet1!K2979, "Rp", "")</f>
        <v>0</v>
      </c>
    </row>
    <row r="2980">
      <c r="A2980" s="8" t="s">
        <v>4280</v>
      </c>
      <c r="B2980" s="13" t="str">
        <f>HYPERLINK("https://shopee.co.id/ERHA-X-AQUA-Refresh-Hydrating-Serum-i.187117294.8519876376", "https://shopee.co.id/ERHA-X-AQUA-Refresh-Hydrating-Serum-i.187117294.8519876376")</f>
        <v>https://shopee.co.id/ERHA-X-AQUA-Refresh-Hydrating-Serum-i.187117294.8519876376</v>
      </c>
      <c r="C2980" s="8" t="s">
        <v>181</v>
      </c>
      <c r="D2980" s="8" t="s">
        <v>2366</v>
      </c>
      <c r="E2980" s="8" t="s">
        <v>12</v>
      </c>
      <c r="F2980" s="8" t="s">
        <v>13</v>
      </c>
      <c r="G2980" s="8" t="s">
        <v>469</v>
      </c>
      <c r="H2980" s="16">
        <v>0.0</v>
      </c>
      <c r="I2980" s="15" t="str">
        <f>SUBSTITUTE(Sheet1!K2980, "Rp", "")</f>
        <v>0</v>
      </c>
    </row>
    <row r="2981">
      <c r="A2981" s="8" t="s">
        <v>4281</v>
      </c>
      <c r="B2981" s="13" t="str">
        <f>HYPERLINK("https://shopee.co.id/ERHA21-Age-Corrector-Serum-BUY-1-AGE-CORRECTOR-SERUM-FREE-1-WHITE-JADE-ROLLER--i.187117294.4149962745", "https://shopee.co.id/ERHA21-Age-Corrector-Serum-BUY-1-AGE-CORRECTOR-SERUM-FREE-1-WHITE-JADE-ROLLER--i.187117294.4149962745")</f>
        <v>https://shopee.co.id/ERHA21-Age-Corrector-Serum-BUY-1-AGE-CORRECTOR-SERUM-FREE-1-WHITE-JADE-ROLLER--i.187117294.4149962745</v>
      </c>
      <c r="C2981" s="8" t="s">
        <v>4282</v>
      </c>
      <c r="D2981" s="8" t="s">
        <v>2366</v>
      </c>
      <c r="E2981" s="8" t="s">
        <v>12</v>
      </c>
      <c r="F2981" s="8" t="s">
        <v>13</v>
      </c>
      <c r="G2981" s="8" t="s">
        <v>469</v>
      </c>
      <c r="H2981" s="16">
        <v>0.0</v>
      </c>
      <c r="I2981" s="15" t="str">
        <f>SUBSTITUTE(Sheet1!K2981, "Rp", "")</f>
        <v>0</v>
      </c>
    </row>
    <row r="2982">
      <c r="A2982" s="8" t="s">
        <v>4283</v>
      </c>
      <c r="B2982" s="13" t="str">
        <f>HYPERLINK("https://shopee.co.id/ESSENCE-Insta-Perfect-Liquid-Make-Up-i.47255270.4416051759", "https://shopee.co.id/ESSENCE-Insta-Perfect-Liquid-Make-Up-i.47255270.4416051759")</f>
        <v>https://shopee.co.id/ESSENCE-Insta-Perfect-Liquid-Make-Up-i.47255270.4416051759</v>
      </c>
      <c r="C2982" s="8" t="s">
        <v>4284</v>
      </c>
      <c r="D2982" s="8" t="s">
        <v>1978</v>
      </c>
      <c r="E2982" s="8" t="s">
        <v>12</v>
      </c>
      <c r="F2982" s="8" t="s">
        <v>13</v>
      </c>
      <c r="G2982" s="8" t="s">
        <v>241</v>
      </c>
      <c r="H2982" s="16">
        <v>0.0</v>
      </c>
      <c r="I2982" s="15" t="str">
        <f>SUBSTITUTE(Sheet1!K2982, "Rp", "")</f>
        <v>0</v>
      </c>
    </row>
    <row r="2983">
      <c r="A2983" s="8" t="s">
        <v>4285</v>
      </c>
      <c r="B2983" s="13" t="str">
        <f>HYPERLINK("https://shopee.co.id/Estetiderma-Skin-Refining-Serum-Value-Pack-Isi-2-Serum-Wajah-i.61653681.5552896718", "https://shopee.co.id/Estetiderma-Skin-Refining-Serum-Value-Pack-Isi-2-Serum-Wajah-i.61653681.5552896718")</f>
        <v>https://shopee.co.id/Estetiderma-Skin-Refining-Serum-Value-Pack-Isi-2-Serum-Wajah-i.61653681.5552896718</v>
      </c>
      <c r="C2983" s="8" t="s">
        <v>2451</v>
      </c>
      <c r="D2983" s="8" t="s">
        <v>2452</v>
      </c>
      <c r="E2983" s="8" t="s">
        <v>12</v>
      </c>
      <c r="F2983" s="8" t="s">
        <v>13</v>
      </c>
      <c r="G2983" s="8" t="s">
        <v>98</v>
      </c>
      <c r="H2983" s="16">
        <v>0.0</v>
      </c>
      <c r="I2983" s="15" t="str">
        <f>SUBSTITUTE(Sheet1!K2983, "Rp", "")</f>
        <v>0</v>
      </c>
    </row>
    <row r="2984">
      <c r="A2984" s="8" t="s">
        <v>4286</v>
      </c>
      <c r="B2984" s="13" t="str">
        <f>HYPERLINK("https://shopee.co.id/Esther-Acne-Serum-4-Ampoules-i.258793984.4132828613", "https://shopee.co.id/Esther-Acne-Serum-4-Ampoules-i.258793984.4132828613")</f>
        <v>https://shopee.co.id/Esther-Acne-Serum-4-Ampoules-i.258793984.4132828613</v>
      </c>
      <c r="C2984" s="8" t="s">
        <v>3398</v>
      </c>
      <c r="D2984" s="8" t="s">
        <v>3399</v>
      </c>
      <c r="E2984" s="8" t="s">
        <v>12</v>
      </c>
      <c r="F2984" s="8" t="s">
        <v>13</v>
      </c>
      <c r="G2984" s="8" t="s">
        <v>350</v>
      </c>
      <c r="H2984" s="16">
        <v>0.0</v>
      </c>
      <c r="I2984" s="15" t="str">
        <f>SUBSTITUTE(Sheet1!K2984, "Rp", "")</f>
        <v>0</v>
      </c>
    </row>
    <row r="2985">
      <c r="A2985" s="8" t="s">
        <v>4287</v>
      </c>
      <c r="B2985" s="13" t="str">
        <f>HYPERLINK("https://shopee.co.id/Esther-Calming-Serum-20ml-i.258793984.2925995419", "https://shopee.co.id/Esther-Calming-Serum-20ml-i.258793984.2925995419")</f>
        <v>https://shopee.co.id/Esther-Calming-Serum-20ml-i.258793984.2925995419</v>
      </c>
      <c r="C2985" s="8" t="s">
        <v>3398</v>
      </c>
      <c r="D2985" s="8" t="s">
        <v>3399</v>
      </c>
      <c r="E2985" s="8" t="s">
        <v>12</v>
      </c>
      <c r="F2985" s="8" t="s">
        <v>13</v>
      </c>
      <c r="G2985" s="8" t="s">
        <v>350</v>
      </c>
      <c r="H2985" s="16">
        <v>0.0</v>
      </c>
      <c r="I2985" s="15" t="str">
        <f>SUBSTITUTE(Sheet1!K2985, "Rp", "")</f>
        <v>0</v>
      </c>
    </row>
    <row r="2986">
      <c r="A2986" s="8" t="s">
        <v>4288</v>
      </c>
      <c r="B2986" s="13" t="str">
        <f>HYPERLINK("https://shopee.co.id/Esther-Intensive-Serum-i.258793984.3732924449", "https://shopee.co.id/Esther-Intensive-Serum-i.258793984.3732924449")</f>
        <v>https://shopee.co.id/Esther-Intensive-Serum-i.258793984.3732924449</v>
      </c>
      <c r="C2986" s="8" t="s">
        <v>3398</v>
      </c>
      <c r="D2986" s="8" t="s">
        <v>3399</v>
      </c>
      <c r="E2986" s="8" t="s">
        <v>12</v>
      </c>
      <c r="F2986" s="8" t="s">
        <v>13</v>
      </c>
      <c r="G2986" s="8" t="s">
        <v>350</v>
      </c>
      <c r="H2986" s="16">
        <v>0.0</v>
      </c>
      <c r="I2986" s="15" t="str">
        <f>SUBSTITUTE(Sheet1!K2986, "Rp", "")</f>
        <v>0</v>
      </c>
    </row>
    <row r="2987">
      <c r="A2987" s="8" t="s">
        <v>4289</v>
      </c>
      <c r="B2987" s="13" t="str">
        <f>HYPERLINK("https://shopee.co.id/EverShine-Bright-Sakura-Serum-20ml-i.825870.3319107634", "https://shopee.co.id/EverShine-Bright-Sakura-Serum-20ml-i.825870.3319107634")</f>
        <v>https://shopee.co.id/EverShine-Bright-Sakura-Serum-20ml-i.825870.3319107634</v>
      </c>
      <c r="C2987" s="8" t="s">
        <v>1061</v>
      </c>
      <c r="D2987" s="8" t="s">
        <v>1184</v>
      </c>
      <c r="E2987" s="8" t="s">
        <v>12</v>
      </c>
      <c r="F2987" s="8" t="s">
        <v>13</v>
      </c>
      <c r="G2987" s="8" t="s">
        <v>98</v>
      </c>
      <c r="H2987" s="16">
        <v>0.0</v>
      </c>
      <c r="I2987" s="15" t="str">
        <f>SUBSTITUTE(Sheet1!K2987, "Rp", "")</f>
        <v>0</v>
      </c>
    </row>
    <row r="2988">
      <c r="A2988" s="8" t="s">
        <v>4290</v>
      </c>
      <c r="B2988" s="13" t="str">
        <f>HYPERLINK("https://shopee.co.id/EVERSHINE-Fruit-Mix-Willow-Peeling-Glow-Serum-i.68111.11337535850", "https://shopee.co.id/EVERSHINE-Fruit-Mix-Willow-Peeling-Glow-Serum-i.68111.11337535850")</f>
        <v>https://shopee.co.id/EVERSHINE-Fruit-Mix-Willow-Peeling-Glow-Serum-i.68111.11337535850</v>
      </c>
      <c r="C2988" s="8" t="s">
        <v>1061</v>
      </c>
      <c r="D2988" s="8" t="s">
        <v>441</v>
      </c>
      <c r="E2988" s="8" t="s">
        <v>12</v>
      </c>
      <c r="F2988" s="8" t="s">
        <v>13</v>
      </c>
      <c r="G2988" s="8" t="s">
        <v>130</v>
      </c>
      <c r="H2988" s="16">
        <v>0.0</v>
      </c>
      <c r="I2988" s="15" t="str">
        <f>SUBSTITUTE(Sheet1!K2988, "Rp", "")</f>
        <v>0</v>
      </c>
    </row>
    <row r="2989">
      <c r="A2989" s="8" t="s">
        <v>4291</v>
      </c>
      <c r="B2989" s="13" t="str">
        <f>HYPERLINK("https://shopee.co.id/EVERSHINE-Pure-Bakuchiol-2-Blemish-Age-Define-Serum-i.68111.10137529854", "https://shopee.co.id/EVERSHINE-Pure-Bakuchiol-2-Blemish-Age-Define-Serum-i.68111.10137529854")</f>
        <v>https://shopee.co.id/EVERSHINE-Pure-Bakuchiol-2-Blemish-Age-Define-Serum-i.68111.10137529854</v>
      </c>
      <c r="C2989" s="8" t="s">
        <v>1061</v>
      </c>
      <c r="D2989" s="8" t="s">
        <v>441</v>
      </c>
      <c r="E2989" s="8" t="s">
        <v>12</v>
      </c>
      <c r="F2989" s="8" t="s">
        <v>13</v>
      </c>
      <c r="G2989" s="8" t="s">
        <v>130</v>
      </c>
      <c r="H2989" s="16">
        <v>0.0</v>
      </c>
      <c r="I2989" s="15" t="str">
        <f>SUBSTITUTE(Sheet1!K2989, "Rp", "")</f>
        <v>0</v>
      </c>
    </row>
    <row r="2990">
      <c r="A2990" s="8" t="s">
        <v>4292</v>
      </c>
      <c r="B2990" s="13" t="str">
        <f>HYPERLINK("https://shopee.co.id/EverShine-Silk-Gold-Serum-whitening-booster-i.73969875.1914979443", "https://shopee.co.id/EverShine-Silk-Gold-Serum-whitening-booster-i.73969875.1914979443")</f>
        <v>https://shopee.co.id/EverShine-Silk-Gold-Serum-whitening-booster-i.73969875.1914979443</v>
      </c>
      <c r="C2990" s="8" t="s">
        <v>1061</v>
      </c>
      <c r="D2990" s="8" t="s">
        <v>896</v>
      </c>
      <c r="E2990" s="8" t="s">
        <v>12</v>
      </c>
      <c r="F2990" s="8" t="s">
        <v>13</v>
      </c>
      <c r="G2990" s="8" t="s">
        <v>21</v>
      </c>
      <c r="H2990" s="16">
        <v>0.0</v>
      </c>
      <c r="I2990" s="15" t="str">
        <f>SUBSTITUTE(Sheet1!K2990, "Rp", "")</f>
        <v>0</v>
      </c>
    </row>
    <row r="2991">
      <c r="A2991" s="8" t="s">
        <v>4293</v>
      </c>
      <c r="B2991" s="13" t="str">
        <f>HYPERLINK("https://shopee.co.id/EverShine-Silk-Gold-Serum-X-Lumecolors-Foundation-i.73969875.3022797400", "https://shopee.co.id/EverShine-Silk-Gold-Serum-X-Lumecolors-Foundation-i.73969875.3022797400")</f>
        <v>https://shopee.co.id/EverShine-Silk-Gold-Serum-X-Lumecolors-Foundation-i.73969875.3022797400</v>
      </c>
      <c r="C2991" s="8" t="s">
        <v>1061</v>
      </c>
      <c r="D2991" s="8" t="s">
        <v>896</v>
      </c>
      <c r="E2991" s="8" t="s">
        <v>12</v>
      </c>
      <c r="F2991" s="8" t="s">
        <v>13</v>
      </c>
      <c r="G2991" s="8" t="s">
        <v>21</v>
      </c>
      <c r="H2991" s="16">
        <v>0.0</v>
      </c>
      <c r="I2991" s="15" t="str">
        <f>SUBSTITUTE(Sheet1!K2991, "Rp", "")</f>
        <v>0</v>
      </c>
    </row>
    <row r="2992">
      <c r="A2992" s="8" t="s">
        <v>4294</v>
      </c>
      <c r="B2992" s="13" t="str">
        <f>HYPERLINK("https://shopee.co.id/Everwhite-Brightening-Essence-Serum-i.53887195.6919435933", "https://shopee.co.id/Everwhite-Brightening-Essence-Serum-i.53887195.6919435933")</f>
        <v>https://shopee.co.id/Everwhite-Brightening-Essence-Serum-i.53887195.6919435933</v>
      </c>
      <c r="C2992" s="8" t="s">
        <v>157</v>
      </c>
      <c r="D2992" s="8" t="s">
        <v>1026</v>
      </c>
      <c r="E2992" s="8" t="s">
        <v>12</v>
      </c>
      <c r="F2992" s="8" t="s">
        <v>13</v>
      </c>
      <c r="G2992" s="8" t="s">
        <v>80</v>
      </c>
      <c r="H2992" s="16">
        <v>0.0</v>
      </c>
      <c r="I2992" s="15" t="str">
        <f>SUBSTITUTE(Sheet1!K2992, "Rp", "")</f>
        <v>0</v>
      </c>
    </row>
    <row r="2993">
      <c r="A2993" s="8" t="s">
        <v>4295</v>
      </c>
      <c r="B2993" s="13" t="str">
        <f>HYPERLINK("https://shopee.co.id/Everwhite-Brightening-Essence-Serum-15-Gr-Brightening-Everwhite-i.185943783.3335764127", "https://shopee.co.id/Everwhite-Brightening-Essence-Serum-15-Gr-Brightening-Everwhite-i.185943783.3335764127")</f>
        <v>https://shopee.co.id/Everwhite-Brightening-Essence-Serum-15-Gr-Brightening-Everwhite-i.185943783.3335764127</v>
      </c>
      <c r="C2993" s="8" t="s">
        <v>157</v>
      </c>
      <c r="D2993" s="8" t="s">
        <v>3429</v>
      </c>
      <c r="E2993" s="8" t="s">
        <v>12</v>
      </c>
      <c r="F2993" s="8" t="s">
        <v>13</v>
      </c>
      <c r="G2993" s="8" t="s">
        <v>36</v>
      </c>
      <c r="H2993" s="16">
        <v>0.0</v>
      </c>
      <c r="I2993" s="15" t="str">
        <f>SUBSTITUTE(Sheet1!K2993, "Rp", "")</f>
        <v>0</v>
      </c>
    </row>
    <row r="2994">
      <c r="A2994" s="8" t="s">
        <v>4295</v>
      </c>
      <c r="B2994" s="13" t="str">
        <f>HYPERLINK("https://shopee.co.id/Everwhite-Brightening-Essence-Serum-15-Gr-Brightening-Everwhite-i.175375997.7500249007", "https://shopee.co.id/Everwhite-Brightening-Essence-Serum-15-Gr-Brightening-Everwhite-i.175375997.7500249007")</f>
        <v>https://shopee.co.id/Everwhite-Brightening-Essence-Serum-15-Gr-Brightening-Everwhite-i.175375997.7500249007</v>
      </c>
      <c r="C2994" s="8" t="s">
        <v>157</v>
      </c>
      <c r="D2994" s="8" t="s">
        <v>2123</v>
      </c>
      <c r="E2994" s="8" t="s">
        <v>12</v>
      </c>
      <c r="F2994" s="8" t="s">
        <v>13</v>
      </c>
      <c r="G2994" s="8" t="s">
        <v>36</v>
      </c>
      <c r="H2994" s="16">
        <v>0.0</v>
      </c>
      <c r="I2994" s="15" t="str">
        <f>SUBSTITUTE(Sheet1!K2994, "Rp", "")</f>
        <v>0</v>
      </c>
    </row>
    <row r="2995">
      <c r="A2995" s="8" t="s">
        <v>4296</v>
      </c>
      <c r="B2995" s="13" t="str">
        <f>HYPERLINK("https://shopee.co.id/Everwhite-Brightening-Essence-Serum-15g-i.30736001.8368323904", "https://shopee.co.id/Everwhite-Brightening-Essence-Serum-15g-i.30736001.8368323904")</f>
        <v>https://shopee.co.id/Everwhite-Brightening-Essence-Serum-15g-i.30736001.8368323904</v>
      </c>
      <c r="C2995" s="8" t="s">
        <v>157</v>
      </c>
      <c r="D2995" s="8" t="s">
        <v>335</v>
      </c>
      <c r="E2995" s="8" t="s">
        <v>12</v>
      </c>
      <c r="F2995" s="8" t="s">
        <v>13</v>
      </c>
      <c r="G2995" s="8" t="s">
        <v>36</v>
      </c>
      <c r="H2995" s="16">
        <v>0.0</v>
      </c>
      <c r="I2995" s="15" t="str">
        <f>SUBSTITUTE(Sheet1!K2995, "Rp", "")</f>
        <v>0</v>
      </c>
    </row>
    <row r="2996">
      <c r="A2996" s="8" t="s">
        <v>4297</v>
      </c>
      <c r="B2996" s="13" t="str">
        <f>HYPERLINK("https://shopee.co.id/Everwhite-Brightening-Essence-Serum-15Gr-Memutihkan-Wajah-Mencerahkan-i.114789399.2645935807", "https://shopee.co.id/Everwhite-Brightening-Essence-Serum-15Gr-Memutihkan-Wajah-Mencerahkan-i.114789399.2645935807")</f>
        <v>https://shopee.co.id/Everwhite-Brightening-Essence-Serum-15Gr-Memutihkan-Wajah-Mencerahkan-i.114789399.2645935807</v>
      </c>
      <c r="C2996" s="8" t="s">
        <v>157</v>
      </c>
      <c r="D2996" s="8" t="s">
        <v>2531</v>
      </c>
      <c r="E2996" s="8" t="s">
        <v>12</v>
      </c>
      <c r="F2996" s="8" t="s">
        <v>13</v>
      </c>
      <c r="G2996" s="8" t="s">
        <v>36</v>
      </c>
      <c r="H2996" s="16">
        <v>0.0</v>
      </c>
      <c r="I2996" s="15" t="str">
        <f>SUBSTITUTE(Sheet1!K2996, "Rp", "")</f>
        <v>0</v>
      </c>
    </row>
    <row r="2997">
      <c r="A2997" s="8" t="s">
        <v>4298</v>
      </c>
      <c r="B2997" s="13" t="str">
        <f>HYPERLINK("https://shopee.co.id/EVERWHITE-CICA-SOOTHING-SERUM-Centella-Asiatica-Acne-Care-Acne-Series-i.187117294.9603863576", "https://shopee.co.id/EVERWHITE-CICA-SOOTHING-SERUM-Centella-Asiatica-Acne-Care-Acne-Series-i.187117294.9603863576")</f>
        <v>https://shopee.co.id/EVERWHITE-CICA-SOOTHING-SERUM-Centella-Asiatica-Acne-Care-Acne-Series-i.187117294.9603863576</v>
      </c>
      <c r="C2997" s="8" t="s">
        <v>157</v>
      </c>
      <c r="D2997" s="8" t="s">
        <v>2366</v>
      </c>
      <c r="E2997" s="8" t="s">
        <v>12</v>
      </c>
      <c r="F2997" s="8" t="s">
        <v>13</v>
      </c>
      <c r="G2997" s="8" t="s">
        <v>469</v>
      </c>
      <c r="H2997" s="16">
        <v>0.0</v>
      </c>
      <c r="I2997" s="15" t="str">
        <f>SUBSTITUTE(Sheet1!K2997, "Rp", "")</f>
        <v>0</v>
      </c>
    </row>
    <row r="2998">
      <c r="A2998" s="8" t="s">
        <v>4299</v>
      </c>
      <c r="B2998" s="13" t="str">
        <f>HYPERLINK("https://shopee.co.id/Everwhite-Cica-Soothing-Serum-30ml-i.30736001.10512281061", "https://shopee.co.id/Everwhite-Cica-Soothing-Serum-30ml-i.30736001.10512281061")</f>
        <v>https://shopee.co.id/Everwhite-Cica-Soothing-Serum-30ml-i.30736001.10512281061</v>
      </c>
      <c r="C2998" s="8" t="s">
        <v>157</v>
      </c>
      <c r="D2998" s="8" t="s">
        <v>335</v>
      </c>
      <c r="E2998" s="8" t="s">
        <v>12</v>
      </c>
      <c r="F2998" s="8" t="s">
        <v>13</v>
      </c>
      <c r="G2998" s="8" t="s">
        <v>36</v>
      </c>
      <c r="H2998" s="16">
        <v>0.0</v>
      </c>
      <c r="I2998" s="15" t="str">
        <f>SUBSTITUTE(Sheet1!K2998, "Rp", "")</f>
        <v>0</v>
      </c>
    </row>
    <row r="2999">
      <c r="A2999" s="8" t="s">
        <v>4300</v>
      </c>
      <c r="B2999" s="13" t="str">
        <f>HYPERLINK("https://shopee.co.id/Everwhite-Niacinamide-Brightening-Serum-20ml-i.825870.8736369544", "https://shopee.co.id/Everwhite-Niacinamide-Brightening-Serum-20ml-i.825870.8736369544")</f>
        <v>https://shopee.co.id/Everwhite-Niacinamide-Brightening-Serum-20ml-i.825870.8736369544</v>
      </c>
      <c r="C2999" s="8" t="s">
        <v>157</v>
      </c>
      <c r="D2999" s="8" t="s">
        <v>1184</v>
      </c>
      <c r="E2999" s="8" t="s">
        <v>12</v>
      </c>
      <c r="F2999" s="8" t="s">
        <v>13</v>
      </c>
      <c r="G2999" s="8" t="s">
        <v>21</v>
      </c>
      <c r="H2999" s="16">
        <v>0.0</v>
      </c>
      <c r="I2999" s="15" t="str">
        <f>SUBSTITUTE(Sheet1!K2999, "Rp", "")</f>
        <v>0</v>
      </c>
    </row>
    <row r="3000">
      <c r="A3000" s="8" t="s">
        <v>4301</v>
      </c>
      <c r="B3000" s="13" t="str">
        <f>HYPERLINK("https://shopee.co.id/Everwhite-Niacinamide-Brightening-Serum-20ml-i.136011044.6385790605", "https://shopee.co.id/Everwhite-Niacinamide-Brightening-Serum-20ml-i.136011044.6385790605")</f>
        <v>https://shopee.co.id/Everwhite-Niacinamide-Brightening-Serum-20ml-i.136011044.6385790605</v>
      </c>
      <c r="C3000" s="8" t="s">
        <v>157</v>
      </c>
      <c r="D3000" s="8" t="s">
        <v>632</v>
      </c>
      <c r="E3000" s="8" t="s">
        <v>12</v>
      </c>
      <c r="F3000" s="8" t="s">
        <v>13</v>
      </c>
      <c r="G3000" s="8" t="s">
        <v>21</v>
      </c>
      <c r="H3000" s="16">
        <v>0.0</v>
      </c>
      <c r="I3000" s="15" t="str">
        <f>SUBSTITUTE(Sheet1!K3000, "Rp", "")</f>
        <v>0</v>
      </c>
    </row>
    <row r="3001">
      <c r="A3001" s="8" t="s">
        <v>4302</v>
      </c>
      <c r="B3001" s="13" t="str">
        <f>HYPERLINK("https://shopee.co.id/Everwhite-Peptide-Anti-Aging-Serum-15ml-i.136011044.4085793305", "https://shopee.co.id/Everwhite-Peptide-Anti-Aging-Serum-15ml-i.136011044.4085793305")</f>
        <v>https://shopee.co.id/Everwhite-Peptide-Anti-Aging-Serum-15ml-i.136011044.4085793305</v>
      </c>
      <c r="C3001" s="8" t="s">
        <v>157</v>
      </c>
      <c r="D3001" s="8" t="s">
        <v>632</v>
      </c>
      <c r="E3001" s="8" t="s">
        <v>12</v>
      </c>
      <c r="F3001" s="8" t="s">
        <v>13</v>
      </c>
      <c r="G3001" s="8" t="s">
        <v>21</v>
      </c>
      <c r="H3001" s="16">
        <v>0.0</v>
      </c>
      <c r="I3001" s="15" t="str">
        <f>SUBSTITUTE(Sheet1!K3001, "Rp", "")</f>
        <v>0</v>
      </c>
    </row>
    <row r="3002">
      <c r="A3002" s="8" t="s">
        <v>4303</v>
      </c>
      <c r="B3002" s="13" t="str">
        <f>HYPERLINK("https://shopee.co.id/Exclusive-Box-1-Shiseido-Ultimune-Power-Infusing-Concentrate-30ml-i.345419471.9962597263", "https://shopee.co.id/Exclusive-Box-1-Shiseido-Ultimune-Power-Infusing-Concentrate-30ml-i.345419471.9962597263")</f>
        <v>https://shopee.co.id/Exclusive-Box-1-Shiseido-Ultimune-Power-Infusing-Concentrate-30ml-i.345419471.9962597263</v>
      </c>
      <c r="C3002" s="8" t="s">
        <v>868</v>
      </c>
      <c r="D3002" s="8" t="s">
        <v>869</v>
      </c>
      <c r="E3002" s="8" t="s">
        <v>12</v>
      </c>
      <c r="F3002" s="8" t="s">
        <v>13</v>
      </c>
      <c r="G3002" s="8" t="s">
        <v>130</v>
      </c>
      <c r="H3002" s="16">
        <v>0.0</v>
      </c>
      <c r="I3002" s="15" t="str">
        <f>SUBSTITUTE(Sheet1!K3002, "Rp", "")</f>
        <v>0</v>
      </c>
    </row>
    <row r="3003">
      <c r="A3003" s="8" t="s">
        <v>4304</v>
      </c>
      <c r="B3003" s="13" t="str">
        <f>HYPERLINK("https://shopee.co.id/Exclusive-Bundle-Votre-Peau-Brightening-Essence-50ml-Quesella-Jeju-Aloe-Vera-100ml-i.46300234.5494597327", "https://shopee.co.id/Exclusive-Bundle-Votre-Peau-Brightening-Essence-50ml-Quesella-Jeju-Aloe-Vera-100ml-i.46300234.5494597327")</f>
        <v>https://shopee.co.id/Exclusive-Bundle-Votre-Peau-Brightening-Essence-50ml-Quesella-Jeju-Aloe-Vera-100ml-i.46300234.5494597327</v>
      </c>
      <c r="C3003" s="8" t="s">
        <v>471</v>
      </c>
      <c r="D3003" s="8" t="s">
        <v>472</v>
      </c>
      <c r="E3003" s="8" t="s">
        <v>12</v>
      </c>
      <c r="F3003" s="8" t="s">
        <v>13</v>
      </c>
      <c r="G3003" s="8" t="s">
        <v>98</v>
      </c>
      <c r="H3003" s="16">
        <v>0.0</v>
      </c>
      <c r="I3003" s="15" t="str">
        <f>SUBSTITUTE(Sheet1!K3003, "Rp", "")</f>
        <v>0</v>
      </c>
    </row>
    <row r="3004">
      <c r="A3004" s="8" t="s">
        <v>4305</v>
      </c>
      <c r="B3004" s="13" t="str">
        <f>HYPERLINK("https://shopee.co.id/Exclusive-Bundle-Votre-Peau-Saharan-Face-Emulsion-15ml-Quesella-Facial-Cleanser-100ml-i.46300234.4494576729", "https://shopee.co.id/Exclusive-Bundle-Votre-Peau-Saharan-Face-Emulsion-15ml-Quesella-Facial-Cleanser-100ml-i.46300234.4494576729")</f>
        <v>https://shopee.co.id/Exclusive-Bundle-Votre-Peau-Saharan-Face-Emulsion-15ml-Quesella-Facial-Cleanser-100ml-i.46300234.4494576729</v>
      </c>
      <c r="C3004" s="8" t="s">
        <v>471</v>
      </c>
      <c r="D3004" s="8" t="s">
        <v>472</v>
      </c>
      <c r="E3004" s="8" t="s">
        <v>12</v>
      </c>
      <c r="F3004" s="8" t="s">
        <v>13</v>
      </c>
      <c r="G3004" s="8" t="s">
        <v>98</v>
      </c>
      <c r="H3004" s="16">
        <v>0.0</v>
      </c>
      <c r="I3004" s="15" t="str">
        <f>SUBSTITUTE(Sheet1!K3004, "Rp", "")</f>
        <v>0</v>
      </c>
    </row>
    <row r="3005">
      <c r="A3005" s="8" t="s">
        <v>4306</v>
      </c>
      <c r="B3005" s="13" t="str">
        <f>HYPERLINK("https://shopee.co.id/Fabil-Chromanyl-Translucent-Brightening-Serum-100g-i.3990192.8961212284", "https://shopee.co.id/Fabil-Chromanyl-Translucent-Brightening-Serum-100g-i.3990192.8961212284")</f>
        <v>https://shopee.co.id/Fabil-Chromanyl-Translucent-Brightening-Serum-100g-i.3990192.8961212284</v>
      </c>
      <c r="C3005" s="8" t="s">
        <v>2579</v>
      </c>
      <c r="D3005" s="8" t="s">
        <v>2580</v>
      </c>
      <c r="E3005" s="8" t="s">
        <v>12</v>
      </c>
      <c r="F3005" s="8" t="s">
        <v>13</v>
      </c>
      <c r="G3005" s="8" t="s">
        <v>1085</v>
      </c>
      <c r="H3005" s="16">
        <v>0.0</v>
      </c>
      <c r="I3005" s="15" t="str">
        <f>SUBSTITUTE(Sheet1!K3005, "Rp", "")</f>
        <v>0</v>
      </c>
    </row>
    <row r="3006">
      <c r="A3006" s="8" t="s">
        <v>4307</v>
      </c>
      <c r="B3006" s="13" t="str">
        <f>HYPERLINK("https://shopee.co.id/FABIL-Intensive-Acne-Care-Serum-BIG-SALE-RAMADHAN-i.3990192.8044533914", "https://shopee.co.id/FABIL-Intensive-Acne-Care-Serum-BIG-SALE-RAMADHAN-i.3990192.8044533914")</f>
        <v>https://shopee.co.id/FABIL-Intensive-Acne-Care-Serum-BIG-SALE-RAMADHAN-i.3990192.8044533914</v>
      </c>
      <c r="C3006" s="8" t="s">
        <v>2579</v>
      </c>
      <c r="D3006" s="8" t="s">
        <v>2580</v>
      </c>
      <c r="E3006" s="8" t="s">
        <v>12</v>
      </c>
      <c r="F3006" s="8" t="s">
        <v>13</v>
      </c>
      <c r="G3006" s="8" t="s">
        <v>1085</v>
      </c>
      <c r="H3006" s="16">
        <v>0.0</v>
      </c>
      <c r="I3006" s="15" t="str">
        <f>SUBSTITUTE(Sheet1!K3006, "Rp", "")</f>
        <v>0</v>
      </c>
    </row>
    <row r="3007">
      <c r="A3007" s="8" t="s">
        <v>4308</v>
      </c>
      <c r="B3007" s="13" t="str">
        <f>HYPERLINK("https://shopee.co.id/FARMONA-HYDRAQUEST-Serum-Wajah-Untuk-Kulit-kering-Active-Moistirising-Concentrate-i.255300129.7154942552", "https://shopee.co.id/FARMONA-HYDRAQUEST-Serum-Wajah-Untuk-Kulit-kering-Active-Moistirising-Concentrate-i.255300129.7154942552")</f>
        <v>https://shopee.co.id/FARMONA-HYDRAQUEST-Serum-Wajah-Untuk-Kulit-kering-Active-Moistirising-Concentrate-i.255300129.7154942552</v>
      </c>
      <c r="C3007" s="8" t="s">
        <v>4309</v>
      </c>
      <c r="D3007" s="8" t="s">
        <v>4310</v>
      </c>
      <c r="E3007" s="8" t="s">
        <v>12</v>
      </c>
      <c r="F3007" s="8" t="s">
        <v>13</v>
      </c>
      <c r="G3007" s="8" t="s">
        <v>61</v>
      </c>
      <c r="H3007" s="16">
        <v>0.0</v>
      </c>
      <c r="I3007" s="15" t="str">
        <f>SUBSTITUTE(Sheet1!K3007, "Rp", "")</f>
        <v>0</v>
      </c>
    </row>
    <row r="3008">
      <c r="A3008" s="8" t="s">
        <v>4311</v>
      </c>
      <c r="B3008" s="13" t="str">
        <f>HYPERLINK("https://shopee.co.id/Farmona-Microneedle-Skin-Exfoliation-With-Acid-Farmona-Serum-Ampul-Bb-Glow-Dermapen-i.255300129.6631955637", "https://shopee.co.id/Farmona-Microneedle-Skin-Exfoliation-With-Acid-Farmona-Serum-Ampul-Bb-Glow-Dermapen-i.255300129.6631955637")</f>
        <v>https://shopee.co.id/Farmona-Microneedle-Skin-Exfoliation-With-Acid-Farmona-Serum-Ampul-Bb-Glow-Dermapen-i.255300129.6631955637</v>
      </c>
      <c r="C3008" s="8" t="s">
        <v>4309</v>
      </c>
      <c r="D3008" s="8" t="s">
        <v>4310</v>
      </c>
      <c r="E3008" s="8" t="s">
        <v>12</v>
      </c>
      <c r="F3008" s="8" t="s">
        <v>13</v>
      </c>
      <c r="G3008" s="8" t="s">
        <v>61</v>
      </c>
      <c r="H3008" s="16">
        <v>0.0</v>
      </c>
      <c r="I3008" s="15" t="str">
        <f>SUBSTITUTE(Sheet1!K3008, "Rp", "")</f>
        <v>0</v>
      </c>
    </row>
    <row r="3009">
      <c r="A3009" s="8" t="s">
        <v>4312</v>
      </c>
      <c r="B3009" s="13" t="str">
        <f>HYPERLINK("https://shopee.co.id/Farmona-Revolu-C-White-Glowing-Serum-Glowing-Mask-Vit-C-Mask-Serum-Pemutih-Masker--i.255300129.6037513719", "https://shopee.co.id/Farmona-Revolu-C-White-Glowing-Serum-Glowing-Mask-Vit-C-Mask-Serum-Pemutih-Masker--i.255300129.6037513719")</f>
        <v>https://shopee.co.id/Farmona-Revolu-C-White-Glowing-Serum-Glowing-Mask-Vit-C-Mask-Serum-Pemutih-Masker--i.255300129.6037513719</v>
      </c>
      <c r="C3009" s="8" t="s">
        <v>4309</v>
      </c>
      <c r="D3009" s="8" t="s">
        <v>4310</v>
      </c>
      <c r="E3009" s="8" t="s">
        <v>12</v>
      </c>
      <c r="F3009" s="8" t="s">
        <v>13</v>
      </c>
      <c r="G3009" s="8" t="s">
        <v>61</v>
      </c>
      <c r="H3009" s="16">
        <v>0.0</v>
      </c>
      <c r="I3009" s="15" t="str">
        <f>SUBSTITUTE(Sheet1!K3009, "Rp", "")</f>
        <v>0</v>
      </c>
    </row>
    <row r="3010">
      <c r="A3010" s="8" t="s">
        <v>4313</v>
      </c>
      <c r="B3010" s="13" t="str">
        <f>HYPERLINK("https://shopee.co.id/Farmona-Serum-Jerawat-Dermaacne-Active-Normalizing-Concentrate-i.255300129.6531955624", "https://shopee.co.id/Farmona-Serum-Jerawat-Dermaacne-Active-Normalizing-Concentrate-i.255300129.6531955624")</f>
        <v>https://shopee.co.id/Farmona-Serum-Jerawat-Dermaacne-Active-Normalizing-Concentrate-i.255300129.6531955624</v>
      </c>
      <c r="C3010" s="8" t="s">
        <v>4309</v>
      </c>
      <c r="D3010" s="8" t="s">
        <v>4310</v>
      </c>
      <c r="E3010" s="8" t="s">
        <v>12</v>
      </c>
      <c r="F3010" s="8" t="s">
        <v>13</v>
      </c>
      <c r="G3010" s="8" t="s">
        <v>61</v>
      </c>
      <c r="H3010" s="16">
        <v>0.0</v>
      </c>
      <c r="I3010" s="15" t="str">
        <f>SUBSTITUTE(Sheet1!K3010, "Rp", "")</f>
        <v>0</v>
      </c>
    </row>
    <row r="3011">
      <c r="A3011" s="8" t="s">
        <v>4314</v>
      </c>
      <c r="B3011" s="13" t="str">
        <f>HYPERLINK("https://shopee.co.id/FIRST-LAB-FIRST-LAB-Probiotic-REVERSE-Skin-Essence-150ml-i.68111.2258718661", "https://shopee.co.id/FIRST-LAB-FIRST-LAB-Probiotic-REVERSE-Skin-Essence-150ml-i.68111.2258718661")</f>
        <v>https://shopee.co.id/FIRST-LAB-FIRST-LAB-Probiotic-REVERSE-Skin-Essence-150ml-i.68111.2258718661</v>
      </c>
      <c r="C3011" s="8" t="s">
        <v>1617</v>
      </c>
      <c r="D3011" s="8" t="s">
        <v>441</v>
      </c>
      <c r="E3011" s="8" t="s">
        <v>12</v>
      </c>
      <c r="F3011" s="8" t="s">
        <v>13</v>
      </c>
      <c r="G3011" s="8" t="s">
        <v>130</v>
      </c>
      <c r="H3011" s="16">
        <v>0.0</v>
      </c>
      <c r="I3011" s="15" t="str">
        <f>SUBSTITUTE(Sheet1!K3011, "Rp", "")</f>
        <v>0</v>
      </c>
    </row>
    <row r="3012">
      <c r="A3012" s="8" t="s">
        <v>4315</v>
      </c>
      <c r="B3012" s="13" t="str">
        <f>HYPERLINK("https://shopee.co.id/FIRST-LAB-PROBIOTIC-SKIN-ESSENCE-SIGNATURE-150ml-i.187117294.8602666268", "https://shopee.co.id/FIRST-LAB-PROBIOTIC-SKIN-ESSENCE-SIGNATURE-150ml-i.187117294.8602666268")</f>
        <v>https://shopee.co.id/FIRST-LAB-PROBIOTIC-SKIN-ESSENCE-SIGNATURE-150ml-i.187117294.8602666268</v>
      </c>
      <c r="C3012" s="8" t="s">
        <v>1617</v>
      </c>
      <c r="D3012" s="8" t="s">
        <v>2366</v>
      </c>
      <c r="E3012" s="8" t="s">
        <v>12</v>
      </c>
      <c r="F3012" s="8" t="s">
        <v>13</v>
      </c>
      <c r="G3012" s="8" t="s">
        <v>469</v>
      </c>
      <c r="H3012" s="16">
        <v>0.0</v>
      </c>
      <c r="I3012" s="15" t="str">
        <f>SUBSTITUTE(Sheet1!K3012, "Rp", "")</f>
        <v>0</v>
      </c>
    </row>
    <row r="3013">
      <c r="A3013" s="8" t="s">
        <v>4316</v>
      </c>
      <c r="B3013" s="13" t="str">
        <f>HYPERLINK("https://shopee.co.id/For-Skin-s-Sake-FSS-Retinol-Serum-30ml-i.136011044.3025502990", "https://shopee.co.id/For-Skin-s-Sake-FSS-Retinol-Serum-30ml-i.136011044.3025502990")</f>
        <v>https://shopee.co.id/For-Skin-s-Sake-FSS-Retinol-Serum-30ml-i.136011044.3025502990</v>
      </c>
      <c r="C3013" s="8" t="s">
        <v>1772</v>
      </c>
      <c r="D3013" s="8" t="s">
        <v>632</v>
      </c>
      <c r="E3013" s="8" t="s">
        <v>12</v>
      </c>
      <c r="F3013" s="8" t="s">
        <v>13</v>
      </c>
      <c r="G3013" s="8" t="s">
        <v>21</v>
      </c>
      <c r="H3013" s="16">
        <v>0.0</v>
      </c>
      <c r="I3013" s="15" t="str">
        <f>SUBSTITUTE(Sheet1!K3013, "Rp", "")</f>
        <v>0</v>
      </c>
    </row>
    <row r="3014">
      <c r="A3014" s="8" t="s">
        <v>4317</v>
      </c>
      <c r="B3014" s="13" t="str">
        <f>HYPERLINK("https://shopee.co.id/For-Skin-s-Sake-FSS-Vitamin-C-Serum-30ml-i.136011044.6083959309", "https://shopee.co.id/For-Skin-s-Sake-FSS-Vitamin-C-Serum-30ml-i.136011044.6083959309")</f>
        <v>https://shopee.co.id/For-Skin-s-Sake-FSS-Vitamin-C-Serum-30ml-i.136011044.6083959309</v>
      </c>
      <c r="C3014" s="8" t="s">
        <v>1772</v>
      </c>
      <c r="D3014" s="8" t="s">
        <v>632</v>
      </c>
      <c r="E3014" s="8" t="s">
        <v>12</v>
      </c>
      <c r="F3014" s="8" t="s">
        <v>13</v>
      </c>
      <c r="G3014" s="8" t="s">
        <v>21</v>
      </c>
      <c r="H3014" s="16">
        <v>0.0</v>
      </c>
      <c r="I3014" s="15" t="str">
        <f>SUBSTITUTE(Sheet1!K3014, "Rp", "")</f>
        <v>0</v>
      </c>
    </row>
    <row r="3015">
      <c r="A3015" s="8" t="s">
        <v>4318</v>
      </c>
      <c r="B3015" s="13" t="str">
        <f>HYPERLINK("https://shopee.co.id/FOR-SKINS-SAKE-Hyaluronic-Acid-Serum-30ml-i.68111.7315660309", "https://shopee.co.id/FOR-SKINS-SAKE-Hyaluronic-Acid-Serum-30ml-i.68111.7315660309")</f>
        <v>https://shopee.co.id/FOR-SKINS-SAKE-Hyaluronic-Acid-Serum-30ml-i.68111.7315660309</v>
      </c>
      <c r="C3015" s="8" t="s">
        <v>3529</v>
      </c>
      <c r="D3015" s="8" t="s">
        <v>441</v>
      </c>
      <c r="E3015" s="8" t="s">
        <v>12</v>
      </c>
      <c r="F3015" s="8" t="s">
        <v>13</v>
      </c>
      <c r="G3015" s="8" t="s">
        <v>130</v>
      </c>
      <c r="H3015" s="16">
        <v>0.0</v>
      </c>
      <c r="I3015" s="15" t="str">
        <f>SUBSTITUTE(Sheet1!K3015, "Rp", "")</f>
        <v>0</v>
      </c>
    </row>
    <row r="3016">
      <c r="A3016" s="8" t="s">
        <v>4319</v>
      </c>
      <c r="B3016" s="13" t="str">
        <f>HYPERLINK("https://shopee.co.id/FOR-SKINS-SAKE-Vitamin-C-Serum-30ml-i.68111.6516787793", "https://shopee.co.id/FOR-SKINS-SAKE-Vitamin-C-Serum-30ml-i.68111.6516787793")</f>
        <v>https://shopee.co.id/FOR-SKINS-SAKE-Vitamin-C-Serum-30ml-i.68111.6516787793</v>
      </c>
      <c r="C3016" s="8" t="s">
        <v>3529</v>
      </c>
      <c r="D3016" s="8" t="s">
        <v>441</v>
      </c>
      <c r="E3016" s="8" t="s">
        <v>12</v>
      </c>
      <c r="F3016" s="8" t="s">
        <v>13</v>
      </c>
      <c r="G3016" s="8" t="s">
        <v>130</v>
      </c>
      <c r="H3016" s="16">
        <v>0.0</v>
      </c>
      <c r="I3016" s="15" t="str">
        <f>SUBSTITUTE(Sheet1!K3016, "Rp", "")</f>
        <v>0</v>
      </c>
    </row>
    <row r="3017">
      <c r="A3017" s="8" t="s">
        <v>4320</v>
      </c>
      <c r="B3017" s="13" t="str">
        <f>HYPERLINK("https://shopee.co.id/FSS-For-Skin-s-Sake-Hyaluronic-Acid-Hydrate--i.187117294.6845118585", "https://shopee.co.id/FSS-For-Skin-s-Sake-Hyaluronic-Acid-Hydrate--i.187117294.6845118585")</f>
        <v>https://shopee.co.id/FSS-For-Skin-s-Sake-Hyaluronic-Acid-Hydrate--i.187117294.6845118585</v>
      </c>
      <c r="C3017" s="8" t="s">
        <v>4321</v>
      </c>
      <c r="D3017" s="8" t="s">
        <v>2366</v>
      </c>
      <c r="E3017" s="8" t="s">
        <v>12</v>
      </c>
      <c r="F3017" s="8" t="s">
        <v>13</v>
      </c>
      <c r="G3017" s="8" t="s">
        <v>469</v>
      </c>
      <c r="H3017" s="16">
        <v>0.0</v>
      </c>
      <c r="I3017" s="15" t="str">
        <f>SUBSTITUTE(Sheet1!K3017, "Rp", "")</f>
        <v>0</v>
      </c>
    </row>
    <row r="3018">
      <c r="A3018" s="8" t="s">
        <v>4322</v>
      </c>
      <c r="B3018" s="13" t="str">
        <f>HYPERLINK("https://shopee.co.id/FSS-For-Skin-s-Sake-Retinol-Serum-Concentrate-i.187117294.7245119862", "https://shopee.co.id/FSS-For-Skin-s-Sake-Retinol-Serum-Concentrate-i.187117294.7245119862")</f>
        <v>https://shopee.co.id/FSS-For-Skin-s-Sake-Retinol-Serum-Concentrate-i.187117294.7245119862</v>
      </c>
      <c r="C3018" s="8" t="s">
        <v>2700</v>
      </c>
      <c r="D3018" s="8" t="s">
        <v>2366</v>
      </c>
      <c r="E3018" s="8" t="s">
        <v>12</v>
      </c>
      <c r="F3018" s="8" t="s">
        <v>13</v>
      </c>
      <c r="G3018" s="8" t="s">
        <v>469</v>
      </c>
      <c r="H3018" s="16">
        <v>0.0</v>
      </c>
      <c r="I3018" s="15" t="str">
        <f>SUBSTITUTE(Sheet1!K3018, "Rp", "")</f>
        <v>0</v>
      </c>
    </row>
    <row r="3019">
      <c r="A3019" s="8" t="s">
        <v>4323</v>
      </c>
      <c r="B3019" s="13" t="str">
        <f>HYPERLINK("https://shopee.co.id/FSS-For-Skins-s-Sake-Vit-C-Serum-Concentrate-i.187117294.7245116323", "https://shopee.co.id/FSS-For-Skins-s-Sake-Vit-C-Serum-Concentrate-i.187117294.7245116323")</f>
        <v>https://shopee.co.id/FSS-For-Skins-s-Sake-Vit-C-Serum-Concentrate-i.187117294.7245116323</v>
      </c>
      <c r="C3019" s="8" t="s">
        <v>2700</v>
      </c>
      <c r="D3019" s="8" t="s">
        <v>2366</v>
      </c>
      <c r="E3019" s="8" t="s">
        <v>12</v>
      </c>
      <c r="F3019" s="8" t="s">
        <v>13</v>
      </c>
      <c r="G3019" s="8" t="s">
        <v>469</v>
      </c>
      <c r="H3019" s="16">
        <v>0.0</v>
      </c>
      <c r="I3019" s="15" t="str">
        <f>SUBSTITUTE(Sheet1!K3019, "Rp", "")</f>
        <v>0</v>
      </c>
    </row>
    <row r="3020">
      <c r="A3020" s="8" t="s">
        <v>4324</v>
      </c>
      <c r="B3020" s="13" t="str">
        <f>HYPERLINK("https://shopee.co.id/FSS-Refresh-Vitamin-C-20-Serum-Concentrate-30ml-i.825870.1704059538", "https://shopee.co.id/FSS-Refresh-Vitamin-C-20-Serum-Concentrate-30ml-i.825870.1704059538")</f>
        <v>https://shopee.co.id/FSS-Refresh-Vitamin-C-20-Serum-Concentrate-30ml-i.825870.1704059538</v>
      </c>
      <c r="C3020" s="8" t="s">
        <v>4325</v>
      </c>
      <c r="D3020" s="8" t="s">
        <v>1184</v>
      </c>
      <c r="E3020" s="8" t="s">
        <v>12</v>
      </c>
      <c r="F3020" s="8" t="s">
        <v>13</v>
      </c>
      <c r="G3020" s="8" t="s">
        <v>21</v>
      </c>
      <c r="H3020" s="16">
        <v>0.0</v>
      </c>
      <c r="I3020" s="15" t="str">
        <f>SUBSTITUTE(Sheet1!K3020, "Rp", "")</f>
        <v>0</v>
      </c>
    </row>
    <row r="3021">
      <c r="A3021" s="8" t="s">
        <v>4326</v>
      </c>
      <c r="B3021" s="13" t="str">
        <f>HYPERLINK("https://shopee.co.id/Furatasse-Keratin-Serum-i.226441010.5716778258", "https://shopee.co.id/Furatasse-Keratin-Serum-i.226441010.5716778258")</f>
        <v>https://shopee.co.id/Furatasse-Keratin-Serum-i.226441010.5716778258</v>
      </c>
      <c r="C3021" s="8" t="s">
        <v>4327</v>
      </c>
      <c r="D3021" s="8" t="s">
        <v>4328</v>
      </c>
      <c r="E3021" s="8" t="s">
        <v>12</v>
      </c>
      <c r="F3021" s="8" t="s">
        <v>13</v>
      </c>
      <c r="G3021" s="8" t="s">
        <v>2690</v>
      </c>
      <c r="H3021" s="16">
        <v>0.0</v>
      </c>
      <c r="I3021" s="15" t="str">
        <f>SUBSTITUTE(Sheet1!K3021, "Rp", "")</f>
        <v>0</v>
      </c>
    </row>
    <row r="3022">
      <c r="A3022" s="8" t="s">
        <v>4329</v>
      </c>
      <c r="B3022" s="13" t="str">
        <f>HYPERLINK("https://shopee.co.id/G9Skin-Bulgarian-Rose-Hydrogel-Essence-i.137563500.2068604676", "https://shopee.co.id/G9Skin-Bulgarian-Rose-Hydrogel-Essence-i.137563500.2068604676")</f>
        <v>https://shopee.co.id/G9Skin-Bulgarian-Rose-Hydrogel-Essence-i.137563500.2068604676</v>
      </c>
      <c r="C3022" s="8" t="s">
        <v>3584</v>
      </c>
      <c r="D3022" s="8" t="s">
        <v>3585</v>
      </c>
      <c r="E3022" s="8" t="s">
        <v>12</v>
      </c>
      <c r="F3022" s="8" t="s">
        <v>13</v>
      </c>
      <c r="G3022" s="8" t="s">
        <v>532</v>
      </c>
      <c r="H3022" s="16">
        <v>0.0</v>
      </c>
      <c r="I3022" s="15" t="str">
        <f>SUBSTITUTE(Sheet1!K3022, "Rp", "")</f>
        <v>0</v>
      </c>
    </row>
    <row r="3023">
      <c r="A3023" s="8" t="s">
        <v>4330</v>
      </c>
      <c r="B3023" s="13" t="str">
        <f>HYPERLINK("https://shopee.co.id/G9Skin-Serum-in-Spray-Mask-i.137563500.2075769992", "https://shopee.co.id/G9Skin-Serum-in-Spray-Mask-i.137563500.2075769992")</f>
        <v>https://shopee.co.id/G9Skin-Serum-in-Spray-Mask-i.137563500.2075769992</v>
      </c>
      <c r="C3023" s="8" t="s">
        <v>3584</v>
      </c>
      <c r="D3023" s="8" t="s">
        <v>3585</v>
      </c>
      <c r="E3023" s="8" t="s">
        <v>12</v>
      </c>
      <c r="F3023" s="8" t="s">
        <v>13</v>
      </c>
      <c r="G3023" s="8" t="s">
        <v>532</v>
      </c>
      <c r="H3023" s="16">
        <v>0.0</v>
      </c>
      <c r="I3023" s="15" t="str">
        <f>SUBSTITUTE(Sheet1!K3023, "Rp", "")</f>
        <v>0</v>
      </c>
    </row>
    <row r="3024">
      <c r="A3024" s="8" t="s">
        <v>4331</v>
      </c>
      <c r="B3024" s="13" t="str">
        <f>HYPERLINK("https://shopee.co.id/G9Skin-White-in-Milk-Capsule-Serum-i.137563500.2074321318", "https://shopee.co.id/G9Skin-White-in-Milk-Capsule-Serum-i.137563500.2074321318")</f>
        <v>https://shopee.co.id/G9Skin-White-in-Milk-Capsule-Serum-i.137563500.2074321318</v>
      </c>
      <c r="C3024" s="8" t="s">
        <v>3584</v>
      </c>
      <c r="D3024" s="8" t="s">
        <v>3585</v>
      </c>
      <c r="E3024" s="8" t="s">
        <v>12</v>
      </c>
      <c r="F3024" s="8" t="s">
        <v>13</v>
      </c>
      <c r="G3024" s="8" t="s">
        <v>532</v>
      </c>
      <c r="H3024" s="16">
        <v>0.0</v>
      </c>
      <c r="I3024" s="15" t="str">
        <f>SUBSTITUTE(Sheet1!K3024, "Rp", "")</f>
        <v>0</v>
      </c>
    </row>
    <row r="3025">
      <c r="A3025" s="8" t="s">
        <v>4332</v>
      </c>
      <c r="B3025" s="13" t="str">
        <f>HYPERLINK("https://shopee.co.id/G9Skin-White-In-Milk-Capsule-Serum-50ml-i.10689.4410235910", "https://shopee.co.id/G9Skin-White-In-Milk-Capsule-Serum-50ml-i.10689.4410235910")</f>
        <v>https://shopee.co.id/G9Skin-White-In-Milk-Capsule-Serum-50ml-i.10689.4410235910</v>
      </c>
      <c r="C3025" s="8" t="s">
        <v>3584</v>
      </c>
      <c r="D3025" s="8" t="s">
        <v>745</v>
      </c>
      <c r="E3025" s="8" t="s">
        <v>12</v>
      </c>
      <c r="F3025" s="8" t="s">
        <v>13</v>
      </c>
      <c r="G3025" s="8" t="s">
        <v>61</v>
      </c>
      <c r="H3025" s="16">
        <v>0.0</v>
      </c>
      <c r="I3025" s="15" t="str">
        <f>SUBSTITUTE(Sheet1!K3025, "Rp", "")</f>
        <v>0</v>
      </c>
    </row>
    <row r="3026">
      <c r="A3026" s="8" t="s">
        <v>4333</v>
      </c>
      <c r="B3026" s="13" t="str">
        <f>HYPERLINK("https://shopee.co.id/Garnier-Bright-Complete-White-Speed-Day-Serum-Cream-Uva-Uvb-Skin-Care-40-ml-i.65323877.10919057707", "https://shopee.co.id/Garnier-Bright-Complete-White-Speed-Day-Serum-Cream-Uva-Uvb-Skin-Care-40-ml-i.65323877.10919057707")</f>
        <v>https://shopee.co.id/Garnier-Bright-Complete-White-Speed-Day-Serum-Cream-Uva-Uvb-Skin-Care-40-ml-i.65323877.10919057707</v>
      </c>
      <c r="C3026" s="8" t="s">
        <v>74</v>
      </c>
      <c r="D3026" s="8" t="s">
        <v>1600</v>
      </c>
      <c r="E3026" s="8" t="s">
        <v>12</v>
      </c>
      <c r="F3026" s="8" t="s">
        <v>13</v>
      </c>
      <c r="G3026" s="8" t="s">
        <v>296</v>
      </c>
      <c r="H3026" s="16">
        <v>0.0</v>
      </c>
      <c r="I3026" s="15" t="str">
        <f>SUBSTITUTE(Sheet1!K3026, "Rp", "")</f>
        <v>0</v>
      </c>
    </row>
    <row r="3027">
      <c r="A3027" s="8" t="s">
        <v>4334</v>
      </c>
      <c r="B3027" s="13" t="str">
        <f>HYPERLINK("https://shopee.co.id/Garnier-Light-Complete-Sunscreen-Booster-Serum--i.186214521.9147110819", "https://shopee.co.id/Garnier-Light-Complete-Sunscreen-Booster-Serum--i.186214521.9147110819")</f>
        <v>https://shopee.co.id/Garnier-Light-Complete-Sunscreen-Booster-Serum--i.186214521.9147110819</v>
      </c>
      <c r="C3027" s="8" t="s">
        <v>74</v>
      </c>
      <c r="D3027" s="8" t="s">
        <v>2293</v>
      </c>
      <c r="E3027" s="8" t="s">
        <v>12</v>
      </c>
      <c r="F3027" s="8" t="s">
        <v>13</v>
      </c>
      <c r="G3027" s="8" t="s">
        <v>61</v>
      </c>
      <c r="H3027" s="16">
        <v>0.0</v>
      </c>
      <c r="I3027" s="15" t="str">
        <f>SUBSTITUTE(Sheet1!K3027, "Rp", "")</f>
        <v>0</v>
      </c>
    </row>
    <row r="3028">
      <c r="A3028" s="8" t="s">
        <v>4335</v>
      </c>
      <c r="B3028" s="13" t="str">
        <f>HYPERLINK("https://shopee.co.id/Garnier-Light-Complete-Booster-Serum-15-ml-Bright-Up-Mask-5-pcs-Untuk-Kulit-Cerah-Seketika--i.62583853.5179230740", "https://shopee.co.id/Garnier-Light-Complete-Booster-Serum-15-ml-Bright-Up-Mask-5-pcs-Untuk-Kulit-Cerah-Seketika--i.62583853.5179230740")</f>
        <v>https://shopee.co.id/Garnier-Light-Complete-Booster-Serum-15-ml-Bright-Up-Mask-5-pcs-Untuk-Kulit-Cerah-Seketika--i.62583853.5179230740</v>
      </c>
      <c r="C3028" s="8" t="s">
        <v>74</v>
      </c>
      <c r="D3028" s="8" t="s">
        <v>75</v>
      </c>
      <c r="E3028" s="8" t="s">
        <v>12</v>
      </c>
      <c r="F3028" s="8" t="s">
        <v>13</v>
      </c>
      <c r="G3028" s="8" t="s">
        <v>61</v>
      </c>
      <c r="H3028" s="16">
        <v>0.0</v>
      </c>
      <c r="I3028" s="15" t="str">
        <f>SUBSTITUTE(Sheet1!K3028, "Rp", "")</f>
        <v>0</v>
      </c>
    </row>
    <row r="3029">
      <c r="A3029" s="8" t="s">
        <v>4336</v>
      </c>
      <c r="B3029" s="13" t="str">
        <f>HYPERLINK("https://shopee.co.id/Garnier-Light-Complete-Speed-Serum-Cream-321231--i.16735262.10205257054", "https://shopee.co.id/Garnier-Light-Complete-Speed-Serum-Cream-321231--i.16735262.10205257054")</f>
        <v>https://shopee.co.id/Garnier-Light-Complete-Speed-Serum-Cream-321231--i.16735262.10205257054</v>
      </c>
      <c r="C3029" s="8" t="s">
        <v>74</v>
      </c>
      <c r="D3029" s="8" t="s">
        <v>3598</v>
      </c>
      <c r="E3029" s="8" t="s">
        <v>12</v>
      </c>
      <c r="F3029" s="8" t="s">
        <v>13</v>
      </c>
      <c r="G3029" s="8" t="s">
        <v>36</v>
      </c>
      <c r="H3029" s="16">
        <v>0.0</v>
      </c>
      <c r="I3029" s="15" t="str">
        <f>SUBSTITUTE(Sheet1!K3029, "Rp", "")</f>
        <v>0</v>
      </c>
    </row>
    <row r="3030">
      <c r="A3030" s="8" t="s">
        <v>4337</v>
      </c>
      <c r="B3030" s="13" t="str">
        <f>HYPERLINK("https://shopee.co.id/Garnier-Sakura-Glow-Hyaluron-Water-Glow-Essence-Skin-Care-x-2-pcs-Untuk-Kulit-Glowing-Dari-Dalam--i.62583853.8542110518", "https://shopee.co.id/Garnier-Sakura-Glow-Hyaluron-Water-Glow-Essence-Skin-Care-x-2-pcs-Untuk-Kulit-Glowing-Dari-Dalam--i.62583853.8542110518")</f>
        <v>https://shopee.co.id/Garnier-Sakura-Glow-Hyaluron-Water-Glow-Essence-Skin-Care-x-2-pcs-Untuk-Kulit-Glowing-Dari-Dalam--i.62583853.8542110518</v>
      </c>
      <c r="C3030" s="8" t="s">
        <v>74</v>
      </c>
      <c r="D3030" s="8" t="s">
        <v>75</v>
      </c>
      <c r="E3030" s="8" t="s">
        <v>12</v>
      </c>
      <c r="F3030" s="8" t="s">
        <v>13</v>
      </c>
      <c r="G3030" s="8" t="s">
        <v>61</v>
      </c>
      <c r="H3030" s="16">
        <v>0.0</v>
      </c>
      <c r="I3030" s="15" t="str">
        <f>SUBSTITUTE(Sheet1!K3030, "Rp", "")</f>
        <v>0</v>
      </c>
    </row>
    <row r="3031">
      <c r="A3031" s="8" t="s">
        <v>4338</v>
      </c>
      <c r="B3031" s="13" t="str">
        <f>HYPERLINK("https://shopee.co.id/Garnier-Sakura-Glow-Hyaluron-Water-Glow-Essence-3-x-30-mL-i.65323877.10719476240", "https://shopee.co.id/Garnier-Sakura-Glow-Hyaluron-Water-Glow-Essence-3-x-30-mL-i.65323877.10719476240")</f>
        <v>https://shopee.co.id/Garnier-Sakura-Glow-Hyaluron-Water-Glow-Essence-3-x-30-mL-i.65323877.10719476240</v>
      </c>
      <c r="C3031" s="8" t="s">
        <v>74</v>
      </c>
      <c r="D3031" s="8" t="s">
        <v>1600</v>
      </c>
      <c r="E3031" s="8" t="s">
        <v>12</v>
      </c>
      <c r="F3031" s="8" t="s">
        <v>13</v>
      </c>
      <c r="G3031" s="8" t="s">
        <v>296</v>
      </c>
      <c r="H3031" s="16">
        <v>0.0</v>
      </c>
      <c r="I3031" s="15" t="str">
        <f>SUBSTITUTE(Sheet1!K3031, "Rp", "")</f>
        <v>0</v>
      </c>
    </row>
    <row r="3032">
      <c r="A3032" s="8" t="s">
        <v>4339</v>
      </c>
      <c r="B3032" s="13" t="str">
        <f>HYPERLINK("https://shopee.co.id/Garnier-Sakura-White-Booster-Serum-15-ml-Waterglow-Mask-5-pcs-Untuk-Kulit-Glowing-Seketika--i.62583853.4579230506", "https://shopee.co.id/Garnier-Sakura-White-Booster-Serum-15-ml-Waterglow-Mask-5-pcs-Untuk-Kulit-Glowing-Seketika--i.62583853.4579230506")</f>
        <v>https://shopee.co.id/Garnier-Sakura-White-Booster-Serum-15-ml-Waterglow-Mask-5-pcs-Untuk-Kulit-Glowing-Seketika--i.62583853.4579230506</v>
      </c>
      <c r="C3032" s="8" t="s">
        <v>74</v>
      </c>
      <c r="D3032" s="8" t="s">
        <v>75</v>
      </c>
      <c r="E3032" s="8" t="s">
        <v>12</v>
      </c>
      <c r="F3032" s="8" t="s">
        <v>13</v>
      </c>
      <c r="G3032" s="8" t="s">
        <v>61</v>
      </c>
      <c r="H3032" s="16">
        <v>0.0</v>
      </c>
      <c r="I3032" s="15" t="str">
        <f>SUBSTITUTE(Sheet1!K3032, "Rp", "")</f>
        <v>0</v>
      </c>
    </row>
    <row r="3033">
      <c r="A3033" s="8" t="s">
        <v>4340</v>
      </c>
      <c r="B3033" s="13" t="str">
        <f>HYPERLINK("https://shopee.co.id/Garnier-Serum-Sakura-White-Hyaluron-30x-Booster-Skin-Care-30-mL-i.65323877.9279237865", "https://shopee.co.id/Garnier-Serum-Sakura-White-Hyaluron-30x-Booster-Skin-Care-30-mL-i.65323877.9279237865")</f>
        <v>https://shopee.co.id/Garnier-Serum-Sakura-White-Hyaluron-30x-Booster-Skin-Care-30-mL-i.65323877.9279237865</v>
      </c>
      <c r="C3033" s="8" t="s">
        <v>74</v>
      </c>
      <c r="D3033" s="8" t="s">
        <v>1600</v>
      </c>
      <c r="E3033" s="8" t="s">
        <v>12</v>
      </c>
      <c r="F3033" s="8" t="s">
        <v>13</v>
      </c>
      <c r="G3033" s="8" t="s">
        <v>296</v>
      </c>
      <c r="H3033" s="16">
        <v>0.0</v>
      </c>
      <c r="I3033" s="15" t="str">
        <f>SUBSTITUTE(Sheet1!K3033, "Rp", "")</f>
        <v>0</v>
      </c>
    </row>
    <row r="3034">
      <c r="A3034" s="8" t="s">
        <v>4341</v>
      </c>
      <c r="B3034" s="13" t="str">
        <f>HYPERLINK("https://shopee.co.id/GARNIER-SKIN-NATURAL-LIGHT-COMPLETE-WHITE-SPEED-ESSENCE-10-ML-i.30736001.621029862", "https://shopee.co.id/GARNIER-SKIN-NATURAL-LIGHT-COMPLETE-WHITE-SPEED-ESSENCE-10-ML-i.30736001.621029862")</f>
        <v>https://shopee.co.id/GARNIER-SKIN-NATURAL-LIGHT-COMPLETE-WHITE-SPEED-ESSENCE-10-ML-i.30736001.621029862</v>
      </c>
      <c r="C3034" s="8" t="s">
        <v>74</v>
      </c>
      <c r="D3034" s="8" t="s">
        <v>335</v>
      </c>
      <c r="E3034" s="8" t="s">
        <v>12</v>
      </c>
      <c r="F3034" s="8" t="s">
        <v>13</v>
      </c>
      <c r="G3034" s="8" t="s">
        <v>36</v>
      </c>
      <c r="H3034" s="16">
        <v>0.0</v>
      </c>
      <c r="I3034" s="15" t="str">
        <f>SUBSTITUTE(Sheet1!K3034, "Rp", "")</f>
        <v>0</v>
      </c>
    </row>
    <row r="3035">
      <c r="A3035" s="8" t="s">
        <v>4342</v>
      </c>
      <c r="B3035" s="13" t="str">
        <f>HYPERLINK("https://shopee.co.id/Garnier-SW-Hyaluron-Booster-Serum-30ML-i.186214521.4476237832", "https://shopee.co.id/Garnier-SW-Hyaluron-Booster-Serum-30ML-i.186214521.4476237832")</f>
        <v>https://shopee.co.id/Garnier-SW-Hyaluron-Booster-Serum-30ML-i.186214521.4476237832</v>
      </c>
      <c r="C3035" s="8" t="s">
        <v>74</v>
      </c>
      <c r="D3035" s="8" t="s">
        <v>2293</v>
      </c>
      <c r="E3035" s="8" t="s">
        <v>12</v>
      </c>
      <c r="F3035" s="8" t="s">
        <v>13</v>
      </c>
      <c r="G3035" s="8" t="s">
        <v>61</v>
      </c>
      <c r="H3035" s="16">
        <v>0.0</v>
      </c>
      <c r="I3035" s="15" t="str">
        <f>SUBSTITUTE(Sheet1!K3035, "Rp", "")</f>
        <v>0</v>
      </c>
    </row>
    <row r="3036">
      <c r="A3036" s="8" t="s">
        <v>4343</v>
      </c>
      <c r="B3036" s="13" t="str">
        <f>HYPERLINK("https://shopee.co.id/Garnier-x-Bayfresh-Light-Complete-Booster-Serum-Pampering-Package-i.62583853.4457331018", "https://shopee.co.id/Garnier-x-Bayfresh-Light-Complete-Booster-Serum-Pampering-Package-i.62583853.4457331018")</f>
        <v>https://shopee.co.id/Garnier-x-Bayfresh-Light-Complete-Booster-Serum-Pampering-Package-i.62583853.4457331018</v>
      </c>
      <c r="C3036" s="8" t="s">
        <v>74</v>
      </c>
      <c r="D3036" s="8" t="s">
        <v>75</v>
      </c>
      <c r="E3036" s="8" t="s">
        <v>12</v>
      </c>
      <c r="F3036" s="8" t="s">
        <v>13</v>
      </c>
      <c r="G3036" s="8" t="s">
        <v>61</v>
      </c>
      <c r="H3036" s="16">
        <v>0.0</v>
      </c>
      <c r="I3036" s="15" t="str">
        <f>SUBSTITUTE(Sheet1!K3036, "Rp", "")</f>
        <v>0</v>
      </c>
    </row>
    <row r="3037">
      <c r="A3037" s="8" t="s">
        <v>4344</v>
      </c>
      <c r="B3037" s="13" t="str">
        <f>HYPERLINK("https://shopee.co.id/GEN-Whitening-Generator-C-Serum-For-All-Skin-Types-20ml-BPOM-NA18191905852-i.188839838.4610078047", "https://shopee.co.id/GEN-Whitening-Generator-C-Serum-For-All-Skin-Types-20ml-BPOM-NA18191905852-i.188839838.4610078047")</f>
        <v>https://shopee.co.id/GEN-Whitening-Generator-C-Serum-For-All-Skin-Types-20ml-BPOM-NA18191905852-i.188839838.4610078047</v>
      </c>
      <c r="C3037" s="8" t="s">
        <v>2988</v>
      </c>
      <c r="D3037" s="8" t="s">
        <v>2989</v>
      </c>
      <c r="E3037" s="8" t="s">
        <v>12</v>
      </c>
      <c r="F3037" s="8" t="s">
        <v>13</v>
      </c>
      <c r="G3037" s="8" t="s">
        <v>532</v>
      </c>
      <c r="H3037" s="16">
        <v>0.0</v>
      </c>
      <c r="I3037" s="15" t="str">
        <f>SUBSTITUTE(Sheet1!K3037, "Rp", "")</f>
        <v>0</v>
      </c>
    </row>
    <row r="3038">
      <c r="A3038" s="8" t="s">
        <v>4345</v>
      </c>
      <c r="B3038" s="13" t="str">
        <f>HYPERLINK("https://shopee.co.id/Gentle-Bright-Serum-Free-FREEBIES-Glowlabs-Merchandise-i.336869851.3197254467", "https://shopee.co.id/Gentle-Bright-Serum-Free-FREEBIES-Glowlabs-Merchandise-i.336869851.3197254467")</f>
        <v>https://shopee.co.id/Gentle-Bright-Serum-Free-FREEBIES-Glowlabs-Merchandise-i.336869851.3197254467</v>
      </c>
      <c r="C3038" s="8" t="s">
        <v>407</v>
      </c>
      <c r="D3038" s="8" t="s">
        <v>408</v>
      </c>
      <c r="E3038" s="8" t="s">
        <v>12</v>
      </c>
      <c r="F3038" s="8" t="s">
        <v>13</v>
      </c>
      <c r="G3038" s="8" t="s">
        <v>409</v>
      </c>
      <c r="H3038" s="16">
        <v>0.0</v>
      </c>
      <c r="I3038" s="15" t="str">
        <f>SUBSTITUTE(Sheet1!K3038, "Rp", "")</f>
        <v>0</v>
      </c>
    </row>
    <row r="3039">
      <c r="A3039" s="8" t="s">
        <v>4346</v>
      </c>
      <c r="B3039" s="13" t="str">
        <f>HYPERLINK("https://shopee.co.id/Gentle-Glow-Essence-Free-FREEBIES-Glowlabs-Merchandise-i.336869851.8985871912", "https://shopee.co.id/Gentle-Glow-Essence-Free-FREEBIES-Glowlabs-Merchandise-i.336869851.8985871912")</f>
        <v>https://shopee.co.id/Gentle-Glow-Essence-Free-FREEBIES-Glowlabs-Merchandise-i.336869851.8985871912</v>
      </c>
      <c r="C3039" s="8" t="s">
        <v>407</v>
      </c>
      <c r="D3039" s="8" t="s">
        <v>408</v>
      </c>
      <c r="E3039" s="8" t="s">
        <v>12</v>
      </c>
      <c r="F3039" s="8" t="s">
        <v>13</v>
      </c>
      <c r="G3039" s="8" t="s">
        <v>409</v>
      </c>
      <c r="H3039" s="16">
        <v>0.0</v>
      </c>
      <c r="I3039" s="15" t="str">
        <f>SUBSTITUTE(Sheet1!K3039, "Rp", "")</f>
        <v>0</v>
      </c>
    </row>
    <row r="3040">
      <c r="A3040" s="8" t="s">
        <v>4347</v>
      </c>
      <c r="B3040" s="13" t="str">
        <f>HYPERLINK("https://shopee.co.id/GF-BLITHE-INBETWEEN-HYDRO-PREPARATION-ESSENCE-i.53497038.7168872065", "https://shopee.co.id/GF-BLITHE-INBETWEEN-HYDRO-PREPARATION-ESSENCE-i.53497038.7168872065")</f>
        <v>https://shopee.co.id/GF-BLITHE-INBETWEEN-HYDRO-PREPARATION-ESSENCE-i.53497038.7168872065</v>
      </c>
      <c r="C3040" s="8" t="s">
        <v>1969</v>
      </c>
      <c r="D3040" s="8" t="s">
        <v>907</v>
      </c>
      <c r="E3040" s="8" t="s">
        <v>12</v>
      </c>
      <c r="F3040" s="8" t="s">
        <v>13</v>
      </c>
      <c r="G3040" s="8" t="s">
        <v>61</v>
      </c>
      <c r="H3040" s="16">
        <v>0.0</v>
      </c>
      <c r="I3040" s="15" t="str">
        <f>SUBSTITUTE(Sheet1!K3040, "Rp", "")</f>
        <v>0</v>
      </c>
    </row>
    <row r="3041">
      <c r="A3041" s="8" t="s">
        <v>4348</v>
      </c>
      <c r="B3041" s="13" t="str">
        <f>HYPERLINK("https://shopee.co.id/GF-CREMORLAB-TEN-MIRACLE-THE-ESSENCE-2ML-i.53497038.8675724604", "https://shopee.co.id/GF-CREMORLAB-TEN-MIRACLE-THE-ESSENCE-2ML-i.53497038.8675724604")</f>
        <v>https://shopee.co.id/GF-CREMORLAB-TEN-MIRACLE-THE-ESSENCE-2ML-i.53497038.8675724604</v>
      </c>
      <c r="C3041" s="8" t="s">
        <v>3236</v>
      </c>
      <c r="D3041" s="8" t="s">
        <v>907</v>
      </c>
      <c r="E3041" s="8" t="s">
        <v>12</v>
      </c>
      <c r="F3041" s="8" t="s">
        <v>13</v>
      </c>
      <c r="G3041" s="8" t="s">
        <v>61</v>
      </c>
      <c r="H3041" s="16">
        <v>0.0</v>
      </c>
      <c r="I3041" s="15" t="str">
        <f>SUBSTITUTE(Sheet1!K3041, "Rp", "")</f>
        <v>0</v>
      </c>
    </row>
    <row r="3042">
      <c r="A3042" s="8" t="s">
        <v>4349</v>
      </c>
      <c r="B3042" s="13" t="str">
        <f>HYPERLINK("https://shopee.co.id/Giffarine-Astaxanthin-Age-Defying-Intensive-Serum-i.118878742.1892078912", "https://shopee.co.id/Giffarine-Astaxanthin-Age-Defying-Intensive-Serum-i.118878742.1892078912")</f>
        <v>https://shopee.co.id/Giffarine-Astaxanthin-Age-Defying-Intensive-Serum-i.118878742.1892078912</v>
      </c>
      <c r="C3042" s="8" t="s">
        <v>2592</v>
      </c>
      <c r="D3042" s="8" t="s">
        <v>2593</v>
      </c>
      <c r="E3042" s="8" t="s">
        <v>12</v>
      </c>
      <c r="F3042" s="8" t="s">
        <v>13</v>
      </c>
      <c r="G3042" s="8" t="s">
        <v>61</v>
      </c>
      <c r="H3042" s="16">
        <v>0.0</v>
      </c>
      <c r="I3042" s="15" t="str">
        <f>SUBSTITUTE(Sheet1!K3042, "Rp", "")</f>
        <v>0</v>
      </c>
    </row>
    <row r="3043">
      <c r="A3043" s="8" t="s">
        <v>4350</v>
      </c>
      <c r="B3043" s="13" t="str">
        <f>HYPERLINK("https://shopee.co.id/Giffarine-Miracle-Fluid-Facial-Treatment-Essence-i.118878742.1892076040", "https://shopee.co.id/Giffarine-Miracle-Fluid-Facial-Treatment-Essence-i.118878742.1892076040")</f>
        <v>https://shopee.co.id/Giffarine-Miracle-Fluid-Facial-Treatment-Essence-i.118878742.1892076040</v>
      </c>
      <c r="C3043" s="8" t="s">
        <v>2592</v>
      </c>
      <c r="D3043" s="8" t="s">
        <v>2593</v>
      </c>
      <c r="E3043" s="8" t="s">
        <v>12</v>
      </c>
      <c r="F3043" s="8" t="s">
        <v>13</v>
      </c>
      <c r="G3043" s="8" t="s">
        <v>61</v>
      </c>
      <c r="H3043" s="16">
        <v>0.0</v>
      </c>
      <c r="I3043" s="15" t="str">
        <f>SUBSTITUTE(Sheet1!K3043, "Rp", "")</f>
        <v>0</v>
      </c>
    </row>
    <row r="3044">
      <c r="A3044" s="8" t="s">
        <v>4351</v>
      </c>
      <c r="B3044" s="13" t="str">
        <f>HYPERLINK("https://shopee.co.id/GIFT-NOT-FOR-SALE-By-Wishtrend-Pure-Vitamin-C-21-5-Advanced-Serum-i.438396149.8673543390", "https://shopee.co.id/GIFT-NOT-FOR-SALE-By-Wishtrend-Pure-Vitamin-C-21-5-Advanced-Serum-i.438396149.8673543390")</f>
        <v>https://shopee.co.id/GIFT-NOT-FOR-SALE-By-Wishtrend-Pure-Vitamin-C-21-5-Advanced-Serum-i.438396149.8673543390</v>
      </c>
      <c r="C3044" s="8" t="s">
        <v>2759</v>
      </c>
      <c r="D3044" s="8" t="s">
        <v>2760</v>
      </c>
      <c r="E3044" s="8" t="s">
        <v>12</v>
      </c>
      <c r="F3044" s="8" t="s">
        <v>13</v>
      </c>
      <c r="G3044" s="8" t="s">
        <v>21</v>
      </c>
      <c r="H3044" s="16">
        <v>0.0</v>
      </c>
      <c r="I3044" s="15" t="str">
        <f>SUBSTITUTE(Sheet1!K3044, "Rp", "")</f>
        <v>0</v>
      </c>
    </row>
    <row r="3045">
      <c r="A3045" s="8" t="s">
        <v>4352</v>
      </c>
      <c r="B3045" s="13" t="str">
        <f>HYPERLINK("https://shopee.co.id/Glamglow-Superserum-6-Acid-Refining-Treatment-30ml-i.825870.7407668998", "https://shopee.co.id/Glamglow-Superserum-6-Acid-Refining-Treatment-30ml-i.825870.7407668998")</f>
        <v>https://shopee.co.id/Glamglow-Superserum-6-Acid-Refining-Treatment-30ml-i.825870.7407668998</v>
      </c>
      <c r="C3045" s="8" t="s">
        <v>2156</v>
      </c>
      <c r="D3045" s="8" t="s">
        <v>1184</v>
      </c>
      <c r="E3045" s="8" t="s">
        <v>12</v>
      </c>
      <c r="F3045" s="8" t="s">
        <v>13</v>
      </c>
      <c r="G3045" s="8" t="s">
        <v>21</v>
      </c>
      <c r="H3045" s="16">
        <v>0.0</v>
      </c>
      <c r="I3045" s="15" t="str">
        <f>SUBSTITUTE(Sheet1!K3045, "Rp", "")</f>
        <v>0</v>
      </c>
    </row>
    <row r="3046">
      <c r="A3046" s="8" t="s">
        <v>4353</v>
      </c>
      <c r="B3046" s="13" t="str">
        <f>HYPERLINK("https://shopee.co.id/GLAMGLOW-SUPERSERUM-6-Acid-Refining-Treatment-Serum-10ml-i.37242565.7115172474", "https://shopee.co.id/GLAMGLOW-SUPERSERUM-6-Acid-Refining-Treatment-Serum-10ml-i.37242565.7115172474")</f>
        <v>https://shopee.co.id/GLAMGLOW-SUPERSERUM-6-Acid-Refining-Treatment-Serum-10ml-i.37242565.7115172474</v>
      </c>
      <c r="C3046" s="8" t="s">
        <v>2156</v>
      </c>
      <c r="D3046" s="8" t="s">
        <v>2157</v>
      </c>
      <c r="E3046" s="8" t="s">
        <v>12</v>
      </c>
      <c r="F3046" s="8" t="s">
        <v>13</v>
      </c>
      <c r="G3046" s="8" t="s">
        <v>98</v>
      </c>
      <c r="H3046" s="16">
        <v>0.0</v>
      </c>
      <c r="I3046" s="15" t="str">
        <f>SUBSTITUTE(Sheet1!K3046, "Rp", "")</f>
        <v>0</v>
      </c>
    </row>
    <row r="3047">
      <c r="A3047" s="8" t="s">
        <v>4354</v>
      </c>
      <c r="B3047" s="13" t="str">
        <f>HYPERLINK("https://shopee.co.id/Glamore-Skincare-2-Pcs-Serum-Premium-Alpha-Arbutin-15-ml-Bundling-2-Pcs--i.214654119.7495278312", "https://shopee.co.id/Glamore-Skincare-2-Pcs-Serum-Premium-Alpha-Arbutin-15-ml-Bundling-2-Pcs--i.214654119.7495278312")</f>
        <v>https://shopee.co.id/Glamore-Skincare-2-Pcs-Serum-Premium-Alpha-Arbutin-15-ml-Bundling-2-Pcs--i.214654119.7495278312</v>
      </c>
      <c r="C3047" s="8" t="s">
        <v>1359</v>
      </c>
      <c r="D3047" s="8" t="s">
        <v>2321</v>
      </c>
      <c r="E3047" s="8" t="s">
        <v>12</v>
      </c>
      <c r="F3047" s="8" t="s">
        <v>13</v>
      </c>
      <c r="G3047" s="8" t="s">
        <v>98</v>
      </c>
      <c r="H3047" s="16">
        <v>0.0</v>
      </c>
      <c r="I3047" s="15" t="str">
        <f>SUBSTITUTE(Sheet1!K3047, "Rp", "")</f>
        <v>0</v>
      </c>
    </row>
    <row r="3048">
      <c r="A3048" s="8" t="s">
        <v>4355</v>
      </c>
      <c r="B3048" s="13" t="str">
        <f>HYPERLINK("https://shopee.co.id/Glowlabs-Bright-Mate-FREE-POUCH-Gentle-Bright-Serum-Gentle-Glow-Essence-Peptide-Moist--i.336869851.8785905779", "https://shopee.co.id/Glowlabs-Bright-Mate-FREE-POUCH-Gentle-Bright-Serum-Gentle-Glow-Essence-Peptide-Moist--i.336869851.8785905779")</f>
        <v>https://shopee.co.id/Glowlabs-Bright-Mate-FREE-POUCH-Gentle-Bright-Serum-Gentle-Glow-Essence-Peptide-Moist--i.336869851.8785905779</v>
      </c>
      <c r="C3048" s="8" t="s">
        <v>2240</v>
      </c>
      <c r="D3048" s="8" t="s">
        <v>408</v>
      </c>
      <c r="E3048" s="8" t="s">
        <v>12</v>
      </c>
      <c r="F3048" s="8" t="s">
        <v>13</v>
      </c>
      <c r="G3048" s="8" t="s">
        <v>409</v>
      </c>
      <c r="H3048" s="16">
        <v>0.0</v>
      </c>
      <c r="I3048" s="15" t="str">
        <f>SUBSTITUTE(Sheet1!K3048, "Rp", "")</f>
        <v>0</v>
      </c>
    </row>
    <row r="3049">
      <c r="A3049" s="8" t="s">
        <v>4356</v>
      </c>
      <c r="B3049" s="13" t="str">
        <f>HYPERLINK("https://shopee.co.id/GLOWLABS-Gentle-Glow-Essence-i.68111.9824796329", "https://shopee.co.id/GLOWLABS-Gentle-Glow-Essence-i.68111.9824796329")</f>
        <v>https://shopee.co.id/GLOWLABS-Gentle-Glow-Essence-i.68111.9824796329</v>
      </c>
      <c r="C3049" s="8" t="s">
        <v>407</v>
      </c>
      <c r="D3049" s="8" t="s">
        <v>441</v>
      </c>
      <c r="E3049" s="8" t="s">
        <v>12</v>
      </c>
      <c r="F3049" s="8" t="s">
        <v>13</v>
      </c>
      <c r="G3049" s="8" t="s">
        <v>130</v>
      </c>
      <c r="H3049" s="16">
        <v>0.0</v>
      </c>
      <c r="I3049" s="15" t="str">
        <f>SUBSTITUTE(Sheet1!K3049, "Rp", "")</f>
        <v>0</v>
      </c>
    </row>
    <row r="3050">
      <c r="A3050" s="8" t="s">
        <v>4357</v>
      </c>
      <c r="B3050" s="13" t="str">
        <f>HYPERLINK("https://shopee.co.id/Glowlabs-Gentle-Glow-Essence-100ml-i.136011044.3385056638", "https://shopee.co.id/Glowlabs-Gentle-Glow-Essence-100ml-i.136011044.3385056638")</f>
        <v>https://shopee.co.id/Glowlabs-Gentle-Glow-Essence-100ml-i.136011044.3385056638</v>
      </c>
      <c r="C3050" s="8" t="s">
        <v>407</v>
      </c>
      <c r="D3050" s="8" t="s">
        <v>632</v>
      </c>
      <c r="E3050" s="8" t="s">
        <v>12</v>
      </c>
      <c r="F3050" s="8" t="s">
        <v>13</v>
      </c>
      <c r="G3050" s="8" t="s">
        <v>21</v>
      </c>
      <c r="H3050" s="16">
        <v>0.0</v>
      </c>
      <c r="I3050" s="15" t="str">
        <f>SUBSTITUTE(Sheet1!K3050, "Rp", "")</f>
        <v>0</v>
      </c>
    </row>
    <row r="3051">
      <c r="A3051" s="8" t="s">
        <v>4358</v>
      </c>
      <c r="B3051" s="13" t="str">
        <f>HYPERLINK("https://shopee.co.id/Glowlabs-Glo-C-Serum-20ml-i.136011044.5384965491", "https://shopee.co.id/Glowlabs-Glo-C-Serum-20ml-i.136011044.5384965491")</f>
        <v>https://shopee.co.id/Glowlabs-Glo-C-Serum-20ml-i.136011044.5384965491</v>
      </c>
      <c r="C3051" s="8" t="s">
        <v>407</v>
      </c>
      <c r="D3051" s="8" t="s">
        <v>632</v>
      </c>
      <c r="E3051" s="8" t="s">
        <v>12</v>
      </c>
      <c r="F3051" s="8" t="s">
        <v>13</v>
      </c>
      <c r="G3051" s="8" t="s">
        <v>21</v>
      </c>
      <c r="H3051" s="16">
        <v>0.0</v>
      </c>
      <c r="I3051" s="15" t="str">
        <f>SUBSTITUTE(Sheet1!K3051, "Rp", "")</f>
        <v>0</v>
      </c>
    </row>
    <row r="3052">
      <c r="A3052" s="8" t="s">
        <v>4359</v>
      </c>
      <c r="B3052" s="13" t="str">
        <f>HYPERLINK("https://shopee.co.id/GLOWLABS-Glo-C-Serum-20ml-i.68111.8024803535", "https://shopee.co.id/GLOWLABS-Glo-C-Serum-20ml-i.68111.8024803535")</f>
        <v>https://shopee.co.id/GLOWLABS-Glo-C-Serum-20ml-i.68111.8024803535</v>
      </c>
      <c r="C3052" s="8" t="s">
        <v>407</v>
      </c>
      <c r="D3052" s="8" t="s">
        <v>441</v>
      </c>
      <c r="E3052" s="8" t="s">
        <v>12</v>
      </c>
      <c r="F3052" s="8" t="s">
        <v>13</v>
      </c>
      <c r="G3052" s="8" t="s">
        <v>130</v>
      </c>
      <c r="H3052" s="16">
        <v>0.0</v>
      </c>
      <c r="I3052" s="15" t="str">
        <f>SUBSTITUTE(Sheet1!K3052, "Rp", "")</f>
        <v>0</v>
      </c>
    </row>
    <row r="3053">
      <c r="A3053" s="8" t="s">
        <v>4360</v>
      </c>
      <c r="B3053" s="13" t="str">
        <f>HYPERLINK("https://shopee.co.id/Glowlabs-Glowing-Healthy-Skin-Glo-C-Serum-Probiome-Acne-Serum--i.336869851.9453911844", "https://shopee.co.id/Glowlabs-Glowing-Healthy-Skin-Glo-C-Serum-Probiome-Acne-Serum--i.336869851.9453911844")</f>
        <v>https://shopee.co.id/Glowlabs-Glowing-Healthy-Skin-Glo-C-Serum-Probiome-Acne-Serum--i.336869851.9453911844</v>
      </c>
      <c r="C3053" s="8" t="s">
        <v>407</v>
      </c>
      <c r="D3053" s="8" t="s">
        <v>408</v>
      </c>
      <c r="E3053" s="8" t="s">
        <v>12</v>
      </c>
      <c r="F3053" s="8" t="s">
        <v>13</v>
      </c>
      <c r="G3053" s="8" t="s">
        <v>409</v>
      </c>
      <c r="H3053" s="16">
        <v>0.0</v>
      </c>
      <c r="I3053" s="15" t="str">
        <f>SUBSTITUTE(Sheet1!K3053, "Rp", "")</f>
        <v>0</v>
      </c>
    </row>
    <row r="3054">
      <c r="A3054" s="8" t="s">
        <v>4361</v>
      </c>
      <c r="B3054" s="13" t="str">
        <f>HYPERLINK("https://shopee.co.id/GLOWLABS-Probiome-Acne-Serum-20ml-i.68111.10911363043", "https://shopee.co.id/GLOWLABS-Probiome-Acne-Serum-20ml-i.68111.10911363043")</f>
        <v>https://shopee.co.id/GLOWLABS-Probiome-Acne-Serum-20ml-i.68111.10911363043</v>
      </c>
      <c r="C3054" s="8" t="s">
        <v>407</v>
      </c>
      <c r="D3054" s="8" t="s">
        <v>441</v>
      </c>
      <c r="E3054" s="8" t="s">
        <v>12</v>
      </c>
      <c r="F3054" s="8" t="s">
        <v>13</v>
      </c>
      <c r="G3054" s="8" t="s">
        <v>130</v>
      </c>
      <c r="H3054" s="16">
        <v>0.0</v>
      </c>
      <c r="I3054" s="15" t="str">
        <f>SUBSTITUTE(Sheet1!K3054, "Rp", "")</f>
        <v>0</v>
      </c>
    </row>
    <row r="3055">
      <c r="A3055" s="8" t="s">
        <v>4362</v>
      </c>
      <c r="B3055" s="13" t="str">
        <f>HYPERLINK("https://shopee.co.id/Glowlabs-Retinol-Cica-Night-Serum-20ml-i.136011044.6184963836", "https://shopee.co.id/Glowlabs-Retinol-Cica-Night-Serum-20ml-i.136011044.6184963836")</f>
        <v>https://shopee.co.id/Glowlabs-Retinol-Cica-Night-Serum-20ml-i.136011044.6184963836</v>
      </c>
      <c r="C3055" s="8" t="s">
        <v>407</v>
      </c>
      <c r="D3055" s="8" t="s">
        <v>632</v>
      </c>
      <c r="E3055" s="8" t="s">
        <v>12</v>
      </c>
      <c r="F3055" s="8" t="s">
        <v>13</v>
      </c>
      <c r="G3055" s="8" t="s">
        <v>21</v>
      </c>
      <c r="H3055" s="16">
        <v>0.0</v>
      </c>
      <c r="I3055" s="15" t="str">
        <f>SUBSTITUTE(Sheet1!K3055, "Rp", "")</f>
        <v>0</v>
      </c>
    </row>
    <row r="3056">
      <c r="A3056" s="8" t="s">
        <v>4363</v>
      </c>
      <c r="B3056" s="13" t="str">
        <f>HYPERLINK("https://shopee.co.id/GLOWLABS-Retinol-Cica-Night-Serum-20ml-i.68111.9524805569", "https://shopee.co.id/GLOWLABS-Retinol-Cica-Night-Serum-20ml-i.68111.9524805569")</f>
        <v>https://shopee.co.id/GLOWLABS-Retinol-Cica-Night-Serum-20ml-i.68111.9524805569</v>
      </c>
      <c r="C3056" s="8" t="s">
        <v>407</v>
      </c>
      <c r="D3056" s="8" t="s">
        <v>441</v>
      </c>
      <c r="E3056" s="8" t="s">
        <v>12</v>
      </c>
      <c r="F3056" s="8" t="s">
        <v>13</v>
      </c>
      <c r="G3056" s="8" t="s">
        <v>130</v>
      </c>
      <c r="H3056" s="16">
        <v>0.0</v>
      </c>
      <c r="I3056" s="15" t="str">
        <f>SUBSTITUTE(Sheet1!K3056, "Rp", "")</f>
        <v>0</v>
      </c>
    </row>
    <row r="3057">
      <c r="A3057" s="8" t="s">
        <v>4364</v>
      </c>
      <c r="B3057" s="13" t="str">
        <f>HYPERLINK("https://shopee.co.id/Glowmy-3-Layering-Serum-Package-i.324394758.8145751763", "https://shopee.co.id/Glowmy-3-Layering-Serum-Package-i.324394758.8145751763")</f>
        <v>https://shopee.co.id/Glowmy-3-Layering-Serum-Package-i.324394758.8145751763</v>
      </c>
      <c r="C3057" s="8" t="s">
        <v>1595</v>
      </c>
      <c r="D3057" s="8" t="s">
        <v>1596</v>
      </c>
      <c r="E3057" s="8" t="s">
        <v>12</v>
      </c>
      <c r="F3057" s="8" t="s">
        <v>13</v>
      </c>
      <c r="G3057" s="8" t="s">
        <v>21</v>
      </c>
      <c r="H3057" s="16">
        <v>0.0</v>
      </c>
      <c r="I3057" s="15" t="str">
        <f>SUBSTITUTE(Sheet1!K3057, "Rp", "")</f>
        <v>0</v>
      </c>
    </row>
    <row r="3058">
      <c r="A3058" s="8" t="s">
        <v>4365</v>
      </c>
      <c r="B3058" s="13" t="str">
        <f>HYPERLINK("https://shopee.co.id/Glowmy-Advanced-Brightening-Glow-Activating-Serum-20ml--i.324394758.4364125022", "https://shopee.co.id/Glowmy-Advanced-Brightening-Glow-Activating-Serum-20ml--i.324394758.4364125022")</f>
        <v>https://shopee.co.id/Glowmy-Advanced-Brightening-Glow-Activating-Serum-20ml--i.324394758.4364125022</v>
      </c>
      <c r="C3058" s="8" t="s">
        <v>1595</v>
      </c>
      <c r="D3058" s="8" t="s">
        <v>1596</v>
      </c>
      <c r="E3058" s="8" t="s">
        <v>12</v>
      </c>
      <c r="F3058" s="8" t="s">
        <v>13</v>
      </c>
      <c r="G3058" s="8" t="s">
        <v>21</v>
      </c>
      <c r="H3058" s="16">
        <v>0.0</v>
      </c>
      <c r="I3058" s="15" t="str">
        <f>SUBSTITUTE(Sheet1!K3058, "Rp", "")</f>
        <v>0</v>
      </c>
    </row>
    <row r="3059">
      <c r="A3059" s="8" t="s">
        <v>4366</v>
      </c>
      <c r="B3059" s="13" t="str">
        <f>HYPERLINK("https://shopee.co.id/Glowmy-Advanced-Brightening-Glow-Activating-Serum-3-Pack-i.324394758.7677989537", "https://shopee.co.id/Glowmy-Advanced-Brightening-Glow-Activating-Serum-3-Pack-i.324394758.7677989537")</f>
        <v>https://shopee.co.id/Glowmy-Advanced-Brightening-Glow-Activating-Serum-3-Pack-i.324394758.7677989537</v>
      </c>
      <c r="C3059" s="8" t="s">
        <v>1595</v>
      </c>
      <c r="D3059" s="8" t="s">
        <v>1596</v>
      </c>
      <c r="E3059" s="8" t="s">
        <v>12</v>
      </c>
      <c r="F3059" s="8" t="s">
        <v>13</v>
      </c>
      <c r="G3059" s="8" t="s">
        <v>21</v>
      </c>
      <c r="H3059" s="16">
        <v>0.0</v>
      </c>
      <c r="I3059" s="15" t="str">
        <f>SUBSTITUTE(Sheet1!K3059, "Rp", "")</f>
        <v>0</v>
      </c>
    </row>
    <row r="3060">
      <c r="A3060" s="8" t="s">
        <v>4367</v>
      </c>
      <c r="B3060" s="13" t="str">
        <f>HYPERLINK("https://shopee.co.id/Glowmy-Serum-Day-Cream-i.324394758.7677993859", "https://shopee.co.id/Glowmy-Serum-Day-Cream-i.324394758.7677993859")</f>
        <v>https://shopee.co.id/Glowmy-Serum-Day-Cream-i.324394758.7677993859</v>
      </c>
      <c r="C3060" s="8" t="s">
        <v>1595</v>
      </c>
      <c r="D3060" s="8" t="s">
        <v>1596</v>
      </c>
      <c r="E3060" s="8" t="s">
        <v>12</v>
      </c>
      <c r="F3060" s="8" t="s">
        <v>13</v>
      </c>
      <c r="G3060" s="8" t="s">
        <v>21</v>
      </c>
      <c r="H3060" s="16">
        <v>0.0</v>
      </c>
      <c r="I3060" s="15" t="str">
        <f>SUBSTITUTE(Sheet1!K3060, "Rp", "")</f>
        <v>0</v>
      </c>
    </row>
    <row r="3061">
      <c r="A3061" s="8" t="s">
        <v>4368</v>
      </c>
      <c r="B3061" s="13" t="str">
        <f>HYPERLINK("https://shopee.co.id/Glowmy-Serum-Night-Cream-i.324394758.6477996023", "https://shopee.co.id/Glowmy-Serum-Night-Cream-i.324394758.6477996023")</f>
        <v>https://shopee.co.id/Glowmy-Serum-Night-Cream-i.324394758.6477996023</v>
      </c>
      <c r="C3061" s="8" t="s">
        <v>1595</v>
      </c>
      <c r="D3061" s="8" t="s">
        <v>1596</v>
      </c>
      <c r="E3061" s="8" t="s">
        <v>12</v>
      </c>
      <c r="F3061" s="8" t="s">
        <v>13</v>
      </c>
      <c r="G3061" s="8" t="s">
        <v>21</v>
      </c>
      <c r="H3061" s="16">
        <v>0.0</v>
      </c>
      <c r="I3061" s="15" t="str">
        <f>SUBSTITUTE(Sheet1!K3061, "Rp", "")</f>
        <v>0</v>
      </c>
    </row>
    <row r="3062">
      <c r="A3062" s="8" t="s">
        <v>4369</v>
      </c>
      <c r="B3062" s="13" t="str">
        <f>HYPERLINK("https://shopee.co.id/Hada-Labo-Gokujyun-Alpha-essence-30-gram-i.270965687.4041197880", "https://shopee.co.id/Hada-Labo-Gokujyun-Alpha-essence-30-gram-i.270965687.4041197880")</f>
        <v>https://shopee.co.id/Hada-Labo-Gokujyun-Alpha-essence-30-gram-i.270965687.4041197880</v>
      </c>
      <c r="C3062" s="8" t="s">
        <v>2090</v>
      </c>
      <c r="D3062" s="8" t="s">
        <v>379</v>
      </c>
      <c r="E3062" s="8" t="s">
        <v>12</v>
      </c>
      <c r="F3062" s="8" t="s">
        <v>13</v>
      </c>
      <c r="G3062" s="8" t="s">
        <v>380</v>
      </c>
      <c r="H3062" s="16">
        <v>0.0</v>
      </c>
      <c r="I3062" s="15" t="str">
        <f>SUBSTITUTE(Sheet1!K3062, "Rp", "")</f>
        <v>0</v>
      </c>
    </row>
    <row r="3063">
      <c r="A3063" s="8" t="s">
        <v>4370</v>
      </c>
      <c r="B3063" s="13" t="str">
        <f>HYPERLINK("https://shopee.co.id/HADA-LABO-Shirojyun-Ultimate-Whitening-Essence-30gr-i.68111.2222367959", "https://shopee.co.id/HADA-LABO-Shirojyun-Ultimate-Whitening-Essence-30gr-i.68111.2222367959")</f>
        <v>https://shopee.co.id/HADA-LABO-Shirojyun-Ultimate-Whitening-Essence-30gr-i.68111.2222367959</v>
      </c>
      <c r="C3063" s="8" t="s">
        <v>2090</v>
      </c>
      <c r="D3063" s="8" t="s">
        <v>441</v>
      </c>
      <c r="E3063" s="8" t="s">
        <v>12</v>
      </c>
      <c r="F3063" s="8" t="s">
        <v>13</v>
      </c>
      <c r="G3063" s="8" t="s">
        <v>130</v>
      </c>
      <c r="H3063" s="16">
        <v>0.0</v>
      </c>
      <c r="I3063" s="15" t="str">
        <f>SUBSTITUTE(Sheet1!K3063, "Rp", "")</f>
        <v>0</v>
      </c>
    </row>
    <row r="3064">
      <c r="A3064" s="8" t="s">
        <v>4371</v>
      </c>
      <c r="B3064" s="13" t="str">
        <f>HYPERLINK("https://shopee.co.id/Haecho-Lightening-Serum-1-Box-i.180745295.5845893519", "https://shopee.co.id/Haecho-Lightening-Serum-1-Box-i.180745295.5845893519")</f>
        <v>https://shopee.co.id/Haecho-Lightening-Serum-1-Box-i.180745295.5845893519</v>
      </c>
      <c r="C3064" s="8" t="s">
        <v>4372</v>
      </c>
      <c r="D3064" s="8" t="s">
        <v>4373</v>
      </c>
      <c r="E3064" s="8" t="s">
        <v>12</v>
      </c>
      <c r="F3064" s="8" t="s">
        <v>13</v>
      </c>
      <c r="G3064" s="8" t="s">
        <v>36</v>
      </c>
      <c r="H3064" s="16">
        <v>0.0</v>
      </c>
      <c r="I3064" s="15" t="str">
        <f>SUBSTITUTE(Sheet1!K3064, "Rp", "")</f>
        <v>0</v>
      </c>
    </row>
    <row r="3065">
      <c r="A3065" s="8" t="s">
        <v>4374</v>
      </c>
      <c r="B3065" s="13" t="str">
        <f>HYPERLINK("https://shopee.co.id/Haecho-Purifying-Serum-Wajah-1pcs--i.180745295.4149207114", "https://shopee.co.id/Haecho-Purifying-Serum-Wajah-1pcs--i.180745295.4149207114")</f>
        <v>https://shopee.co.id/Haecho-Purifying-Serum-Wajah-1pcs--i.180745295.4149207114</v>
      </c>
      <c r="C3065" s="8" t="s">
        <v>4372</v>
      </c>
      <c r="D3065" s="8" t="s">
        <v>4373</v>
      </c>
      <c r="E3065" s="8" t="s">
        <v>12</v>
      </c>
      <c r="F3065" s="8" t="s">
        <v>13</v>
      </c>
      <c r="G3065" s="8" t="s">
        <v>36</v>
      </c>
      <c r="H3065" s="16">
        <v>0.0</v>
      </c>
      <c r="I3065" s="15" t="str">
        <f>SUBSTITUTE(Sheet1!K3065, "Rp", "")</f>
        <v>0</v>
      </c>
    </row>
    <row r="3066">
      <c r="A3066" s="8" t="s">
        <v>4375</v>
      </c>
      <c r="B3066" s="13" t="str">
        <f>HYPERLINK("https://shopee.co.id/Hanada-Brighten-Up-Body-Serum-100ml-Ever-Young-Serum-i.166666344.3776382058", "https://shopee.co.id/Hanada-Brighten-Up-Body-Serum-100ml-Ever-Young-Serum-i.166666344.3776382058")</f>
        <v>https://shopee.co.id/Hanada-Brighten-Up-Body-Serum-100ml-Ever-Young-Serum-i.166666344.3776382058</v>
      </c>
      <c r="C3066" s="8" t="s">
        <v>864</v>
      </c>
      <c r="D3066" s="8" t="s">
        <v>865</v>
      </c>
      <c r="E3066" s="8" t="s">
        <v>12</v>
      </c>
      <c r="F3066" s="8" t="s">
        <v>13</v>
      </c>
      <c r="G3066" s="8" t="s">
        <v>21</v>
      </c>
      <c r="H3066" s="16">
        <v>0.0</v>
      </c>
      <c r="I3066" s="15" t="str">
        <f>SUBSTITUTE(Sheet1!K3066, "Rp", "")</f>
        <v>0</v>
      </c>
    </row>
    <row r="3067">
      <c r="A3067" s="8" t="s">
        <v>4376</v>
      </c>
      <c r="B3067" s="13" t="str">
        <f>HYPERLINK("https://shopee.co.id/Hanada-Brighten-Up-Body-Serum-20-ml-2pcs--i.166666344.6775985555", "https://shopee.co.id/Hanada-Brighten-Up-Body-Serum-20-ml-2pcs--i.166666344.6775985555")</f>
        <v>https://shopee.co.id/Hanada-Brighten-Up-Body-Serum-20-ml-2pcs--i.166666344.6775985555</v>
      </c>
      <c r="C3067" s="8" t="s">
        <v>864</v>
      </c>
      <c r="D3067" s="8" t="s">
        <v>865</v>
      </c>
      <c r="E3067" s="8" t="s">
        <v>12</v>
      </c>
      <c r="F3067" s="8" t="s">
        <v>13</v>
      </c>
      <c r="G3067" s="8" t="s">
        <v>21</v>
      </c>
      <c r="H3067" s="16">
        <v>0.0</v>
      </c>
      <c r="I3067" s="15" t="str">
        <f>SUBSTITUTE(Sheet1!K3067, "Rp", "")</f>
        <v>0</v>
      </c>
    </row>
    <row r="3068">
      <c r="A3068" s="8" t="s">
        <v>4377</v>
      </c>
      <c r="B3068" s="13" t="str">
        <f>HYPERLINK("https://shopee.co.id/Hanada-Ever-Young-Serum-Hanada-Glow-Serum-i.166666344.7731243499", "https://shopee.co.id/Hanada-Ever-Young-Serum-Hanada-Glow-Serum-i.166666344.7731243499")</f>
        <v>https://shopee.co.id/Hanada-Ever-Young-Serum-Hanada-Glow-Serum-i.166666344.7731243499</v>
      </c>
      <c r="C3068" s="8" t="s">
        <v>864</v>
      </c>
      <c r="D3068" s="8" t="s">
        <v>865</v>
      </c>
      <c r="E3068" s="8" t="s">
        <v>12</v>
      </c>
      <c r="F3068" s="8" t="s">
        <v>13</v>
      </c>
      <c r="G3068" s="8" t="s">
        <v>21</v>
      </c>
      <c r="H3068" s="16">
        <v>0.0</v>
      </c>
      <c r="I3068" s="15" t="str">
        <f>SUBSTITUTE(Sheet1!K3068, "Rp", "")</f>
        <v>0</v>
      </c>
    </row>
    <row r="3069">
      <c r="A3069" s="8" t="s">
        <v>4378</v>
      </c>
      <c r="B3069" s="13" t="str">
        <f>HYPERLINK("https://shopee.co.id/HANADA-Ever-Young-Serum-CLEARANCE-SALE-EXP-JULY-2021-i.166666344.2584767991", "https://shopee.co.id/HANADA-Ever-Young-Serum-CLEARANCE-SALE-EXP-JULY-2021-i.166666344.2584767991")</f>
        <v>https://shopee.co.id/HANADA-Ever-Young-Serum-CLEARANCE-SALE-EXP-JULY-2021-i.166666344.2584767991</v>
      </c>
      <c r="C3069" s="8" t="s">
        <v>864</v>
      </c>
      <c r="D3069" s="8" t="s">
        <v>865</v>
      </c>
      <c r="E3069" s="8" t="s">
        <v>12</v>
      </c>
      <c r="F3069" s="8" t="s">
        <v>13</v>
      </c>
      <c r="G3069" s="8" t="s">
        <v>21</v>
      </c>
      <c r="H3069" s="16">
        <v>0.0</v>
      </c>
      <c r="I3069" s="15" t="str">
        <f>SUBSTITUTE(Sheet1!K3069, "Rp", "")</f>
        <v>0</v>
      </c>
    </row>
    <row r="3070">
      <c r="A3070" s="8" t="s">
        <v>4379</v>
      </c>
      <c r="B3070" s="13" t="str">
        <f>HYPERLINK("https://shopee.co.id/HANADA-Glow-Serum-CLEARANCE-SALE-EXP-JULY-2021-i.166666344.2584778101", "https://shopee.co.id/HANADA-Glow-Serum-CLEARANCE-SALE-EXP-JULY-2021-i.166666344.2584778101")</f>
        <v>https://shopee.co.id/HANADA-Glow-Serum-CLEARANCE-SALE-EXP-JULY-2021-i.166666344.2584778101</v>
      </c>
      <c r="C3070" s="8" t="s">
        <v>864</v>
      </c>
      <c r="D3070" s="8" t="s">
        <v>865</v>
      </c>
      <c r="E3070" s="8" t="s">
        <v>12</v>
      </c>
      <c r="F3070" s="8" t="s">
        <v>13</v>
      </c>
      <c r="G3070" s="8" t="s">
        <v>21</v>
      </c>
      <c r="H3070" s="16">
        <v>0.0</v>
      </c>
      <c r="I3070" s="15" t="str">
        <f>SUBSTITUTE(Sheet1!K3070, "Rp", "")</f>
        <v>0</v>
      </c>
    </row>
    <row r="3071">
      <c r="A3071" s="8" t="s">
        <v>4380</v>
      </c>
      <c r="B3071" s="13" t="str">
        <f>HYPERLINK("https://shopee.co.id/HANASUI-Acne-Treatment-Power-Essence-i.187117294.9455903618", "https://shopee.co.id/HANASUI-Acne-Treatment-Power-Essence-i.187117294.9455903618")</f>
        <v>https://shopee.co.id/HANASUI-Acne-Treatment-Power-Essence-i.187117294.9455903618</v>
      </c>
      <c r="C3071" s="8" t="s">
        <v>784</v>
      </c>
      <c r="D3071" s="8" t="s">
        <v>2366</v>
      </c>
      <c r="E3071" s="8" t="s">
        <v>12</v>
      </c>
      <c r="F3071" s="8" t="s">
        <v>13</v>
      </c>
      <c r="G3071" s="8" t="s">
        <v>469</v>
      </c>
      <c r="H3071" s="16">
        <v>0.0</v>
      </c>
      <c r="I3071" s="15" t="str">
        <f>SUBSTITUTE(Sheet1!K3071, "Rp", "")</f>
        <v>0</v>
      </c>
    </row>
    <row r="3072">
      <c r="A3072" s="8" t="s">
        <v>4381</v>
      </c>
      <c r="B3072" s="13" t="str">
        <f>HYPERLINK("https://shopee.co.id/Hanasui-Bright-Up-Serum-i.187117294.5738320609", "https://shopee.co.id/Hanasui-Bright-Up-Serum-i.187117294.5738320609")</f>
        <v>https://shopee.co.id/Hanasui-Bright-Up-Serum-i.187117294.5738320609</v>
      </c>
      <c r="C3072" s="8" t="s">
        <v>784</v>
      </c>
      <c r="D3072" s="8" t="s">
        <v>2366</v>
      </c>
      <c r="E3072" s="8" t="s">
        <v>12</v>
      </c>
      <c r="F3072" s="8" t="s">
        <v>13</v>
      </c>
      <c r="G3072" s="8" t="s">
        <v>469</v>
      </c>
      <c r="H3072" s="16">
        <v>0.0</v>
      </c>
      <c r="I3072" s="15" t="str">
        <f>SUBSTITUTE(Sheet1!K3072, "Rp", "")</f>
        <v>0</v>
      </c>
    </row>
    <row r="3073">
      <c r="A3073" s="8" t="s">
        <v>4382</v>
      </c>
      <c r="B3073" s="13" t="str">
        <f>HYPERLINK("https://shopee.co.id/Hanasui-Bright-Up-Serum-25Ml-i.175375997.7218134315", "https://shopee.co.id/Hanasui-Bright-Up-Serum-25Ml-i.175375997.7218134315")</f>
        <v>https://shopee.co.id/Hanasui-Bright-Up-Serum-25Ml-i.175375997.7218134315</v>
      </c>
      <c r="C3073" s="8" t="s">
        <v>784</v>
      </c>
      <c r="D3073" s="8" t="s">
        <v>2123</v>
      </c>
      <c r="E3073" s="8" t="s">
        <v>12</v>
      </c>
      <c r="F3073" s="8" t="s">
        <v>13</v>
      </c>
      <c r="G3073" s="8" t="s">
        <v>36</v>
      </c>
      <c r="H3073" s="16">
        <v>0.0</v>
      </c>
      <c r="I3073" s="15" t="str">
        <f>SUBSTITUTE(Sheet1!K3073, "Rp", "")</f>
        <v>0</v>
      </c>
    </row>
    <row r="3074">
      <c r="A3074" s="8" t="s">
        <v>4383</v>
      </c>
      <c r="B3074" s="13" t="str">
        <f>HYPERLINK("https://shopee.co.id/HANASUI-Power-Essence-Glow-10-100ml-i.187117294.11804571162", "https://shopee.co.id/HANASUI-Power-Essence-Glow-10-100ml-i.187117294.11804571162")</f>
        <v>https://shopee.co.id/HANASUI-Power-Essence-Glow-10-100ml-i.187117294.11804571162</v>
      </c>
      <c r="C3074" s="8" t="s">
        <v>784</v>
      </c>
      <c r="D3074" s="8" t="s">
        <v>2366</v>
      </c>
      <c r="E3074" s="8" t="s">
        <v>12</v>
      </c>
      <c r="F3074" s="8" t="s">
        <v>13</v>
      </c>
      <c r="G3074" s="8" t="s">
        <v>469</v>
      </c>
      <c r="H3074" s="16">
        <v>0.0</v>
      </c>
      <c r="I3074" s="15" t="str">
        <f>SUBSTITUTE(Sheet1!K3074, "Rp", "")</f>
        <v>0</v>
      </c>
    </row>
    <row r="3075">
      <c r="A3075" s="8" t="s">
        <v>4384</v>
      </c>
      <c r="B3075" s="13" t="str">
        <f>HYPERLINK("https://shopee.co.id/Hanasui-Propolis-Serum-25Ml-i.175375997.7218129318", "https://shopee.co.id/Hanasui-Propolis-Serum-25Ml-i.175375997.7218129318")</f>
        <v>https://shopee.co.id/Hanasui-Propolis-Serum-25Ml-i.175375997.7218129318</v>
      </c>
      <c r="C3075" s="8" t="s">
        <v>784</v>
      </c>
      <c r="D3075" s="8" t="s">
        <v>2123</v>
      </c>
      <c r="E3075" s="8" t="s">
        <v>12</v>
      </c>
      <c r="F3075" s="8" t="s">
        <v>13</v>
      </c>
      <c r="G3075" s="8" t="s">
        <v>36</v>
      </c>
      <c r="H3075" s="16">
        <v>0.0</v>
      </c>
      <c r="I3075" s="15" t="str">
        <f>SUBSTITUTE(Sheet1!K3075, "Rp", "")</f>
        <v>0</v>
      </c>
    </row>
    <row r="3076">
      <c r="A3076" s="8" t="s">
        <v>4385</v>
      </c>
      <c r="B3076" s="13" t="str">
        <f>HYPERLINK("https://shopee.co.id/Hanasui-Rich-Nutrition-Serum-25Ml-i.175375997.5018133718", "https://shopee.co.id/Hanasui-Rich-Nutrition-Serum-25Ml-i.175375997.5018133718")</f>
        <v>https://shopee.co.id/Hanasui-Rich-Nutrition-Serum-25Ml-i.175375997.5018133718</v>
      </c>
      <c r="C3076" s="8" t="s">
        <v>784</v>
      </c>
      <c r="D3076" s="8" t="s">
        <v>2123</v>
      </c>
      <c r="E3076" s="8" t="s">
        <v>12</v>
      </c>
      <c r="F3076" s="8" t="s">
        <v>13</v>
      </c>
      <c r="G3076" s="8" t="s">
        <v>36</v>
      </c>
      <c r="H3076" s="16">
        <v>0.0</v>
      </c>
      <c r="I3076" s="15" t="str">
        <f>SUBSTITUTE(Sheet1!K3076, "Rp", "")</f>
        <v>0</v>
      </c>
    </row>
    <row r="3077">
      <c r="A3077" s="8" t="s">
        <v>4386</v>
      </c>
      <c r="B3077" s="13" t="str">
        <f>HYPERLINK("https://shopee.co.id/Hanasui-Rich-Nutrition-Serum-25Ml-Serum-Wajah-Face-Serum-Mengencangkan-Kulit-i.114789399.6041898726", "https://shopee.co.id/Hanasui-Rich-Nutrition-Serum-25Ml-Serum-Wajah-Face-Serum-Mengencangkan-Kulit-i.114789399.6041898726")</f>
        <v>https://shopee.co.id/Hanasui-Rich-Nutrition-Serum-25Ml-Serum-Wajah-Face-Serum-Mengencangkan-Kulit-i.114789399.6041898726</v>
      </c>
      <c r="C3077" s="8" t="s">
        <v>784</v>
      </c>
      <c r="D3077" s="8" t="s">
        <v>2531</v>
      </c>
      <c r="E3077" s="8" t="s">
        <v>12</v>
      </c>
      <c r="F3077" s="8" t="s">
        <v>13</v>
      </c>
      <c r="G3077" s="8" t="s">
        <v>36</v>
      </c>
      <c r="H3077" s="16">
        <v>0.0</v>
      </c>
      <c r="I3077" s="15" t="str">
        <f>SUBSTITUTE(Sheet1!K3077, "Rp", "")</f>
        <v>0</v>
      </c>
    </row>
    <row r="3078">
      <c r="A3078" s="8" t="s">
        <v>4387</v>
      </c>
      <c r="B3078" s="13" t="str">
        <f>HYPERLINK("https://shopee.co.id/Hanasui-Rich-Nutrition-Serum-25Ml-Serum-Wajah-Face-Serum-Nutrisi-Wajah-i.114789399.6142373913", "https://shopee.co.id/Hanasui-Rich-Nutrition-Serum-25Ml-Serum-Wajah-Face-Serum-Nutrisi-Wajah-i.114789399.6142373913")</f>
        <v>https://shopee.co.id/Hanasui-Rich-Nutrition-Serum-25Ml-Serum-Wajah-Face-Serum-Nutrisi-Wajah-i.114789399.6142373913</v>
      </c>
      <c r="C3078" s="8" t="s">
        <v>784</v>
      </c>
      <c r="D3078" s="8" t="s">
        <v>2531</v>
      </c>
      <c r="E3078" s="8" t="s">
        <v>12</v>
      </c>
      <c r="F3078" s="8" t="s">
        <v>13</v>
      </c>
      <c r="G3078" s="8" t="s">
        <v>36</v>
      </c>
      <c r="H3078" s="16">
        <v>0.0</v>
      </c>
      <c r="I3078" s="15" t="str">
        <f>SUBSTITUTE(Sheet1!K3078, "Rp", "")</f>
        <v>0</v>
      </c>
    </row>
    <row r="3079">
      <c r="A3079" s="8" t="s">
        <v>4388</v>
      </c>
      <c r="B3079" s="13" t="str">
        <f>HYPERLINK("https://shopee.co.id/HANASUI-Serum-i.187117294.6443142006", "https://shopee.co.id/HANASUI-Serum-i.187117294.6443142006")</f>
        <v>https://shopee.co.id/HANASUI-Serum-i.187117294.6443142006</v>
      </c>
      <c r="C3079" s="8" t="s">
        <v>784</v>
      </c>
      <c r="D3079" s="8" t="s">
        <v>2366</v>
      </c>
      <c r="E3079" s="8" t="s">
        <v>12</v>
      </c>
      <c r="F3079" s="8" t="s">
        <v>13</v>
      </c>
      <c r="G3079" s="8" t="s">
        <v>469</v>
      </c>
      <c r="H3079" s="16">
        <v>0.0</v>
      </c>
      <c r="I3079" s="15" t="str">
        <f>SUBSTITUTE(Sheet1!K3079, "Rp", "")</f>
        <v>0</v>
      </c>
    </row>
    <row r="3080">
      <c r="A3080" s="8" t="s">
        <v>3542</v>
      </c>
      <c r="B3080" s="13" t="str">
        <f>HYPERLINK("https://shopee.co.id/HANASUI-Serum-Anti-Acne-Pink-i.258803749.9884771349", "https://shopee.co.id/HANASUI-Serum-Anti-Acne-Pink-i.258803749.9884771349")</f>
        <v>https://shopee.co.id/HANASUI-Serum-Anti-Acne-Pink-i.258803749.9884771349</v>
      </c>
      <c r="C3080" s="8" t="s">
        <v>784</v>
      </c>
      <c r="D3080" s="8" t="s">
        <v>4389</v>
      </c>
      <c r="E3080" s="8" t="s">
        <v>12</v>
      </c>
      <c r="F3080" s="8" t="s">
        <v>13</v>
      </c>
      <c r="G3080" s="8" t="s">
        <v>469</v>
      </c>
      <c r="H3080" s="16">
        <v>0.0</v>
      </c>
      <c r="I3080" s="15" t="str">
        <f>SUBSTITUTE(Sheet1!K3080, "Rp", "")</f>
        <v>0</v>
      </c>
    </row>
    <row r="3081">
      <c r="A3081" s="8" t="s">
        <v>4390</v>
      </c>
      <c r="B3081" s="13" t="str">
        <f>HYPERLINK("https://shopee.co.id/HANASUI-Serum-Vit-C-Collagen-i.68111.11732661861", "https://shopee.co.id/HANASUI-Serum-Vit-C-Collagen-i.68111.11732661861")</f>
        <v>https://shopee.co.id/HANASUI-Serum-Vit-C-Collagen-i.68111.11732661861</v>
      </c>
      <c r="C3081" s="8" t="s">
        <v>784</v>
      </c>
      <c r="D3081" s="8" t="s">
        <v>441</v>
      </c>
      <c r="E3081" s="8" t="s">
        <v>12</v>
      </c>
      <c r="F3081" s="8" t="s">
        <v>13</v>
      </c>
      <c r="G3081" s="8" t="s">
        <v>130</v>
      </c>
      <c r="H3081" s="16">
        <v>0.0</v>
      </c>
      <c r="I3081" s="15" t="str">
        <f>SUBSTITUTE(Sheet1!K3081, "Rp", "")</f>
        <v>0</v>
      </c>
    </row>
    <row r="3082">
      <c r="A3082" s="8" t="s">
        <v>4391</v>
      </c>
      <c r="B3082" s="13" t="str">
        <f>HYPERLINK("https://shopee.co.id/Hanasui-Serum-Vitamin-C-Collagen-Serum-Wajah-20Ml-i.164238909.6163572091", "https://shopee.co.id/Hanasui-Serum-Vitamin-C-Collagen-Serum-Wajah-20Ml-i.164238909.6163572091")</f>
        <v>https://shopee.co.id/Hanasui-Serum-Vitamin-C-Collagen-Serum-Wajah-20Ml-i.164238909.6163572091</v>
      </c>
      <c r="C3082" s="8" t="s">
        <v>784</v>
      </c>
      <c r="D3082" s="8" t="s">
        <v>4108</v>
      </c>
      <c r="E3082" s="8" t="s">
        <v>12</v>
      </c>
      <c r="F3082" s="8" t="s">
        <v>13</v>
      </c>
      <c r="G3082" s="8" t="s">
        <v>350</v>
      </c>
      <c r="H3082" s="16">
        <v>0.0</v>
      </c>
      <c r="I3082" s="15" t="str">
        <f>SUBSTITUTE(Sheet1!K3082, "Rp", "")</f>
        <v>0</v>
      </c>
    </row>
    <row r="3083">
      <c r="A3083" s="8" t="s">
        <v>3854</v>
      </c>
      <c r="B3083" s="13" t="str">
        <f>HYPERLINK("https://shopee.co.id/Hanasui-Serum-Vitamin-C-20ml-417914--i.16735262.3965354943", "https://shopee.co.id/Hanasui-Serum-Vitamin-C-20ml-417914--i.16735262.3965354943")</f>
        <v>https://shopee.co.id/Hanasui-Serum-Vitamin-C-20ml-417914--i.16735262.3965354943</v>
      </c>
      <c r="C3083" s="8" t="s">
        <v>784</v>
      </c>
      <c r="D3083" s="8" t="s">
        <v>3598</v>
      </c>
      <c r="E3083" s="8" t="s">
        <v>12</v>
      </c>
      <c r="F3083" s="8" t="s">
        <v>13</v>
      </c>
      <c r="G3083" s="8" t="s">
        <v>36</v>
      </c>
      <c r="H3083" s="16">
        <v>0.0</v>
      </c>
      <c r="I3083" s="15" t="str">
        <f>SUBSTITUTE(Sheet1!K3083, "Rp", "")</f>
        <v>0</v>
      </c>
    </row>
    <row r="3084">
      <c r="A3084" s="8" t="s">
        <v>4392</v>
      </c>
      <c r="B3084" s="13" t="str">
        <f>HYPERLINK("https://shopee.co.id/HAPLE-Centella-Cloud-Booster-i.68111.9612285296", "https://shopee.co.id/HAPLE-Centella-Cloud-Booster-i.68111.9612285296")</f>
        <v>https://shopee.co.id/HAPLE-Centella-Cloud-Booster-i.68111.9612285296</v>
      </c>
      <c r="C3084" s="8" t="s">
        <v>1415</v>
      </c>
      <c r="D3084" s="8" t="s">
        <v>441</v>
      </c>
      <c r="E3084" s="8" t="s">
        <v>12</v>
      </c>
      <c r="F3084" s="8" t="s">
        <v>13</v>
      </c>
      <c r="G3084" s="8" t="s">
        <v>130</v>
      </c>
      <c r="H3084" s="16">
        <v>0.0</v>
      </c>
      <c r="I3084" s="15" t="str">
        <f>SUBSTITUTE(Sheet1!K3084, "Rp", "")</f>
        <v>0</v>
      </c>
    </row>
    <row r="3085">
      <c r="A3085" s="8" t="s">
        <v>4393</v>
      </c>
      <c r="B3085" s="13" t="str">
        <f>HYPERLINK("https://shopee.co.id/Haple-Cloud-Glow-Booster-30mL-i.825870.2797903994", "https://shopee.co.id/Haple-Cloud-Glow-Booster-30mL-i.825870.2797903994")</f>
        <v>https://shopee.co.id/Haple-Cloud-Glow-Booster-30mL-i.825870.2797903994</v>
      </c>
      <c r="C3085" s="8" t="s">
        <v>1415</v>
      </c>
      <c r="D3085" s="8" t="s">
        <v>1184</v>
      </c>
      <c r="E3085" s="8" t="s">
        <v>12</v>
      </c>
      <c r="F3085" s="8" t="s">
        <v>13</v>
      </c>
      <c r="G3085" s="8" t="s">
        <v>21</v>
      </c>
      <c r="H3085" s="16">
        <v>0.0</v>
      </c>
      <c r="I3085" s="15" t="str">
        <f>SUBSTITUTE(Sheet1!K3085, "Rp", "")</f>
        <v>0</v>
      </c>
    </row>
    <row r="3086">
      <c r="A3086" s="8" t="s">
        <v>4394</v>
      </c>
      <c r="B3086" s="13" t="str">
        <f>HYPERLINK("https://shopee.co.id/Haple-La-Luna-Anti-Aging-Serum-30ml-i.825870.7357097093", "https://shopee.co.id/Haple-La-Luna-Anti-Aging-Serum-30ml-i.825870.7357097093")</f>
        <v>https://shopee.co.id/Haple-La-Luna-Anti-Aging-Serum-30ml-i.825870.7357097093</v>
      </c>
      <c r="C3086" s="8" t="s">
        <v>1415</v>
      </c>
      <c r="D3086" s="8" t="s">
        <v>1184</v>
      </c>
      <c r="E3086" s="8" t="s">
        <v>12</v>
      </c>
      <c r="F3086" s="8" t="s">
        <v>13</v>
      </c>
      <c r="G3086" s="8" t="s">
        <v>21</v>
      </c>
      <c r="H3086" s="16">
        <v>0.0</v>
      </c>
      <c r="I3086" s="15" t="str">
        <f>SUBSTITUTE(Sheet1!K3086, "Rp", "")</f>
        <v>0</v>
      </c>
    </row>
    <row r="3087">
      <c r="A3087" s="8" t="s">
        <v>4395</v>
      </c>
      <c r="B3087" s="13" t="str">
        <f>HYPERLINK("https://shopee.co.id/Haple-La-Luna-Anti-Aging-Serum-i.68111.8812284300", "https://shopee.co.id/Haple-La-Luna-Anti-Aging-Serum-i.68111.8812284300")</f>
        <v>https://shopee.co.id/Haple-La-Luna-Anti-Aging-Serum-i.68111.8812284300</v>
      </c>
      <c r="C3087" s="8" t="s">
        <v>1415</v>
      </c>
      <c r="D3087" s="8" t="s">
        <v>441</v>
      </c>
      <c r="E3087" s="8" t="s">
        <v>12</v>
      </c>
      <c r="F3087" s="8" t="s">
        <v>13</v>
      </c>
      <c r="G3087" s="8" t="s">
        <v>130</v>
      </c>
      <c r="H3087" s="16">
        <v>0.0</v>
      </c>
      <c r="I3087" s="15" t="str">
        <f>SUBSTITUTE(Sheet1!K3087, "Rp", "")</f>
        <v>0</v>
      </c>
    </row>
    <row r="3088">
      <c r="A3088" s="8" t="s">
        <v>4396</v>
      </c>
      <c r="B3088" s="13" t="str">
        <f>HYPERLINK("https://shopee.co.id/Haple-La-Luna-Anti-Aging-Serum-30ml-i.136011044.8812394631", "https://shopee.co.id/Haple-La-Luna-Anti-Aging-Serum-30ml-i.136011044.8812394631")</f>
        <v>https://shopee.co.id/Haple-La-Luna-Anti-Aging-Serum-30ml-i.136011044.8812394631</v>
      </c>
      <c r="C3088" s="8" t="s">
        <v>4397</v>
      </c>
      <c r="D3088" s="8" t="s">
        <v>632</v>
      </c>
      <c r="E3088" s="8" t="s">
        <v>12</v>
      </c>
      <c r="F3088" s="8" t="s">
        <v>13</v>
      </c>
      <c r="G3088" s="8" t="s">
        <v>21</v>
      </c>
      <c r="H3088" s="16">
        <v>0.0</v>
      </c>
      <c r="I3088" s="15" t="str">
        <f>SUBSTITUTE(Sheet1!K3088, "Rp", "")</f>
        <v>0</v>
      </c>
    </row>
    <row r="3089">
      <c r="A3089" s="8" t="s">
        <v>4398</v>
      </c>
      <c r="B3089" s="13" t="str">
        <f>HYPERLINK("https://shopee.co.id/Haple-Rose-Cloud-Glow-Booster-30ml-i.825870.2797886472", "https://shopee.co.id/Haple-Rose-Cloud-Glow-Booster-30ml-i.825870.2797886472")</f>
        <v>https://shopee.co.id/Haple-Rose-Cloud-Glow-Booster-30ml-i.825870.2797886472</v>
      </c>
      <c r="C3089" s="8" t="s">
        <v>1415</v>
      </c>
      <c r="D3089" s="8" t="s">
        <v>1184</v>
      </c>
      <c r="E3089" s="8" t="s">
        <v>12</v>
      </c>
      <c r="F3089" s="8" t="s">
        <v>13</v>
      </c>
      <c r="G3089" s="8" t="s">
        <v>21</v>
      </c>
      <c r="H3089" s="16">
        <v>0.0</v>
      </c>
      <c r="I3089" s="15" t="str">
        <f>SUBSTITUTE(Sheet1!K3089, "Rp", "")</f>
        <v>0</v>
      </c>
    </row>
    <row r="3090">
      <c r="A3090" s="8" t="s">
        <v>4399</v>
      </c>
      <c r="B3090" s="13" t="str">
        <f>HYPERLINK("https://shopee.co.id/Haple-Silver-Moon-Calming-Serum-30ml-i.136011044.4488313862", "https://shopee.co.id/Haple-Silver-Moon-Calming-Serum-30ml-i.136011044.4488313862")</f>
        <v>https://shopee.co.id/Haple-Silver-Moon-Calming-Serum-30ml-i.136011044.4488313862</v>
      </c>
      <c r="C3090" s="8" t="s">
        <v>1415</v>
      </c>
      <c r="D3090" s="8" t="s">
        <v>632</v>
      </c>
      <c r="E3090" s="8" t="s">
        <v>12</v>
      </c>
      <c r="F3090" s="8" t="s">
        <v>13</v>
      </c>
      <c r="G3090" s="8" t="s">
        <v>21</v>
      </c>
      <c r="H3090" s="16">
        <v>0.0</v>
      </c>
      <c r="I3090" s="15" t="str">
        <f>SUBSTITUTE(Sheet1!K3090, "Rp", "")</f>
        <v>0</v>
      </c>
    </row>
    <row r="3091">
      <c r="A3091" s="8" t="s">
        <v>4400</v>
      </c>
      <c r="B3091" s="13" t="str">
        <f>HYPERLINK("https://shopee.co.id/HAPLE-Silvermoon-Serum-30ml-i.68111.8953277232", "https://shopee.co.id/HAPLE-Silvermoon-Serum-30ml-i.68111.8953277232")</f>
        <v>https://shopee.co.id/HAPLE-Silvermoon-Serum-30ml-i.68111.8953277232</v>
      </c>
      <c r="C3091" s="8" t="s">
        <v>1415</v>
      </c>
      <c r="D3091" s="8" t="s">
        <v>441</v>
      </c>
      <c r="E3091" s="8" t="s">
        <v>12</v>
      </c>
      <c r="F3091" s="8" t="s">
        <v>13</v>
      </c>
      <c r="G3091" s="8" t="s">
        <v>130</v>
      </c>
      <c r="H3091" s="16">
        <v>0.0</v>
      </c>
      <c r="I3091" s="15" t="str">
        <f>SUBSTITUTE(Sheet1!K3091, "Rp", "")</f>
        <v>0</v>
      </c>
    </row>
    <row r="3092">
      <c r="A3092" s="8" t="s">
        <v>4401</v>
      </c>
      <c r="B3092" s="13" t="str">
        <f>HYPERLINK("https://shopee.co.id/Harlette-Waterymelon-Deep-Hydration-Emulsion-30ml-i.825870.5254294793", "https://shopee.co.id/Harlette-Waterymelon-Deep-Hydration-Emulsion-30ml-i.825870.5254294793")</f>
        <v>https://shopee.co.id/Harlette-Waterymelon-Deep-Hydration-Emulsion-30ml-i.825870.5254294793</v>
      </c>
      <c r="C3092" s="8" t="s">
        <v>4402</v>
      </c>
      <c r="D3092" s="8" t="s">
        <v>1184</v>
      </c>
      <c r="E3092" s="8" t="s">
        <v>12</v>
      </c>
      <c r="F3092" s="8" t="s">
        <v>13</v>
      </c>
      <c r="G3092" s="8" t="s">
        <v>21</v>
      </c>
      <c r="H3092" s="16">
        <v>0.0</v>
      </c>
      <c r="I3092" s="15" t="str">
        <f>SUBSTITUTE(Sheet1!K3092, "Rp", "")</f>
        <v>0</v>
      </c>
    </row>
    <row r="3093">
      <c r="A3093" s="8" t="s">
        <v>4403</v>
      </c>
      <c r="B3093" s="13" t="str">
        <f>HYPERLINK("https://shopee.co.id/Haum-C-Serum-Vitamin-C-15-28ml-i.825870.9618231303", "https://shopee.co.id/Haum-C-Serum-Vitamin-C-15-28ml-i.825870.9618231303")</f>
        <v>https://shopee.co.id/Haum-C-Serum-Vitamin-C-15-28ml-i.825870.9618231303</v>
      </c>
      <c r="C3093" s="8" t="s">
        <v>1144</v>
      </c>
      <c r="D3093" s="8" t="s">
        <v>1184</v>
      </c>
      <c r="E3093" s="8" t="s">
        <v>12</v>
      </c>
      <c r="F3093" s="8" t="s">
        <v>13</v>
      </c>
      <c r="G3093" s="8" t="s">
        <v>21</v>
      </c>
      <c r="H3093" s="16">
        <v>0.0</v>
      </c>
      <c r="I3093" s="15" t="str">
        <f>SUBSTITUTE(Sheet1!K3093, "Rp", "")</f>
        <v>0</v>
      </c>
    </row>
    <row r="3094">
      <c r="A3094" s="8" t="s">
        <v>4404</v>
      </c>
      <c r="B3094" s="13" t="str">
        <f>HYPERLINK("https://shopee.co.id/HEIMISH-Bulgarian-Rose-Mist-Serum-55ml-CHECKOUT-RP-1000--i.261507182.11126340517", "https://shopee.co.id/HEIMISH-Bulgarian-Rose-Mist-Serum-55ml-CHECKOUT-RP-1000--i.261507182.11126340517")</f>
        <v>https://shopee.co.id/HEIMISH-Bulgarian-Rose-Mist-Serum-55ml-CHECKOUT-RP-1000--i.261507182.11126340517</v>
      </c>
      <c r="C3094" s="8" t="s">
        <v>3313</v>
      </c>
      <c r="D3094" s="8" t="s">
        <v>4405</v>
      </c>
      <c r="E3094" s="8" t="s">
        <v>12</v>
      </c>
      <c r="F3094" s="8" t="s">
        <v>13</v>
      </c>
      <c r="G3094" s="8" t="s">
        <v>80</v>
      </c>
      <c r="H3094" s="16">
        <v>0.0</v>
      </c>
      <c r="I3094" s="15" t="str">
        <f>SUBSTITUTE(Sheet1!K3094, "Rp", "")</f>
        <v>0</v>
      </c>
    </row>
    <row r="3095">
      <c r="A3095" s="8" t="s">
        <v>4406</v>
      </c>
      <c r="B3095" s="13" t="str">
        <f>HYPERLINK("https://shopee.co.id/HISTOIRE-NATURELLE-Ectoin-Hydra-Sooth-Mild-Serum-30ml--i.315746431.5056043675", "https://shopee.co.id/HISTOIRE-NATURELLE-Ectoin-Hydra-Sooth-Mild-Serum-30ml--i.315746431.5056043675")</f>
        <v>https://shopee.co.id/HISTOIRE-NATURELLE-Ectoin-Hydra-Sooth-Mild-Serum-30ml--i.315746431.5056043675</v>
      </c>
      <c r="C3095" s="8" t="s">
        <v>1854</v>
      </c>
      <c r="D3095" s="8" t="s">
        <v>1855</v>
      </c>
      <c r="E3095" s="8" t="s">
        <v>12</v>
      </c>
      <c r="F3095" s="8" t="s">
        <v>13</v>
      </c>
      <c r="G3095" s="8" t="s">
        <v>130</v>
      </c>
      <c r="H3095" s="16">
        <v>0.0</v>
      </c>
      <c r="I3095" s="15" t="str">
        <f>SUBSTITUTE(Sheet1!K3095, "Rp", "")</f>
        <v>0</v>
      </c>
    </row>
    <row r="3096">
      <c r="A3096" s="8" t="s">
        <v>4407</v>
      </c>
      <c r="B3096" s="13" t="str">
        <f>HYPERLINK("https://shopee.co.id/Holika-Holika-3-Seconds-Starter-Hyaluronic-Acid-i.18856010.2846844347", "https://shopee.co.id/Holika-Holika-3-Seconds-Starter-Hyaluronic-Acid-i.18856010.2846844347")</f>
        <v>https://shopee.co.id/Holika-Holika-3-Seconds-Starter-Hyaluronic-Acid-i.18856010.2846844347</v>
      </c>
      <c r="C3096" s="8" t="s">
        <v>2265</v>
      </c>
      <c r="D3096" s="8" t="s">
        <v>2266</v>
      </c>
      <c r="E3096" s="8" t="s">
        <v>12</v>
      </c>
      <c r="F3096" s="8" t="s">
        <v>13</v>
      </c>
      <c r="G3096" s="8" t="s">
        <v>21</v>
      </c>
      <c r="H3096" s="16">
        <v>0.0</v>
      </c>
      <c r="I3096" s="15" t="str">
        <f>SUBSTITUTE(Sheet1!K3096, "Rp", "")</f>
        <v>0</v>
      </c>
    </row>
    <row r="3097">
      <c r="A3097" s="8" t="s">
        <v>4408</v>
      </c>
      <c r="B3097" s="13" t="str">
        <f>HYPERLINK("https://shopee.co.id/Holika-Holika-3-Seconds-Starter-Vita-C-i.18856010.2846860654", "https://shopee.co.id/Holika-Holika-3-Seconds-Starter-Vita-C-i.18856010.2846860654")</f>
        <v>https://shopee.co.id/Holika-Holika-3-Seconds-Starter-Vita-C-i.18856010.2846860654</v>
      </c>
      <c r="C3097" s="8" t="s">
        <v>2265</v>
      </c>
      <c r="D3097" s="8" t="s">
        <v>2266</v>
      </c>
      <c r="E3097" s="8" t="s">
        <v>12</v>
      </c>
      <c r="F3097" s="8" t="s">
        <v>13</v>
      </c>
      <c r="G3097" s="8" t="s">
        <v>21</v>
      </c>
      <c r="H3097" s="16">
        <v>0.0</v>
      </c>
      <c r="I3097" s="15" t="str">
        <f>SUBSTITUTE(Sheet1!K3097, "Rp", "")</f>
        <v>0</v>
      </c>
    </row>
    <row r="3098">
      <c r="A3098" s="8" t="s">
        <v>4409</v>
      </c>
      <c r="B3098" s="13" t="str">
        <f>HYPERLINK("https://shopee.co.id/Holika-Holika-Aloe-Soothing-Essence-90-Emulsion-i.18856010.1583264004", "https://shopee.co.id/Holika-Holika-Aloe-Soothing-Essence-90-Emulsion-i.18856010.1583264004")</f>
        <v>https://shopee.co.id/Holika-Holika-Aloe-Soothing-Essence-90-Emulsion-i.18856010.1583264004</v>
      </c>
      <c r="C3098" s="8" t="s">
        <v>2265</v>
      </c>
      <c r="D3098" s="8" t="s">
        <v>2266</v>
      </c>
      <c r="E3098" s="8" t="s">
        <v>12</v>
      </c>
      <c r="F3098" s="8" t="s">
        <v>13</v>
      </c>
      <c r="G3098" s="8" t="s">
        <v>21</v>
      </c>
      <c r="H3098" s="16">
        <v>0.0</v>
      </c>
      <c r="I3098" s="15" t="str">
        <f>SUBSTITUTE(Sheet1!K3098, "Rp", "")</f>
        <v>0</v>
      </c>
    </row>
    <row r="3099">
      <c r="A3099" s="8" t="s">
        <v>4410</v>
      </c>
      <c r="B3099" s="13" t="str">
        <f>HYPERLINK("https://shopee.co.id/Holika-Holika-Less-on-Skin-Redness-Calming-CICA-Serum-i.18856010.4218620772", "https://shopee.co.id/Holika-Holika-Less-on-Skin-Redness-Calming-CICA-Serum-i.18856010.4218620772")</f>
        <v>https://shopee.co.id/Holika-Holika-Less-on-Skin-Redness-Calming-CICA-Serum-i.18856010.4218620772</v>
      </c>
      <c r="C3099" s="8" t="s">
        <v>2265</v>
      </c>
      <c r="D3099" s="8" t="s">
        <v>2266</v>
      </c>
      <c r="E3099" s="8" t="s">
        <v>12</v>
      </c>
      <c r="F3099" s="8" t="s">
        <v>13</v>
      </c>
      <c r="G3099" s="8" t="s">
        <v>21</v>
      </c>
      <c r="H3099" s="16">
        <v>0.0</v>
      </c>
      <c r="I3099" s="15" t="str">
        <f>SUBSTITUTE(Sheet1!K3099, "Rp", "")</f>
        <v>0</v>
      </c>
    </row>
    <row r="3100">
      <c r="A3100" s="8" t="s">
        <v>4411</v>
      </c>
      <c r="B3100" s="13" t="str">
        <f>HYPERLINK("https://shopee.co.id/Holika-Holika-Pure-Essence-Mugwort-Bubble-Cleansing-Pack-12pcs--i.18856010.3956821796", "https://shopee.co.id/Holika-Holika-Pure-Essence-Mugwort-Bubble-Cleansing-Pack-12pcs--i.18856010.3956821796")</f>
        <v>https://shopee.co.id/Holika-Holika-Pure-Essence-Mugwort-Bubble-Cleansing-Pack-12pcs--i.18856010.3956821796</v>
      </c>
      <c r="C3100" s="8" t="s">
        <v>2265</v>
      </c>
      <c r="D3100" s="8" t="s">
        <v>2266</v>
      </c>
      <c r="E3100" s="8" t="s">
        <v>12</v>
      </c>
      <c r="F3100" s="8" t="s">
        <v>13</v>
      </c>
      <c r="G3100" s="8" t="s">
        <v>21</v>
      </c>
      <c r="H3100" s="16">
        <v>0.0</v>
      </c>
      <c r="I3100" s="15" t="str">
        <f>SUBSTITUTE(Sheet1!K3100, "Rp", "")</f>
        <v>0</v>
      </c>
    </row>
    <row r="3101">
      <c r="A3101" s="8" t="s">
        <v>4412</v>
      </c>
      <c r="B3101" s="13" t="str">
        <f>HYPERLINK("https://shopee.co.id/Holika-Holika-Water-Mellow-Tone-Up-Serum-i.18856010.8265738443", "https://shopee.co.id/Holika-Holika-Water-Mellow-Tone-Up-Serum-i.18856010.8265738443")</f>
        <v>https://shopee.co.id/Holika-Holika-Water-Mellow-Tone-Up-Serum-i.18856010.8265738443</v>
      </c>
      <c r="C3101" s="8" t="s">
        <v>2265</v>
      </c>
      <c r="D3101" s="8" t="s">
        <v>2266</v>
      </c>
      <c r="E3101" s="8" t="s">
        <v>12</v>
      </c>
      <c r="F3101" s="8" t="s">
        <v>13</v>
      </c>
      <c r="G3101" s="8" t="s">
        <v>21</v>
      </c>
      <c r="H3101" s="16">
        <v>0.0</v>
      </c>
      <c r="I3101" s="15" t="str">
        <f>SUBSTITUTE(Sheet1!K3101, "Rp", "")</f>
        <v>0</v>
      </c>
    </row>
    <row r="3102">
      <c r="A3102" s="8" t="s">
        <v>4413</v>
      </c>
      <c r="B3102" s="13" t="str">
        <f>HYPERLINK("https://shopee.co.id/Humphrey-Acne-T-Tre-Serum-20ml-i.121791179.1863486741", "https://shopee.co.id/Humphrey-Acne-T-Tre-Serum-20ml-i.121791179.1863486741")</f>
        <v>https://shopee.co.id/Humphrey-Acne-T-Tre-Serum-20ml-i.121791179.1863486741</v>
      </c>
      <c r="C3102" s="8" t="s">
        <v>1832</v>
      </c>
      <c r="D3102" s="8" t="s">
        <v>1733</v>
      </c>
      <c r="E3102" s="8" t="s">
        <v>12</v>
      </c>
      <c r="F3102" s="8" t="s">
        <v>13</v>
      </c>
      <c r="G3102" s="8" t="s">
        <v>36</v>
      </c>
      <c r="H3102" s="16">
        <v>0.0</v>
      </c>
      <c r="I3102" s="15" t="str">
        <f>SUBSTITUTE(Sheet1!K3102, "Rp", "")</f>
        <v>0</v>
      </c>
    </row>
    <row r="3103">
      <c r="A3103" s="8" t="s">
        <v>4414</v>
      </c>
      <c r="B3103" s="13" t="str">
        <f>HYPERLINK("https://shopee.co.id/Humphrey-Golden-Serum-Wht-25ml-i.121791179.1863486760", "https://shopee.co.id/Humphrey-Golden-Serum-Wht-25ml-i.121791179.1863486760")</f>
        <v>https://shopee.co.id/Humphrey-Golden-Serum-Wht-25ml-i.121791179.1863486760</v>
      </c>
      <c r="C3103" s="8" t="s">
        <v>4415</v>
      </c>
      <c r="D3103" s="8" t="s">
        <v>1733</v>
      </c>
      <c r="E3103" s="8" t="s">
        <v>12</v>
      </c>
      <c r="F3103" s="8" t="s">
        <v>13</v>
      </c>
      <c r="G3103" s="8" t="s">
        <v>36</v>
      </c>
      <c r="H3103" s="16">
        <v>0.0</v>
      </c>
      <c r="I3103" s="15" t="str">
        <f>SUBSTITUTE(Sheet1!K3103, "Rp", "")</f>
        <v>0</v>
      </c>
    </row>
    <row r="3104">
      <c r="A3104" s="8" t="s">
        <v>4416</v>
      </c>
      <c r="B3104" s="13" t="str">
        <f>HYPERLINK("https://shopee.co.id/Humphrey-Niacinamide-10-Hyarulonic-Acid-Serum-10-mL-Serum-Wajah-i.18163317.4725094093", "https://shopee.co.id/Humphrey-Niacinamide-10-Hyarulonic-Acid-Serum-10-mL-Serum-Wajah-i.18163317.4725094093")</f>
        <v>https://shopee.co.id/Humphrey-Niacinamide-10-Hyarulonic-Acid-Serum-10-mL-Serum-Wajah-i.18163317.4725094093</v>
      </c>
      <c r="C3104" s="8" t="s">
        <v>1832</v>
      </c>
      <c r="D3104" s="8" t="s">
        <v>3715</v>
      </c>
      <c r="E3104" s="8" t="s">
        <v>12</v>
      </c>
      <c r="F3104" s="8" t="s">
        <v>13</v>
      </c>
      <c r="G3104" s="8" t="s">
        <v>98</v>
      </c>
      <c r="H3104" s="16">
        <v>0.0</v>
      </c>
      <c r="I3104" s="15" t="str">
        <f>SUBSTITUTE(Sheet1!K3104, "Rp", "")</f>
        <v>0</v>
      </c>
    </row>
    <row r="3105">
      <c r="A3105" s="8" t="s">
        <v>4417</v>
      </c>
      <c r="B3105" s="13" t="str">
        <f>HYPERLINK("https://shopee.co.id/HUMPHREY-Serum-Vitamin-C-Whitening-Plus-20ml-i.68111.8862583305", "https://shopee.co.id/HUMPHREY-Serum-Vitamin-C-Whitening-Plus-20ml-i.68111.8862583305")</f>
        <v>https://shopee.co.id/HUMPHREY-Serum-Vitamin-C-Whitening-Plus-20ml-i.68111.8862583305</v>
      </c>
      <c r="C3105" s="8" t="s">
        <v>1832</v>
      </c>
      <c r="D3105" s="8" t="s">
        <v>441</v>
      </c>
      <c r="E3105" s="8" t="s">
        <v>12</v>
      </c>
      <c r="F3105" s="8" t="s">
        <v>13</v>
      </c>
      <c r="G3105" s="8" t="s">
        <v>130</v>
      </c>
      <c r="H3105" s="16">
        <v>0.0</v>
      </c>
      <c r="I3105" s="15" t="str">
        <f>SUBSTITUTE(Sheet1!K3105, "Rp", "")</f>
        <v>0</v>
      </c>
    </row>
    <row r="3106">
      <c r="A3106" s="8" t="s">
        <v>4418</v>
      </c>
      <c r="B3106" s="13" t="str">
        <f>HYPERLINK("https://shopee.co.id/Humphrey-Vitamin-C-Whitening-Serum-20ml-i.121791179.1863486758", "https://shopee.co.id/Humphrey-Vitamin-C-Whitening-Serum-20ml-i.121791179.1863486758")</f>
        <v>https://shopee.co.id/Humphrey-Vitamin-C-Whitening-Serum-20ml-i.121791179.1863486758</v>
      </c>
      <c r="C3106" s="8" t="s">
        <v>1832</v>
      </c>
      <c r="D3106" s="8" t="s">
        <v>1733</v>
      </c>
      <c r="E3106" s="8" t="s">
        <v>12</v>
      </c>
      <c r="F3106" s="8" t="s">
        <v>13</v>
      </c>
      <c r="G3106" s="8" t="s">
        <v>36</v>
      </c>
      <c r="H3106" s="16">
        <v>0.0</v>
      </c>
      <c r="I3106" s="15" t="str">
        <f>SUBSTITUTE(Sheet1!K3106, "Rp", "")</f>
        <v>0</v>
      </c>
    </row>
    <row r="3107">
      <c r="A3107" s="8" t="s">
        <v>1883</v>
      </c>
      <c r="B3107" s="13" t="str">
        <f>HYPERLINK("https://shopee.co.id/HUXLEY-Essence-Brightly-Ever-After-30ml-i.68111.418894691", "https://shopee.co.id/HUXLEY-Essence-Brightly-Ever-After-30ml-i.68111.418894691")</f>
        <v>https://shopee.co.id/HUXLEY-Essence-Brightly-Ever-After-30ml-i.68111.418894691</v>
      </c>
      <c r="C3107" s="8" t="s">
        <v>1635</v>
      </c>
      <c r="D3107" s="8" t="s">
        <v>441</v>
      </c>
      <c r="E3107" s="8" t="s">
        <v>12</v>
      </c>
      <c r="F3107" s="8" t="s">
        <v>13</v>
      </c>
      <c r="G3107" s="8" t="s">
        <v>130</v>
      </c>
      <c r="H3107" s="16">
        <v>0.0</v>
      </c>
      <c r="I3107" s="15" t="str">
        <f>SUBSTITUTE(Sheet1!K3107, "Rp", "")</f>
        <v>0</v>
      </c>
    </row>
    <row r="3108">
      <c r="A3108" s="8" t="s">
        <v>4419</v>
      </c>
      <c r="B3108" s="13" t="str">
        <f>HYPERLINK("https://shopee.co.id/HUXLEY-ESSENCE-GRAB-WATER-30ml-i.68111.1199488737", "https://shopee.co.id/HUXLEY-ESSENCE-GRAB-WATER-30ml-i.68111.1199488737")</f>
        <v>https://shopee.co.id/HUXLEY-ESSENCE-GRAB-WATER-30ml-i.68111.1199488737</v>
      </c>
      <c r="C3108" s="8" t="s">
        <v>1635</v>
      </c>
      <c r="D3108" s="8" t="s">
        <v>441</v>
      </c>
      <c r="E3108" s="8" t="s">
        <v>12</v>
      </c>
      <c r="F3108" s="8" t="s">
        <v>13</v>
      </c>
      <c r="G3108" s="8" t="s">
        <v>130</v>
      </c>
      <c r="H3108" s="16">
        <v>0.0</v>
      </c>
      <c r="I3108" s="15" t="str">
        <f>SUBSTITUTE(Sheet1!K3108, "Rp", "")</f>
        <v>0</v>
      </c>
    </row>
    <row r="3109">
      <c r="A3109" s="8" t="s">
        <v>4420</v>
      </c>
      <c r="B3109" s="13" t="str">
        <f>HYPERLINK("https://shopee.co.id/Huxley-Oil-Essence-30Ml-i.186214521.7225661600", "https://shopee.co.id/Huxley-Oil-Essence-30Ml-i.186214521.7225661600")</f>
        <v>https://shopee.co.id/Huxley-Oil-Essence-30Ml-i.186214521.7225661600</v>
      </c>
      <c r="C3109" s="8" t="s">
        <v>1635</v>
      </c>
      <c r="D3109" s="8" t="s">
        <v>2293</v>
      </c>
      <c r="E3109" s="8" t="s">
        <v>12</v>
      </c>
      <c r="F3109" s="8" t="s">
        <v>13</v>
      </c>
      <c r="G3109" s="8" t="s">
        <v>61</v>
      </c>
      <c r="H3109" s="16">
        <v>0.0</v>
      </c>
      <c r="I3109" s="15" t="str">
        <f>SUBSTITUTE(Sheet1!K3109, "Rp", "")</f>
        <v>0</v>
      </c>
    </row>
    <row r="3110">
      <c r="A3110" s="8" t="s">
        <v>4421</v>
      </c>
      <c r="B3110" s="13" t="str">
        <f>HYPERLINK("https://shopee.co.id/Huxley-Secret-of-Sahara-Essence-Grab-Water-30ml-i.825870.2033460003", "https://shopee.co.id/Huxley-Secret-of-Sahara-Essence-Grab-Water-30ml-i.825870.2033460003")</f>
        <v>https://shopee.co.id/Huxley-Secret-of-Sahara-Essence-Grab-Water-30ml-i.825870.2033460003</v>
      </c>
      <c r="C3110" s="8" t="s">
        <v>1635</v>
      </c>
      <c r="D3110" s="8" t="s">
        <v>1184</v>
      </c>
      <c r="E3110" s="8" t="s">
        <v>12</v>
      </c>
      <c r="F3110" s="8" t="s">
        <v>13</v>
      </c>
      <c r="G3110" s="8" t="s">
        <v>21</v>
      </c>
      <c r="H3110" s="16">
        <v>0.0</v>
      </c>
      <c r="I3110" s="15" t="str">
        <f>SUBSTITUTE(Sheet1!K3110, "Rp", "")</f>
        <v>0</v>
      </c>
    </row>
    <row r="3111">
      <c r="A3111" s="8" t="s">
        <v>4422</v>
      </c>
      <c r="B3111" s="13" t="str">
        <f>HYPERLINK("https://shopee.co.id/Hyalon-Active-10-Blue-Capsule-Serum-With-Mask-Sheet-Set-i.78838801.8441469542", "https://shopee.co.id/Hyalon-Active-10-Blue-Capsule-Serum-With-Mask-Sheet-Set-i.78838801.8441469542")</f>
        <v>https://shopee.co.id/Hyalon-Active-10-Blue-Capsule-Serum-With-Mask-Sheet-Set-i.78838801.8441469542</v>
      </c>
      <c r="C3111" s="8" t="s">
        <v>1079</v>
      </c>
      <c r="D3111" s="8" t="s">
        <v>1080</v>
      </c>
      <c r="E3111" s="8" t="s">
        <v>12</v>
      </c>
      <c r="F3111" s="8" t="s">
        <v>13</v>
      </c>
      <c r="G3111" s="8" t="s">
        <v>532</v>
      </c>
      <c r="H3111" s="16">
        <v>0.0</v>
      </c>
      <c r="I3111" s="15" t="str">
        <f>SUBSTITUTE(Sheet1!K3111, "Rp", "")</f>
        <v>0</v>
      </c>
    </row>
    <row r="3112">
      <c r="A3112" s="8" t="s">
        <v>4423</v>
      </c>
      <c r="B3112" s="13" t="str">
        <f>HYPERLINK("https://shopee.co.id/Hyggee-One-Step-Facial-Essence-Fresh-110-ml-i.125116082.7319987454", "https://shopee.co.id/Hyggee-One-Step-Facial-Essence-Fresh-110-ml-i.125116082.7319987454")</f>
        <v>https://shopee.co.id/Hyggee-One-Step-Facial-Essence-Fresh-110-ml-i.125116082.7319987454</v>
      </c>
      <c r="C3112" s="8" t="s">
        <v>4424</v>
      </c>
      <c r="D3112" s="8" t="s">
        <v>713</v>
      </c>
      <c r="E3112" s="8" t="s">
        <v>12</v>
      </c>
      <c r="F3112" s="8" t="s">
        <v>13</v>
      </c>
      <c r="G3112" s="8" t="s">
        <v>61</v>
      </c>
      <c r="H3112" s="16">
        <v>0.0</v>
      </c>
      <c r="I3112" s="15" t="str">
        <f>SUBSTITUTE(Sheet1!K3112, "Rp", "")</f>
        <v>0</v>
      </c>
    </row>
    <row r="3113">
      <c r="A3113" s="8" t="s">
        <v>4425</v>
      </c>
      <c r="B3113" s="13" t="str">
        <f>HYPERLINK("https://shopee.co.id/I-Trust-Nature-Licorice-Serum-30ml-i.825870.6839805556", "https://shopee.co.id/I-Trust-Nature-Licorice-Serum-30ml-i.825870.6839805556")</f>
        <v>https://shopee.co.id/I-Trust-Nature-Licorice-Serum-30ml-i.825870.6839805556</v>
      </c>
      <c r="C3113" s="8" t="s">
        <v>1650</v>
      </c>
      <c r="D3113" s="8" t="s">
        <v>1184</v>
      </c>
      <c r="E3113" s="8" t="s">
        <v>12</v>
      </c>
      <c r="F3113" s="8" t="s">
        <v>13</v>
      </c>
      <c r="G3113" s="8" t="s">
        <v>21</v>
      </c>
      <c r="H3113" s="16">
        <v>0.0</v>
      </c>
      <c r="I3113" s="15" t="str">
        <f>SUBSTITUTE(Sheet1!K3113, "Rp", "")</f>
        <v>0</v>
      </c>
    </row>
    <row r="3114">
      <c r="A3114" s="8" t="s">
        <v>4426</v>
      </c>
      <c r="B3114" s="13" t="str">
        <f>HYPERLINK("https://shopee.co.id/ID-AZ-Face-Fit-T-Fit-ler-Ampoule-15ml-i.825870.5802301627", "https://shopee.co.id/ID-AZ-Face-Fit-T-Fit-ler-Ampoule-15ml-i.825870.5802301627")</f>
        <v>https://shopee.co.id/ID-AZ-Face-Fit-T-Fit-ler-Ampoule-15ml-i.825870.5802301627</v>
      </c>
      <c r="C3114" s="8" t="s">
        <v>3448</v>
      </c>
      <c r="D3114" s="8" t="s">
        <v>1184</v>
      </c>
      <c r="E3114" s="8" t="s">
        <v>12</v>
      </c>
      <c r="F3114" s="8" t="s">
        <v>13</v>
      </c>
      <c r="G3114" s="8" t="s">
        <v>21</v>
      </c>
      <c r="H3114" s="16">
        <v>0.0</v>
      </c>
      <c r="I3114" s="15" t="str">
        <f>SUBSTITUTE(Sheet1!K3114, "Rp", "")</f>
        <v>0</v>
      </c>
    </row>
    <row r="3115">
      <c r="A3115" s="8" t="s">
        <v>4427</v>
      </c>
      <c r="B3115" s="13" t="str">
        <f>HYPERLINK("https://shopee.co.id/IDAZ-Face-Fit-T-Fit-ler-Ample-15ml-i.10689.1638519750", "https://shopee.co.id/IDAZ-Face-Fit-T-Fit-ler-Ample-15ml-i.10689.1638519750")</f>
        <v>https://shopee.co.id/IDAZ-Face-Fit-T-Fit-ler-Ample-15ml-i.10689.1638519750</v>
      </c>
      <c r="C3115" s="17" t="s">
        <v>3981</v>
      </c>
      <c r="D3115" s="8" t="s">
        <v>745</v>
      </c>
      <c r="E3115" s="8" t="s">
        <v>12</v>
      </c>
      <c r="F3115" s="8" t="s">
        <v>13</v>
      </c>
      <c r="G3115" s="8" t="s">
        <v>61</v>
      </c>
      <c r="H3115" s="16">
        <v>0.0</v>
      </c>
      <c r="I3115" s="15" t="str">
        <f>SUBSTITUTE(Sheet1!K3115, "Rp", "")</f>
        <v>0</v>
      </c>
    </row>
    <row r="3116">
      <c r="A3116" s="8" t="s">
        <v>4428</v>
      </c>
      <c r="B3116" s="13" t="str">
        <f>HYPERLINK("https://shopee.co.id/IDAZ-Face-Fit-V-Fit-ler-Ample-15ml-i.10689.1638519945", "https://shopee.co.id/IDAZ-Face-Fit-V-Fit-ler-Ample-15ml-i.10689.1638519945")</f>
        <v>https://shopee.co.id/IDAZ-Face-Fit-V-Fit-ler-Ample-15ml-i.10689.1638519945</v>
      </c>
      <c r="C3116" s="8" t="s">
        <v>3448</v>
      </c>
      <c r="D3116" s="8" t="s">
        <v>745</v>
      </c>
      <c r="E3116" s="8" t="s">
        <v>12</v>
      </c>
      <c r="F3116" s="8" t="s">
        <v>13</v>
      </c>
      <c r="G3116" s="8" t="s">
        <v>61</v>
      </c>
      <c r="H3116" s="16">
        <v>0.0</v>
      </c>
      <c r="I3116" s="15" t="str">
        <f>SUBSTITUTE(Sheet1!K3116, "Rp", "")</f>
        <v>0</v>
      </c>
    </row>
    <row r="3117">
      <c r="A3117" s="8" t="s">
        <v>4429</v>
      </c>
      <c r="B3117" s="13" t="str">
        <f>HYPERLINK("https://shopee.co.id/Illuminare-Brightening-Serum-30Gr-Perawatan-Wajah-Serum-Wajah-i.175375997.4500248285", "https://shopee.co.id/Illuminare-Brightening-Serum-30Gr-Perawatan-Wajah-Serum-Wajah-i.175375997.4500248285")</f>
        <v>https://shopee.co.id/Illuminare-Brightening-Serum-30Gr-Perawatan-Wajah-Serum-Wajah-i.175375997.4500248285</v>
      </c>
      <c r="C3117" s="8" t="s">
        <v>1750</v>
      </c>
      <c r="D3117" s="8" t="s">
        <v>2123</v>
      </c>
      <c r="E3117" s="8" t="s">
        <v>12</v>
      </c>
      <c r="F3117" s="8" t="s">
        <v>13</v>
      </c>
      <c r="G3117" s="8" t="s">
        <v>36</v>
      </c>
      <c r="H3117" s="16">
        <v>0.0</v>
      </c>
      <c r="I3117" s="15" t="str">
        <f>SUBSTITUTE(Sheet1!K3117, "Rp", "")</f>
        <v>0</v>
      </c>
    </row>
    <row r="3118">
      <c r="A3118" s="8" t="s">
        <v>4429</v>
      </c>
      <c r="B3118" s="13" t="str">
        <f>HYPERLINK("https://shopee.co.id/Illuminare-Brightening-Serum-30Gr-Perawatan-Wajah-Serum-Wajah-i.185943783.7818319188", "https://shopee.co.id/Illuminare-Brightening-Serum-30Gr-Perawatan-Wajah-Serum-Wajah-i.185943783.7818319188")</f>
        <v>https://shopee.co.id/Illuminare-Brightening-Serum-30Gr-Perawatan-Wajah-Serum-Wajah-i.185943783.7818319188</v>
      </c>
      <c r="C3118" s="8" t="s">
        <v>1750</v>
      </c>
      <c r="D3118" s="8" t="s">
        <v>3429</v>
      </c>
      <c r="E3118" s="8" t="s">
        <v>12</v>
      </c>
      <c r="F3118" s="8" t="s">
        <v>13</v>
      </c>
      <c r="G3118" s="8" t="s">
        <v>36</v>
      </c>
      <c r="H3118" s="16">
        <v>0.0</v>
      </c>
      <c r="I3118" s="15" t="str">
        <f>SUBSTITUTE(Sheet1!K3118, "Rp", "")</f>
        <v>0</v>
      </c>
    </row>
    <row r="3119">
      <c r="A3119" s="8" t="s">
        <v>4430</v>
      </c>
      <c r="B3119" s="13" t="str">
        <f>HYPERLINK("https://shopee.co.id/Illuminare-Pore-Serum-30Ml-Perawatan-Wajah-Serum-Wajah-i.175375997.6100248682", "https://shopee.co.id/Illuminare-Pore-Serum-30Ml-Perawatan-Wajah-Serum-Wajah-i.175375997.6100248682")</f>
        <v>https://shopee.co.id/Illuminare-Pore-Serum-30Ml-Perawatan-Wajah-Serum-Wajah-i.175375997.6100248682</v>
      </c>
      <c r="C3119" s="8" t="s">
        <v>1750</v>
      </c>
      <c r="D3119" s="8" t="s">
        <v>2123</v>
      </c>
      <c r="E3119" s="8" t="s">
        <v>12</v>
      </c>
      <c r="F3119" s="8" t="s">
        <v>13</v>
      </c>
      <c r="G3119" s="8" t="s">
        <v>36</v>
      </c>
      <c r="H3119" s="16">
        <v>0.0</v>
      </c>
      <c r="I3119" s="15" t="str">
        <f>SUBSTITUTE(Sheet1!K3119, "Rp", "")</f>
        <v>0</v>
      </c>
    </row>
    <row r="3120">
      <c r="A3120" s="8" t="s">
        <v>4430</v>
      </c>
      <c r="B3120" s="13" t="str">
        <f>HYPERLINK("https://shopee.co.id/Illuminare-Pore-Serum-30Ml-Perawatan-Wajah-Serum-Wajah-i.185943783.5818320030", "https://shopee.co.id/Illuminare-Pore-Serum-30Ml-Perawatan-Wajah-Serum-Wajah-i.185943783.5818320030")</f>
        <v>https://shopee.co.id/Illuminare-Pore-Serum-30Ml-Perawatan-Wajah-Serum-Wajah-i.185943783.5818320030</v>
      </c>
      <c r="C3120" s="8" t="s">
        <v>1750</v>
      </c>
      <c r="D3120" s="8" t="s">
        <v>3429</v>
      </c>
      <c r="E3120" s="8" t="s">
        <v>12</v>
      </c>
      <c r="F3120" s="8" t="s">
        <v>13</v>
      </c>
      <c r="G3120" s="8" t="s">
        <v>36</v>
      </c>
      <c r="H3120" s="16">
        <v>0.0</v>
      </c>
      <c r="I3120" s="15" t="str">
        <f>SUBSTITUTE(Sheet1!K3120, "Rp", "")</f>
        <v>0</v>
      </c>
    </row>
    <row r="3121">
      <c r="A3121" s="8" t="s">
        <v>4431</v>
      </c>
      <c r="B3121" s="13" t="str">
        <f>HYPERLINK("https://shopee.co.id/Illuminare-Youth-Activator-Nourish-Serum-30Ml-Face-Serum-Serum-Wajah-Anti-Aging-Illuminaire-i.175375997.6200916096", "https://shopee.co.id/Illuminare-Youth-Activator-Nourish-Serum-30Ml-Face-Serum-Serum-Wajah-Anti-Aging-Illuminaire-i.175375997.6200916096")</f>
        <v>https://shopee.co.id/Illuminare-Youth-Activator-Nourish-Serum-30Ml-Face-Serum-Serum-Wajah-Anti-Aging-Illuminaire-i.175375997.6200916096</v>
      </c>
      <c r="C3121" s="8" t="s">
        <v>1750</v>
      </c>
      <c r="D3121" s="8" t="s">
        <v>2123</v>
      </c>
      <c r="E3121" s="8" t="s">
        <v>12</v>
      </c>
      <c r="F3121" s="8" t="s">
        <v>13</v>
      </c>
      <c r="G3121" s="8" t="s">
        <v>36</v>
      </c>
      <c r="H3121" s="16">
        <v>0.0</v>
      </c>
      <c r="I3121" s="15" t="str">
        <f>SUBSTITUTE(Sheet1!K3121, "Rp", "")</f>
        <v>0</v>
      </c>
    </row>
    <row r="3122">
      <c r="A3122" s="8" t="s">
        <v>4431</v>
      </c>
      <c r="B3122" s="13" t="str">
        <f>HYPERLINK("https://shopee.co.id/Illuminare-Youth-Activator-Nourish-Serum-30Ml-Face-Serum-Serum-Wajah-Anti-Aging-Illuminaire-i.185943783.5018320323", "https://shopee.co.id/Illuminare-Youth-Activator-Nourish-Serum-30Ml-Face-Serum-Serum-Wajah-Anti-Aging-Illuminaire-i.185943783.5018320323")</f>
        <v>https://shopee.co.id/Illuminare-Youth-Activator-Nourish-Serum-30Ml-Face-Serum-Serum-Wajah-Anti-Aging-Illuminaire-i.185943783.5018320323</v>
      </c>
      <c r="C3122" s="8" t="s">
        <v>1750</v>
      </c>
      <c r="D3122" s="8" t="s">
        <v>3429</v>
      </c>
      <c r="E3122" s="8" t="s">
        <v>12</v>
      </c>
      <c r="F3122" s="8" t="s">
        <v>13</v>
      </c>
      <c r="G3122" s="8" t="s">
        <v>36</v>
      </c>
      <c r="H3122" s="16">
        <v>0.0</v>
      </c>
      <c r="I3122" s="15" t="str">
        <f>SUBSTITUTE(Sheet1!K3122, "Rp", "")</f>
        <v>0</v>
      </c>
    </row>
    <row r="3123">
      <c r="A3123" s="8" t="s">
        <v>4432</v>
      </c>
      <c r="B3123" s="13" t="str">
        <f>HYPERLINK("https://shopee.co.id/Implora-Luminous-Brightening-Serum-Serum-Pencerah-Wajah-20ml-i.164238909.11050702407", "https://shopee.co.id/Implora-Luminous-Brightening-Serum-Serum-Pencerah-Wajah-20ml-i.164238909.11050702407")</f>
        <v>https://shopee.co.id/Implora-Luminous-Brightening-Serum-Serum-Pencerah-Wajah-20ml-i.164238909.11050702407</v>
      </c>
      <c r="C3123" s="8" t="s">
        <v>113</v>
      </c>
      <c r="D3123" s="8" t="s">
        <v>4108</v>
      </c>
      <c r="E3123" s="8" t="s">
        <v>12</v>
      </c>
      <c r="F3123" s="8" t="s">
        <v>13</v>
      </c>
      <c r="G3123" s="8" t="s">
        <v>350</v>
      </c>
      <c r="H3123" s="16">
        <v>0.0</v>
      </c>
      <c r="I3123" s="15" t="str">
        <f>SUBSTITUTE(Sheet1!K3123, "Rp", "")</f>
        <v>0</v>
      </c>
    </row>
    <row r="3124">
      <c r="A3124" s="8" t="s">
        <v>4433</v>
      </c>
      <c r="B3124" s="13" t="str">
        <f>HYPERLINK("https://shopee.co.id/Independence-Day-Package-A-i.20723335.4395313639", "https://shopee.co.id/Independence-Day-Package-A-i.20723335.4395313639")</f>
        <v>https://shopee.co.id/Independence-Day-Package-A-i.20723335.4395313639</v>
      </c>
      <c r="C3124" s="8" t="s">
        <v>2042</v>
      </c>
      <c r="D3124" s="8" t="s">
        <v>2043</v>
      </c>
      <c r="E3124" s="8" t="s">
        <v>12</v>
      </c>
      <c r="F3124" s="8" t="s">
        <v>13</v>
      </c>
      <c r="G3124" s="8" t="s">
        <v>241</v>
      </c>
      <c r="H3124" s="16">
        <v>0.0</v>
      </c>
      <c r="I3124" s="15" t="str">
        <f>SUBSTITUTE(Sheet1!K3124, "Rp", "")</f>
        <v>0</v>
      </c>
    </row>
    <row r="3125">
      <c r="A3125" s="8" t="s">
        <v>4434</v>
      </c>
      <c r="B3125" s="13" t="str">
        <f>HYPERLINK("https://shopee.co.id/Independence-Day-Package-C-i.20723335.11320311740", "https://shopee.co.id/Independence-Day-Package-C-i.20723335.11320311740")</f>
        <v>https://shopee.co.id/Independence-Day-Package-C-i.20723335.11320311740</v>
      </c>
      <c r="C3125" s="8" t="s">
        <v>2042</v>
      </c>
      <c r="D3125" s="8" t="s">
        <v>2043</v>
      </c>
      <c r="E3125" s="8" t="s">
        <v>12</v>
      </c>
      <c r="F3125" s="8" t="s">
        <v>13</v>
      </c>
      <c r="G3125" s="8" t="s">
        <v>241</v>
      </c>
      <c r="H3125" s="16">
        <v>0.0</v>
      </c>
      <c r="I3125" s="15" t="str">
        <f>SUBSTITUTE(Sheet1!K3125, "Rp", "")</f>
        <v>0</v>
      </c>
    </row>
    <row r="3126">
      <c r="A3126" s="8" t="s">
        <v>4435</v>
      </c>
      <c r="B3126" s="13" t="str">
        <f>HYPERLINK("https://shopee.co.id/Indoganic-Rose-Essence-C-i.10689.9279607574", "https://shopee.co.id/Indoganic-Rose-Essence-C-i.10689.9279607574")</f>
        <v>https://shopee.co.id/Indoganic-Rose-Essence-C-i.10689.9279607574</v>
      </c>
      <c r="C3126" s="8" t="s">
        <v>995</v>
      </c>
      <c r="D3126" s="8" t="s">
        <v>745</v>
      </c>
      <c r="E3126" s="8" t="s">
        <v>12</v>
      </c>
      <c r="F3126" s="8" t="s">
        <v>13</v>
      </c>
      <c r="G3126" s="8" t="s">
        <v>61</v>
      </c>
      <c r="H3126" s="16">
        <v>0.0</v>
      </c>
      <c r="I3126" s="15" t="str">
        <f>SUBSTITUTE(Sheet1!K3126, "Rp", "")</f>
        <v>0</v>
      </c>
    </row>
    <row r="3127">
      <c r="A3127" s="8" t="s">
        <v>4436</v>
      </c>
      <c r="B3127" s="13" t="str">
        <f>HYPERLINK("https://shopee.co.id/Indoganic-Rose-Essence-C-60ml-i.825870.10515115445", "https://shopee.co.id/Indoganic-Rose-Essence-C-60ml-i.825870.10515115445")</f>
        <v>https://shopee.co.id/Indoganic-Rose-Essence-C-60ml-i.825870.10515115445</v>
      </c>
      <c r="C3127" s="8" t="s">
        <v>995</v>
      </c>
      <c r="D3127" s="8" t="s">
        <v>1184</v>
      </c>
      <c r="E3127" s="8" t="s">
        <v>12</v>
      </c>
      <c r="F3127" s="8" t="s">
        <v>13</v>
      </c>
      <c r="G3127" s="8" t="s">
        <v>21</v>
      </c>
      <c r="H3127" s="16">
        <v>0.0</v>
      </c>
      <c r="I3127" s="15" t="str">
        <f>SUBSTITUTE(Sheet1!K3127, "Rp", "")</f>
        <v>0</v>
      </c>
    </row>
    <row r="3128">
      <c r="A3128" s="8" t="s">
        <v>4437</v>
      </c>
      <c r="B3128" s="13" t="str">
        <f>HYPERLINK("https://shopee.co.id/Ingenia-Bundling-Oil-Balancing-Toner-Night-Cream-with-Intense-Radiance-Gold-Serum-i.175299555.5218386112", "https://shopee.co.id/Ingenia-Bundling-Oil-Balancing-Toner-Night-Cream-with-Intense-Radiance-Gold-Serum-i.175299555.5218386112")</f>
        <v>https://shopee.co.id/Ingenia-Bundling-Oil-Balancing-Toner-Night-Cream-with-Intense-Radiance-Gold-Serum-i.175299555.5218386112</v>
      </c>
      <c r="C3128" s="8" t="s">
        <v>2533</v>
      </c>
      <c r="D3128" s="8" t="s">
        <v>2534</v>
      </c>
      <c r="E3128" s="8" t="s">
        <v>12</v>
      </c>
      <c r="F3128" s="8" t="s">
        <v>13</v>
      </c>
      <c r="G3128" s="8" t="s">
        <v>1314</v>
      </c>
      <c r="H3128" s="16">
        <v>0.0</v>
      </c>
      <c r="I3128" s="15" t="str">
        <f>SUBSTITUTE(Sheet1!K3128, "Rp", "")</f>
        <v>0</v>
      </c>
    </row>
    <row r="3129">
      <c r="A3129" s="8" t="s">
        <v>4438</v>
      </c>
      <c r="B3129" s="13" t="str">
        <f>HYPERLINK("https://shopee.co.id/Innertrue-Essence-of-Life-Serum-i.17081863.7783917167", "https://shopee.co.id/Innertrue-Essence-of-Life-Serum-i.17081863.7783917167")</f>
        <v>https://shopee.co.id/Innertrue-Essence-of-Life-Serum-i.17081863.7783917167</v>
      </c>
      <c r="C3129" s="8" t="s">
        <v>1321</v>
      </c>
      <c r="D3129" s="8" t="s">
        <v>2497</v>
      </c>
      <c r="E3129" s="8" t="s">
        <v>12</v>
      </c>
      <c r="F3129" s="8" t="s">
        <v>13</v>
      </c>
      <c r="G3129" s="8" t="s">
        <v>21</v>
      </c>
      <c r="H3129" s="16">
        <v>0.0</v>
      </c>
      <c r="I3129" s="15" t="str">
        <f>SUBSTITUTE(Sheet1!K3129, "Rp", "")</f>
        <v>0</v>
      </c>
    </row>
    <row r="3130">
      <c r="A3130" s="8" t="s">
        <v>4439</v>
      </c>
      <c r="B3130" s="13" t="str">
        <f>HYPERLINK("https://shopee.co.id/Innertrue-Essence-of-Life-Serum-15ml-i.825870.4618669148", "https://shopee.co.id/Innertrue-Essence-of-Life-Serum-15ml-i.825870.4618669148")</f>
        <v>https://shopee.co.id/Innertrue-Essence-of-Life-Serum-15ml-i.825870.4618669148</v>
      </c>
      <c r="C3130" s="8" t="s">
        <v>1321</v>
      </c>
      <c r="D3130" s="8" t="s">
        <v>1184</v>
      </c>
      <c r="E3130" s="8" t="s">
        <v>12</v>
      </c>
      <c r="F3130" s="8" t="s">
        <v>13</v>
      </c>
      <c r="G3130" s="8" t="s">
        <v>21</v>
      </c>
      <c r="H3130" s="16">
        <v>0.0</v>
      </c>
      <c r="I3130" s="15" t="str">
        <f>SUBSTITUTE(Sheet1!K3130, "Rp", "")</f>
        <v>0</v>
      </c>
    </row>
    <row r="3131">
      <c r="A3131" s="8" t="s">
        <v>4440</v>
      </c>
      <c r="B3131" s="13" t="str">
        <f>HYPERLINK("https://shopee.co.id/Innertrue-Essence-of-Life-Serum-15ml-i.10689.6718504711", "https://shopee.co.id/Innertrue-Essence-of-Life-Serum-15ml-i.10689.6718504711")</f>
        <v>https://shopee.co.id/Innertrue-Essence-of-Life-Serum-15ml-i.10689.6718504711</v>
      </c>
      <c r="C3131" s="8" t="s">
        <v>1321</v>
      </c>
      <c r="D3131" s="8" t="s">
        <v>745</v>
      </c>
      <c r="E3131" s="8" t="s">
        <v>12</v>
      </c>
      <c r="F3131" s="8" t="s">
        <v>13</v>
      </c>
      <c r="G3131" s="8" t="s">
        <v>61</v>
      </c>
      <c r="H3131" s="16">
        <v>0.0</v>
      </c>
      <c r="I3131" s="15" t="str">
        <f>SUBSTITUTE(Sheet1!K3131, "Rp", "")</f>
        <v>0</v>
      </c>
    </row>
    <row r="3132">
      <c r="A3132" s="8" t="s">
        <v>4441</v>
      </c>
      <c r="B3132" s="13" t="str">
        <f>HYPERLINK("https://shopee.co.id/ISOI-Bulgarian-Rose-Blemish-Care-Serum-Blemish-Serum-35ml-i.376385296.6677498043", "https://shopee.co.id/ISOI-Bulgarian-Rose-Blemish-Care-Serum-Blemish-Serum-35ml-i.376385296.6677498043")</f>
        <v>https://shopee.co.id/ISOI-Bulgarian-Rose-Blemish-Care-Serum-Blemish-Serum-35ml-i.376385296.6677498043</v>
      </c>
      <c r="C3132" s="8" t="s">
        <v>3499</v>
      </c>
      <c r="D3132" s="8" t="s">
        <v>4442</v>
      </c>
      <c r="E3132" s="8" t="s">
        <v>12</v>
      </c>
      <c r="F3132" s="8" t="s">
        <v>13</v>
      </c>
      <c r="G3132" s="8" t="s">
        <v>469</v>
      </c>
      <c r="H3132" s="16">
        <v>0.0</v>
      </c>
      <c r="I3132" s="15" t="str">
        <f>SUBSTITUTE(Sheet1!K3132, "Rp", "")</f>
        <v>0</v>
      </c>
    </row>
    <row r="3133">
      <c r="A3133" s="8" t="s">
        <v>3819</v>
      </c>
      <c r="B3133" s="13" t="str">
        <f>HYPERLINK("https://shopee.co.id/ISOI-Blemish-Care-Serum-II-1ml-i.376385296.5981572501", "https://shopee.co.id/ISOI-Blemish-Care-Serum-II-1ml-i.376385296.5981572501")</f>
        <v>https://shopee.co.id/ISOI-Blemish-Care-Serum-II-1ml-i.376385296.5981572501</v>
      </c>
      <c r="C3133" s="8" t="s">
        <v>3499</v>
      </c>
      <c r="D3133" s="8" t="s">
        <v>4442</v>
      </c>
      <c r="E3133" s="8" t="s">
        <v>12</v>
      </c>
      <c r="F3133" s="8" t="s">
        <v>13</v>
      </c>
      <c r="G3133" s="8" t="s">
        <v>469</v>
      </c>
      <c r="H3133" s="16">
        <v>0.0</v>
      </c>
      <c r="I3133" s="15" t="str">
        <f>SUBSTITUTE(Sheet1!K3133, "Rp", "")</f>
        <v>0</v>
      </c>
    </row>
    <row r="3134">
      <c r="A3134" s="8" t="s">
        <v>4443</v>
      </c>
      <c r="B3134" s="13" t="str">
        <f>HYPERLINK("https://shopee.co.id/ISOI-Blemish-Care-Serum-II-35ml-i.240712269.6478250048", "https://shopee.co.id/ISOI-Blemish-Care-Serum-II-35ml-i.240712269.6478250048")</f>
        <v>https://shopee.co.id/ISOI-Blemish-Care-Serum-II-35ml-i.240712269.6478250048</v>
      </c>
      <c r="C3134" s="8" t="s">
        <v>3499</v>
      </c>
      <c r="D3134" s="8" t="s">
        <v>762</v>
      </c>
      <c r="E3134" s="8" t="s">
        <v>12</v>
      </c>
      <c r="F3134" s="8" t="s">
        <v>13</v>
      </c>
      <c r="G3134" s="8" t="s">
        <v>98</v>
      </c>
      <c r="H3134" s="16">
        <v>0.0</v>
      </c>
      <c r="I3134" s="15" t="str">
        <f>SUBSTITUTE(Sheet1!K3134, "Rp", "")</f>
        <v>0</v>
      </c>
    </row>
    <row r="3135">
      <c r="A3135" s="8" t="s">
        <v>2087</v>
      </c>
      <c r="B3135" s="13" t="str">
        <f>HYPERLINK("https://shopee.co.id/Iunik-Beta-Glucan-Power-Moisture-Serum-50ml-i.270765534.7148916869", "https://shopee.co.id/Iunik-Beta-Glucan-Power-Moisture-Serum-50ml-i.270765534.7148916869")</f>
        <v>https://shopee.co.id/Iunik-Beta-Glucan-Power-Moisture-Serum-50ml-i.270765534.7148916869</v>
      </c>
      <c r="C3135" s="8" t="s">
        <v>1658</v>
      </c>
      <c r="D3135" s="8" t="s">
        <v>1659</v>
      </c>
      <c r="E3135" s="8" t="s">
        <v>12</v>
      </c>
      <c r="F3135" s="8" t="s">
        <v>13</v>
      </c>
      <c r="G3135" s="8" t="s">
        <v>21</v>
      </c>
      <c r="H3135" s="16">
        <v>0.0</v>
      </c>
      <c r="I3135" s="15" t="str">
        <f>SUBSTITUTE(Sheet1!K3135, "Rp", "")</f>
        <v>0</v>
      </c>
    </row>
    <row r="3136">
      <c r="A3136" s="8" t="s">
        <v>4444</v>
      </c>
      <c r="B3136" s="13" t="str">
        <f>HYPERLINK("https://shopee.co.id/Iunik-Noni-Light-Oil-Serum-50ml-i.270765534.3449013166", "https://shopee.co.id/Iunik-Noni-Light-Oil-Serum-50ml-i.270765534.3449013166")</f>
        <v>https://shopee.co.id/Iunik-Noni-Light-Oil-Serum-50ml-i.270765534.3449013166</v>
      </c>
      <c r="C3136" s="8" t="s">
        <v>1658</v>
      </c>
      <c r="D3136" s="8" t="s">
        <v>1659</v>
      </c>
      <c r="E3136" s="8" t="s">
        <v>12</v>
      </c>
      <c r="F3136" s="8" t="s">
        <v>13</v>
      </c>
      <c r="G3136" s="8" t="s">
        <v>21</v>
      </c>
      <c r="H3136" s="16">
        <v>0.0</v>
      </c>
      <c r="I3136" s="15" t="str">
        <f>SUBSTITUTE(Sheet1!K3136, "Rp", "")</f>
        <v>0</v>
      </c>
    </row>
    <row r="3137">
      <c r="A3137" s="8" t="s">
        <v>4445</v>
      </c>
      <c r="B3137" s="13" t="str">
        <f>HYPERLINK("https://shopee.co.id/Iunik-Propolis-Vitamin-Synergy-Serum-15ml-50ml-i.136011044.5678350454", "https://shopee.co.id/Iunik-Propolis-Vitamin-Synergy-Serum-15ml-50ml-i.136011044.5678350454")</f>
        <v>https://shopee.co.id/Iunik-Propolis-Vitamin-Synergy-Serum-15ml-50ml-i.136011044.5678350454</v>
      </c>
      <c r="C3137" s="8" t="s">
        <v>1658</v>
      </c>
      <c r="D3137" s="8" t="s">
        <v>632</v>
      </c>
      <c r="E3137" s="8" t="s">
        <v>12</v>
      </c>
      <c r="F3137" s="8" t="s">
        <v>13</v>
      </c>
      <c r="G3137" s="8" t="s">
        <v>21</v>
      </c>
      <c r="H3137" s="16">
        <v>0.0</v>
      </c>
      <c r="I3137" s="15" t="str">
        <f>SUBSTITUTE(Sheet1!K3137, "Rp", "")</f>
        <v>0</v>
      </c>
    </row>
    <row r="3138">
      <c r="A3138" s="8" t="s">
        <v>3871</v>
      </c>
      <c r="B3138" s="13" t="str">
        <f>HYPERLINK("https://shopee.co.id/Iunik-Rose-Galactomyces-Synergy-Serum-15ml-i.825870.6853263437", "https://shopee.co.id/Iunik-Rose-Galactomyces-Synergy-Serum-15ml-i.825870.6853263437")</f>
        <v>https://shopee.co.id/Iunik-Rose-Galactomyces-Synergy-Serum-15ml-i.825870.6853263437</v>
      </c>
      <c r="C3138" s="8" t="s">
        <v>1658</v>
      </c>
      <c r="D3138" s="8" t="s">
        <v>1184</v>
      </c>
      <c r="E3138" s="8" t="s">
        <v>12</v>
      </c>
      <c r="F3138" s="8" t="s">
        <v>13</v>
      </c>
      <c r="G3138" s="8" t="s">
        <v>21</v>
      </c>
      <c r="H3138" s="16">
        <v>0.0</v>
      </c>
      <c r="I3138" s="15" t="str">
        <f>SUBSTITUTE(Sheet1!K3138, "Rp", "")</f>
        <v>0</v>
      </c>
    </row>
    <row r="3139">
      <c r="A3139" s="8" t="s">
        <v>4446</v>
      </c>
      <c r="B3139" s="13" t="str">
        <f>HYPERLINK("https://shopee.co.id/J-GLOW-Serum-Lightening-Essence-10ml-i.165212611.5314053592", "https://shopee.co.id/J-GLOW-Serum-Lightening-Essence-10ml-i.165212611.5314053592")</f>
        <v>https://shopee.co.id/J-GLOW-Serum-Lightening-Essence-10ml-i.165212611.5314053592</v>
      </c>
      <c r="C3139" s="8" t="s">
        <v>1553</v>
      </c>
      <c r="D3139" s="8" t="s">
        <v>1554</v>
      </c>
      <c r="E3139" s="8" t="s">
        <v>12</v>
      </c>
      <c r="F3139" s="8" t="s">
        <v>13</v>
      </c>
      <c r="G3139" s="8" t="s">
        <v>241</v>
      </c>
      <c r="H3139" s="16">
        <v>0.0</v>
      </c>
      <c r="I3139" s="15" t="str">
        <f>SUBSTITUTE(Sheet1!K3139, "Rp", "")</f>
        <v>0</v>
      </c>
    </row>
    <row r="3140">
      <c r="A3140" s="8" t="s">
        <v>4447</v>
      </c>
      <c r="B3140" s="13" t="str">
        <f>HYPERLINK("https://shopee.co.id/Jarkeen-Double-Glow-Serum-i.79492424.7738209583", "https://shopee.co.id/Jarkeen-Double-Glow-Serum-i.79492424.7738209583")</f>
        <v>https://shopee.co.id/Jarkeen-Double-Glow-Serum-i.79492424.7738209583</v>
      </c>
      <c r="C3140" s="8" t="s">
        <v>738</v>
      </c>
      <c r="D3140" s="8" t="s">
        <v>3456</v>
      </c>
      <c r="E3140" s="8" t="s">
        <v>12</v>
      </c>
      <c r="F3140" s="8" t="s">
        <v>13</v>
      </c>
      <c r="G3140" s="8" t="s">
        <v>469</v>
      </c>
      <c r="H3140" s="16">
        <v>0.0</v>
      </c>
      <c r="I3140" s="15" t="str">
        <f>SUBSTITUTE(Sheet1!K3140, "Rp", "")</f>
        <v>0</v>
      </c>
    </row>
    <row r="3141">
      <c r="A3141" s="8" t="s">
        <v>4448</v>
      </c>
      <c r="B3141" s="13" t="str">
        <f>HYPERLINK("https://shopee.co.id/JARKEEN-Double-Glow-Serum-15ml-i.68111.5585376331", "https://shopee.co.id/JARKEEN-Double-Glow-Serum-15ml-i.68111.5585376331")</f>
        <v>https://shopee.co.id/JARKEEN-Double-Glow-Serum-15ml-i.68111.5585376331</v>
      </c>
      <c r="C3141" s="8" t="s">
        <v>738</v>
      </c>
      <c r="D3141" s="8" t="s">
        <v>441</v>
      </c>
      <c r="E3141" s="8" t="s">
        <v>12</v>
      </c>
      <c r="F3141" s="8" t="s">
        <v>13</v>
      </c>
      <c r="G3141" s="8" t="s">
        <v>130</v>
      </c>
      <c r="H3141" s="16">
        <v>0.0</v>
      </c>
      <c r="I3141" s="15" t="str">
        <f>SUBSTITUTE(Sheet1!K3141, "Rp", "")</f>
        <v>0</v>
      </c>
    </row>
    <row r="3142">
      <c r="A3142" s="8" t="s">
        <v>4449</v>
      </c>
      <c r="B3142" s="13" t="str">
        <f>HYPERLINK("https://shopee.co.id/JARKEEN-New-Skin-Lightening-Molecules-Body-Serum-100ml-i.68111.9728970253", "https://shopee.co.id/JARKEEN-New-Skin-Lightening-Molecules-Body-Serum-100ml-i.68111.9728970253")</f>
        <v>https://shopee.co.id/JARKEEN-New-Skin-Lightening-Molecules-Body-Serum-100ml-i.68111.9728970253</v>
      </c>
      <c r="C3142" s="8" t="s">
        <v>738</v>
      </c>
      <c r="D3142" s="8" t="s">
        <v>441</v>
      </c>
      <c r="E3142" s="8" t="s">
        <v>12</v>
      </c>
      <c r="F3142" s="8" t="s">
        <v>13</v>
      </c>
      <c r="G3142" s="8" t="s">
        <v>130</v>
      </c>
      <c r="H3142" s="16">
        <v>0.0</v>
      </c>
      <c r="I3142" s="15" t="str">
        <f>SUBSTITUTE(Sheet1!K3142, "Rp", "")</f>
        <v>0</v>
      </c>
    </row>
    <row r="3143">
      <c r="A3143" s="8" t="s">
        <v>4450</v>
      </c>
      <c r="B3143" s="13" t="str">
        <f>HYPERLINK("https://shopee.co.id/JARKEEN-Vit-C-Booster-Serum-15ml-i.68111.5782631341", "https://shopee.co.id/JARKEEN-Vit-C-Booster-Serum-15ml-i.68111.5782631341")</f>
        <v>https://shopee.co.id/JARKEEN-Vit-C-Booster-Serum-15ml-i.68111.5782631341</v>
      </c>
      <c r="C3143" s="8" t="s">
        <v>738</v>
      </c>
      <c r="D3143" s="8" t="s">
        <v>441</v>
      </c>
      <c r="E3143" s="8" t="s">
        <v>12</v>
      </c>
      <c r="F3143" s="8" t="s">
        <v>13</v>
      </c>
      <c r="G3143" s="8" t="s">
        <v>130</v>
      </c>
      <c r="H3143" s="16">
        <v>0.0</v>
      </c>
      <c r="I3143" s="15" t="str">
        <f>SUBSTITUTE(Sheet1!K3143, "Rp", "")</f>
        <v>0</v>
      </c>
    </row>
    <row r="3144">
      <c r="A3144" s="8" t="s">
        <v>4451</v>
      </c>
      <c r="B3144" s="13" t="str">
        <f>HYPERLINK("https://shopee.co.id/Jarkeen-X-Jacquelle-Porecelain-Doll-Look-Bundle-i.147936010.5260579286", "https://shopee.co.id/Jarkeen-X-Jacquelle-Porecelain-Doll-Look-Bundle-i.147936010.5260579286")</f>
        <v>https://shopee.co.id/Jarkeen-X-Jacquelle-Porecelain-Doll-Look-Bundle-i.147936010.5260579286</v>
      </c>
      <c r="C3144" s="8" t="s">
        <v>738</v>
      </c>
      <c r="D3144" s="8" t="s">
        <v>739</v>
      </c>
      <c r="E3144" s="8" t="s">
        <v>12</v>
      </c>
      <c r="F3144" s="8" t="s">
        <v>13</v>
      </c>
      <c r="G3144" s="8" t="s">
        <v>241</v>
      </c>
      <c r="H3144" s="16">
        <v>0.0</v>
      </c>
      <c r="I3144" s="15" t="str">
        <f>SUBSTITUTE(Sheet1!K3144, "Rp", "")</f>
        <v>0</v>
      </c>
    </row>
    <row r="3145">
      <c r="A3145" s="8" t="s">
        <v>4452</v>
      </c>
      <c r="B3145" s="13" t="str">
        <f>HYPERLINK("https://shopee.co.id/Jarte-Cica-Care-Ampoule-20ml-i.825870.3669645725", "https://shopee.co.id/Jarte-Cica-Care-Ampoule-20ml-i.825870.3669645725")</f>
        <v>https://shopee.co.id/Jarte-Cica-Care-Ampoule-20ml-i.825870.3669645725</v>
      </c>
      <c r="C3145" s="8" t="s">
        <v>3816</v>
      </c>
      <c r="D3145" s="8" t="s">
        <v>1184</v>
      </c>
      <c r="E3145" s="8" t="s">
        <v>12</v>
      </c>
      <c r="F3145" s="8" t="s">
        <v>13</v>
      </c>
      <c r="G3145" s="8" t="s">
        <v>21</v>
      </c>
      <c r="H3145" s="16">
        <v>0.0</v>
      </c>
      <c r="I3145" s="15" t="str">
        <f>SUBSTITUTE(Sheet1!K3145, "Rp", "")</f>
        <v>0</v>
      </c>
    </row>
    <row r="3146">
      <c r="A3146" s="8" t="s">
        <v>4453</v>
      </c>
      <c r="B3146" s="13" t="str">
        <f>HYPERLINK("https://shopee.co.id/JARTE-CICA-CARE-AMPOULE-i.217272417.5567290986", "https://shopee.co.id/JARTE-CICA-CARE-AMPOULE-i.217272417.5567290986")</f>
        <v>https://shopee.co.id/JARTE-CICA-CARE-AMPOULE-i.217272417.5567290986</v>
      </c>
      <c r="C3146" s="8" t="s">
        <v>3816</v>
      </c>
      <c r="D3146" s="8" t="s">
        <v>3793</v>
      </c>
      <c r="E3146" s="8" t="s">
        <v>12</v>
      </c>
      <c r="F3146" s="8" t="s">
        <v>13</v>
      </c>
      <c r="G3146" s="8" t="s">
        <v>98</v>
      </c>
      <c r="H3146" s="16">
        <v>0.0</v>
      </c>
      <c r="I3146" s="15" t="str">
        <f>SUBSTITUTE(Sheet1!K3146, "Rp", "")</f>
        <v>0</v>
      </c>
    </row>
    <row r="3147">
      <c r="A3147" s="8" t="s">
        <v>4454</v>
      </c>
      <c r="B3147" s="13" t="str">
        <f>HYPERLINK("https://shopee.co.id/JELLYS-Pure-Face-Serum-i.68111.9536468626", "https://shopee.co.id/JELLYS-Pure-Face-Serum-i.68111.9536468626")</f>
        <v>https://shopee.co.id/JELLYS-Pure-Face-Serum-i.68111.9536468626</v>
      </c>
      <c r="C3147" s="8" t="s">
        <v>1343</v>
      </c>
      <c r="D3147" s="8" t="s">
        <v>441</v>
      </c>
      <c r="E3147" s="8" t="s">
        <v>12</v>
      </c>
      <c r="F3147" s="8" t="s">
        <v>13</v>
      </c>
      <c r="G3147" s="8" t="s">
        <v>130</v>
      </c>
      <c r="H3147" s="16">
        <v>0.0</v>
      </c>
      <c r="I3147" s="15" t="str">
        <f>SUBSTITUTE(Sheet1!K3147, "Rp", "")</f>
        <v>0</v>
      </c>
    </row>
    <row r="3148">
      <c r="A3148" s="8" t="s">
        <v>4455</v>
      </c>
      <c r="B3148" s="13" t="str">
        <f>HYPERLINK("https://shopee.co.id/JELLYS-Pure-Face-Power-Up-Serum-i.187117294.4951426987", "https://shopee.co.id/JELLYS-Pure-Face-Power-Up-Serum-i.187117294.4951426987")</f>
        <v>https://shopee.co.id/JELLYS-Pure-Face-Power-Up-Serum-i.187117294.4951426987</v>
      </c>
      <c r="C3148" s="8" t="s">
        <v>1343</v>
      </c>
      <c r="D3148" s="8" t="s">
        <v>2366</v>
      </c>
      <c r="E3148" s="8" t="s">
        <v>12</v>
      </c>
      <c r="F3148" s="8" t="s">
        <v>13</v>
      </c>
      <c r="G3148" s="8" t="s">
        <v>469</v>
      </c>
      <c r="H3148" s="16">
        <v>0.0</v>
      </c>
      <c r="I3148" s="15" t="str">
        <f>SUBSTITUTE(Sheet1!K3148, "Rp", "")</f>
        <v>0</v>
      </c>
    </row>
    <row r="3149">
      <c r="A3149" s="8" t="s">
        <v>4456</v>
      </c>
      <c r="B3149" s="13" t="str">
        <f>HYPERLINK("https://shopee.co.id/Joylab-Skin-o-tic-Water-Essence-50ml-i.10689.4032188677", "https://shopee.co.id/Joylab-Skin-o-tic-Water-Essence-50ml-i.10689.4032188677")</f>
        <v>https://shopee.co.id/Joylab-Skin-o-tic-Water-Essence-50ml-i.10689.4032188677</v>
      </c>
      <c r="C3149" s="8" t="s">
        <v>1795</v>
      </c>
      <c r="D3149" s="8" t="s">
        <v>745</v>
      </c>
      <c r="E3149" s="8" t="s">
        <v>12</v>
      </c>
      <c r="F3149" s="8" t="s">
        <v>13</v>
      </c>
      <c r="G3149" s="8" t="s">
        <v>61</v>
      </c>
      <c r="H3149" s="16">
        <v>0.0</v>
      </c>
      <c r="I3149" s="15" t="str">
        <f>SUBSTITUTE(Sheet1!K3149, "Rp", "")</f>
        <v>0</v>
      </c>
    </row>
    <row r="3150">
      <c r="A3150" s="8" t="s">
        <v>4457</v>
      </c>
      <c r="B3150" s="13" t="str">
        <f>HYPERLINK("https://shopee.co.id/Joylab-Skinotic-Water-Essence-50ml-i.30736001.6387999196", "https://shopee.co.id/Joylab-Skinotic-Water-Essence-50ml-i.30736001.6387999196")</f>
        <v>https://shopee.co.id/Joylab-Skinotic-Water-Essence-50ml-i.30736001.6387999196</v>
      </c>
      <c r="C3150" s="8" t="s">
        <v>1795</v>
      </c>
      <c r="D3150" s="8" t="s">
        <v>335</v>
      </c>
      <c r="E3150" s="8" t="s">
        <v>12</v>
      </c>
      <c r="F3150" s="8" t="s">
        <v>13</v>
      </c>
      <c r="G3150" s="8" t="s">
        <v>36</v>
      </c>
      <c r="H3150" s="16">
        <v>0.0</v>
      </c>
      <c r="I3150" s="15" t="str">
        <f>SUBSTITUTE(Sheet1!K3150, "Rp", "")</f>
        <v>0</v>
      </c>
    </row>
    <row r="3151">
      <c r="A3151" s="8" t="s">
        <v>4458</v>
      </c>
      <c r="B3151" s="13" t="str">
        <f>HYPERLINK("https://shopee.co.id/KANEBO-Illuminating-Serum-50ml-i.169111593.3113918868", "https://shopee.co.id/KANEBO-Illuminating-Serum-50ml-i.169111593.3113918868")</f>
        <v>https://shopee.co.id/KANEBO-Illuminating-Serum-50ml-i.169111593.3113918868</v>
      </c>
      <c r="C3151" s="8" t="s">
        <v>1473</v>
      </c>
      <c r="D3151" s="8" t="s">
        <v>1474</v>
      </c>
      <c r="E3151" s="8" t="s">
        <v>12</v>
      </c>
      <c r="F3151" s="8" t="s">
        <v>13</v>
      </c>
      <c r="G3151" s="8" t="s">
        <v>532</v>
      </c>
      <c r="H3151" s="16">
        <v>0.0</v>
      </c>
      <c r="I3151" s="15" t="str">
        <f>SUBSTITUTE(Sheet1!K3151, "Rp", "")</f>
        <v>0</v>
      </c>
    </row>
    <row r="3152">
      <c r="A3152" s="8" t="s">
        <v>4459</v>
      </c>
      <c r="B3152" s="13" t="str">
        <f>HYPERLINK("https://shopee.co.id/Kerastase-8H-Magic-Night-Serum-90-Ml-i.239487385.6822336390", "https://shopee.co.id/Kerastase-8H-Magic-Night-Serum-90-Ml-i.239487385.6822336390")</f>
        <v>https://shopee.co.id/Kerastase-8H-Magic-Night-Serum-90-Ml-i.239487385.6822336390</v>
      </c>
      <c r="C3152" s="8" t="s">
        <v>2560</v>
      </c>
      <c r="D3152" s="8" t="s">
        <v>4460</v>
      </c>
      <c r="E3152" s="8" t="s">
        <v>12</v>
      </c>
      <c r="F3152" s="8" t="s">
        <v>13</v>
      </c>
      <c r="G3152" s="8" t="s">
        <v>1480</v>
      </c>
      <c r="H3152" s="16">
        <v>0.0</v>
      </c>
      <c r="I3152" s="15" t="str">
        <f>SUBSTITUTE(Sheet1!K3152, "Rp", "")</f>
        <v>0</v>
      </c>
    </row>
    <row r="3153">
      <c r="A3153" s="8" t="s">
        <v>4461</v>
      </c>
      <c r="B3153" s="13" t="str">
        <f>HYPERLINK("https://shopee.co.id/Kerastase-8H-Magic-Night-Serum-90ml-Serum-Rambut-Malam-Hari-i.252376370.4456992169", "https://shopee.co.id/Kerastase-8H-Magic-Night-Serum-90ml-Serum-Rambut-Malam-Hari-i.252376370.4456992169")</f>
        <v>https://shopee.co.id/Kerastase-8H-Magic-Night-Serum-90ml-Serum-Rambut-Malam-Hari-i.252376370.4456992169</v>
      </c>
      <c r="C3153" s="8" t="s">
        <v>2560</v>
      </c>
      <c r="D3153" s="8" t="s">
        <v>2561</v>
      </c>
      <c r="E3153" s="8" t="s">
        <v>12</v>
      </c>
      <c r="F3153" s="8" t="s">
        <v>13</v>
      </c>
      <c r="G3153" s="8" t="s">
        <v>1480</v>
      </c>
      <c r="H3153" s="16">
        <v>0.0</v>
      </c>
      <c r="I3153" s="15" t="str">
        <f>SUBSTITUTE(Sheet1!K3153, "Rp", "")</f>
        <v>0</v>
      </c>
    </row>
    <row r="3154">
      <c r="A3154" s="8" t="s">
        <v>4462</v>
      </c>
      <c r="B3154" s="13" t="str">
        <f>HYPERLINK("https://shopee.co.id/Kerastase-Chronologiste-Parfum-100ml-Serum-Rambut-Anti-Penuaan-i.252376370.4457427892", "https://shopee.co.id/Kerastase-Chronologiste-Parfum-100ml-Serum-Rambut-Anti-Penuaan-i.252376370.4457427892")</f>
        <v>https://shopee.co.id/Kerastase-Chronologiste-Parfum-100ml-Serum-Rambut-Anti-Penuaan-i.252376370.4457427892</v>
      </c>
      <c r="C3154" s="8" t="s">
        <v>2560</v>
      </c>
      <c r="D3154" s="8" t="s">
        <v>2561</v>
      </c>
      <c r="E3154" s="8" t="s">
        <v>12</v>
      </c>
      <c r="F3154" s="8" t="s">
        <v>13</v>
      </c>
      <c r="G3154" s="8" t="s">
        <v>1480</v>
      </c>
      <c r="H3154" s="16">
        <v>0.0</v>
      </c>
      <c r="I3154" s="15" t="str">
        <f>SUBSTITUTE(Sheet1!K3154, "Rp", "")</f>
        <v>0</v>
      </c>
    </row>
    <row r="3155">
      <c r="A3155" s="8" t="s">
        <v>4463</v>
      </c>
      <c r="B3155" s="13" t="str">
        <f>HYPERLINK("https://shopee.co.id/Kerastase-Lait-Vital-200ml-Kondisioner-Rambut-Kering-i.252376370.7486699282", "https://shopee.co.id/Kerastase-Lait-Vital-200ml-Kondisioner-Rambut-Kering-i.252376370.7486699282")</f>
        <v>https://shopee.co.id/Kerastase-Lait-Vital-200ml-Kondisioner-Rambut-Kering-i.252376370.7486699282</v>
      </c>
      <c r="C3155" s="8" t="s">
        <v>2560</v>
      </c>
      <c r="D3155" s="8" t="s">
        <v>2561</v>
      </c>
      <c r="E3155" s="8" t="s">
        <v>12</v>
      </c>
      <c r="F3155" s="8" t="s">
        <v>13</v>
      </c>
      <c r="G3155" s="8" t="s">
        <v>1480</v>
      </c>
      <c r="H3155" s="16">
        <v>0.0</v>
      </c>
      <c r="I3155" s="15" t="str">
        <f>SUBSTITUTE(Sheet1!K3155, "Rp", "")</f>
        <v>0</v>
      </c>
    </row>
    <row r="3156">
      <c r="A3156" s="8" t="s">
        <v>4464</v>
      </c>
      <c r="B3156" s="13" t="str">
        <f>HYPERLINK("https://shopee.co.id/KEZIA-Skincare-Serum-Whitening-15ml-Packaging-Lama--i.193506655.5739507360", "https://shopee.co.id/KEZIA-Skincare-Serum-Whitening-15ml-Packaging-Lama--i.193506655.5739507360")</f>
        <v>https://shopee.co.id/KEZIA-Skincare-Serum-Whitening-15ml-Packaging-Lama--i.193506655.5739507360</v>
      </c>
      <c r="C3156" s="8" t="s">
        <v>2762</v>
      </c>
      <c r="D3156" s="8" t="s">
        <v>2763</v>
      </c>
      <c r="E3156" s="8" t="s">
        <v>12</v>
      </c>
      <c r="F3156" s="8" t="s">
        <v>13</v>
      </c>
      <c r="G3156" s="8" t="s">
        <v>532</v>
      </c>
      <c r="H3156" s="16">
        <v>0.0</v>
      </c>
      <c r="I3156" s="15" t="str">
        <f>SUBSTITUTE(Sheet1!K3156, "Rp", "")</f>
        <v>0</v>
      </c>
    </row>
    <row r="3157">
      <c r="A3157" s="8" t="s">
        <v>4465</v>
      </c>
      <c r="B3157" s="13" t="str">
        <f>HYPERLINK("https://shopee.co.id/Kiehl-s-Calendula-Serum-Infused-Water-Cream-28ml-i.825870.7255187960", "https://shopee.co.id/Kiehl-s-Calendula-Serum-Infused-Water-Cream-28ml-i.825870.7255187960")</f>
        <v>https://shopee.co.id/Kiehl-s-Calendula-Serum-Infused-Water-Cream-28ml-i.825870.7255187960</v>
      </c>
      <c r="C3157" s="8" t="s">
        <v>2964</v>
      </c>
      <c r="D3157" s="8" t="s">
        <v>1184</v>
      </c>
      <c r="E3157" s="8" t="s">
        <v>12</v>
      </c>
      <c r="F3157" s="8" t="s">
        <v>13</v>
      </c>
      <c r="G3157" s="8" t="s">
        <v>21</v>
      </c>
      <c r="H3157" s="16">
        <v>0.0</v>
      </c>
      <c r="I3157" s="15" t="str">
        <f>SUBSTITUTE(Sheet1!K3157, "Rp", "")</f>
        <v>0</v>
      </c>
    </row>
    <row r="3158">
      <c r="A3158" s="8" t="s">
        <v>4466</v>
      </c>
      <c r="B3158" s="13" t="str">
        <f>HYPERLINK("https://shopee.co.id/Kiehl-s-Clearly-Corrective-Dark-Spot-Solution-15ml-i.825870.8283539664", "https://shopee.co.id/Kiehl-s-Clearly-Corrective-Dark-Spot-Solution-15ml-i.825870.8283539664")</f>
        <v>https://shopee.co.id/Kiehl-s-Clearly-Corrective-Dark-Spot-Solution-15ml-i.825870.8283539664</v>
      </c>
      <c r="C3158" s="8" t="s">
        <v>2964</v>
      </c>
      <c r="D3158" s="8" t="s">
        <v>1184</v>
      </c>
      <c r="E3158" s="8" t="s">
        <v>12</v>
      </c>
      <c r="F3158" s="8" t="s">
        <v>13</v>
      </c>
      <c r="G3158" s="8" t="s">
        <v>21</v>
      </c>
      <c r="H3158" s="16">
        <v>0.0</v>
      </c>
      <c r="I3158" s="15" t="str">
        <f>SUBSTITUTE(Sheet1!K3158, "Rp", "")</f>
        <v>0</v>
      </c>
    </row>
    <row r="3159">
      <c r="A3159" s="8" t="s">
        <v>4467</v>
      </c>
      <c r="B3159" s="13" t="str">
        <f>HYPERLINK("https://shopee.co.id/Kiehl-s-Clearly-Corrective-Dark-Spot-Solution-30ml-i.825870.1156731296", "https://shopee.co.id/Kiehl-s-Clearly-Corrective-Dark-Spot-Solution-30ml-i.825870.1156731296")</f>
        <v>https://shopee.co.id/Kiehl-s-Clearly-Corrective-Dark-Spot-Solution-30ml-i.825870.1156731296</v>
      </c>
      <c r="C3159" s="8" t="s">
        <v>2964</v>
      </c>
      <c r="D3159" s="8" t="s">
        <v>1184</v>
      </c>
      <c r="E3159" s="8" t="s">
        <v>12</v>
      </c>
      <c r="F3159" s="8" t="s">
        <v>13</v>
      </c>
      <c r="G3159" s="8" t="s">
        <v>21</v>
      </c>
      <c r="H3159" s="16">
        <v>0.0</v>
      </c>
      <c r="I3159" s="15" t="str">
        <f>SUBSTITUTE(Sheet1!K3159, "Rp", "")</f>
        <v>0</v>
      </c>
    </row>
    <row r="3160">
      <c r="A3160" s="8" t="s">
        <v>4468</v>
      </c>
      <c r="B3160" s="13" t="str">
        <f>HYPERLINK("https://shopee.co.id/Kiehl-s-Daily-Reviving-Concentrate-30ml-i.825870.1054307534", "https://shopee.co.id/Kiehl-s-Daily-Reviving-Concentrate-30ml-i.825870.1054307534")</f>
        <v>https://shopee.co.id/Kiehl-s-Daily-Reviving-Concentrate-30ml-i.825870.1054307534</v>
      </c>
      <c r="C3160" s="8" t="s">
        <v>2964</v>
      </c>
      <c r="D3160" s="8" t="s">
        <v>1184</v>
      </c>
      <c r="E3160" s="8" t="s">
        <v>12</v>
      </c>
      <c r="F3160" s="8" t="s">
        <v>13</v>
      </c>
      <c r="G3160" s="8" t="s">
        <v>98</v>
      </c>
      <c r="H3160" s="16">
        <v>0.0</v>
      </c>
      <c r="I3160" s="15" t="str">
        <f>SUBSTITUTE(Sheet1!K3160, "Rp", "")</f>
        <v>0</v>
      </c>
    </row>
    <row r="3161">
      <c r="A3161" s="8" t="s">
        <v>4469</v>
      </c>
      <c r="B3161" s="13" t="str">
        <f>HYPERLINK("https://shopee.co.id/Kiehl-s-Iris-Extract-Activating-Essence-200ml-i.825870.1151787511", "https://shopee.co.id/Kiehl-s-Iris-Extract-Activating-Essence-200ml-i.825870.1151787511")</f>
        <v>https://shopee.co.id/Kiehl-s-Iris-Extract-Activating-Essence-200ml-i.825870.1151787511</v>
      </c>
      <c r="C3161" s="8" t="s">
        <v>2964</v>
      </c>
      <c r="D3161" s="8" t="s">
        <v>1184</v>
      </c>
      <c r="E3161" s="8" t="s">
        <v>12</v>
      </c>
      <c r="F3161" s="8" t="s">
        <v>13</v>
      </c>
      <c r="G3161" s="8" t="s">
        <v>21</v>
      </c>
      <c r="H3161" s="16">
        <v>0.0</v>
      </c>
      <c r="I3161" s="15" t="str">
        <f>SUBSTITUTE(Sheet1!K3161, "Rp", "")</f>
        <v>0</v>
      </c>
    </row>
    <row r="3162">
      <c r="A3162" s="8" t="s">
        <v>4470</v>
      </c>
      <c r="B3162" s="13" t="str">
        <f>HYPERLINK("https://shopee.co.id/Kiehl-s-Midnight-Recovery-Concentrate-30ml-WB-i.825870.134997134", "https://shopee.co.id/Kiehl-s-Midnight-Recovery-Concentrate-30ml-WB-i.825870.134997134")</f>
        <v>https://shopee.co.id/Kiehl-s-Midnight-Recovery-Concentrate-30ml-WB-i.825870.134997134</v>
      </c>
      <c r="C3162" s="8" t="s">
        <v>2964</v>
      </c>
      <c r="D3162" s="8" t="s">
        <v>1184</v>
      </c>
      <c r="E3162" s="8" t="s">
        <v>12</v>
      </c>
      <c r="F3162" s="8" t="s">
        <v>13</v>
      </c>
      <c r="G3162" s="8" t="s">
        <v>98</v>
      </c>
      <c r="H3162" s="16">
        <v>0.0</v>
      </c>
      <c r="I3162" s="15" t="str">
        <f>SUBSTITUTE(Sheet1!K3162, "Rp", "")</f>
        <v>0</v>
      </c>
    </row>
    <row r="3163">
      <c r="A3163" s="8" t="s">
        <v>4471</v>
      </c>
      <c r="B3163" s="13" t="str">
        <f>HYPERLINK("https://shopee.co.id/Kiehl-s-Nightly-Refining-Micro-Peel-30ml-i.825870.1605132911", "https://shopee.co.id/Kiehl-s-Nightly-Refining-Micro-Peel-30ml-i.825870.1605132911")</f>
        <v>https://shopee.co.id/Kiehl-s-Nightly-Refining-Micro-Peel-30ml-i.825870.1605132911</v>
      </c>
      <c r="C3163" s="8" t="s">
        <v>2964</v>
      </c>
      <c r="D3163" s="8" t="s">
        <v>1184</v>
      </c>
      <c r="E3163" s="8" t="s">
        <v>12</v>
      </c>
      <c r="F3163" s="8" t="s">
        <v>13</v>
      </c>
      <c r="G3163" s="8" t="s">
        <v>21</v>
      </c>
      <c r="H3163" s="16">
        <v>0.0</v>
      </c>
      <c r="I3163" s="15" t="str">
        <f>SUBSTITUTE(Sheet1!K3163, "Rp", "")</f>
        <v>0</v>
      </c>
    </row>
    <row r="3164">
      <c r="A3164" s="8" t="s">
        <v>4472</v>
      </c>
      <c r="B3164" s="13" t="str">
        <f>HYPERLINK("https://shopee.co.id/Kiehl-s-Powerful-Strength-Line-Reducing-50ml-i.825870.1429665881", "https://shopee.co.id/Kiehl-s-Powerful-Strength-Line-Reducing-50ml-i.825870.1429665881")</f>
        <v>https://shopee.co.id/Kiehl-s-Powerful-Strength-Line-Reducing-50ml-i.825870.1429665881</v>
      </c>
      <c r="C3164" s="8" t="s">
        <v>2964</v>
      </c>
      <c r="D3164" s="8" t="s">
        <v>1184</v>
      </c>
      <c r="E3164" s="8" t="s">
        <v>12</v>
      </c>
      <c r="F3164" s="8" t="s">
        <v>13</v>
      </c>
      <c r="G3164" s="8" t="s">
        <v>21</v>
      </c>
      <c r="H3164" s="16">
        <v>0.0</v>
      </c>
      <c r="I3164" s="15" t="str">
        <f>SUBSTITUTE(Sheet1!K3164, "Rp", "")</f>
        <v>0</v>
      </c>
    </row>
    <row r="3165">
      <c r="A3165" s="8" t="s">
        <v>4473</v>
      </c>
      <c r="B3165" s="13" t="str">
        <f>HYPERLINK("https://shopee.co.id/KIEHLS-Vital-Skin-Strengthening-Super-Serum-i.68111.3038354759", "https://shopee.co.id/KIEHLS-Vital-Skin-Strengthening-Super-Serum-i.68111.3038354759")</f>
        <v>https://shopee.co.id/KIEHLS-Vital-Skin-Strengthening-Super-Serum-i.68111.3038354759</v>
      </c>
      <c r="C3165" s="8" t="s">
        <v>2964</v>
      </c>
      <c r="D3165" s="8" t="s">
        <v>441</v>
      </c>
      <c r="E3165" s="8" t="s">
        <v>12</v>
      </c>
      <c r="F3165" s="8" t="s">
        <v>13</v>
      </c>
      <c r="G3165" s="8" t="s">
        <v>130</v>
      </c>
      <c r="H3165" s="16">
        <v>0.0</v>
      </c>
      <c r="I3165" s="15" t="str">
        <f>SUBSTITUTE(Sheet1!K3165, "Rp", "")</f>
        <v>0</v>
      </c>
    </row>
    <row r="3166">
      <c r="A3166" s="8" t="s">
        <v>4474</v>
      </c>
      <c r="B3166" s="13" t="str">
        <f>HYPERLINK("https://shopee.co.id/Kifa-Adonis-Gold-Serum-with-Gold-Laminaria-Japonica-Extract-Semua-Jenis-Kulit-20-ml-i.307898880.5159440996", "https://shopee.co.id/Kifa-Adonis-Gold-Serum-with-Gold-Laminaria-Japonica-Extract-Semua-Jenis-Kulit-20-ml-i.307898880.5159440996")</f>
        <v>https://shopee.co.id/Kifa-Adonis-Gold-Serum-with-Gold-Laminaria-Japonica-Extract-Semua-Jenis-Kulit-20-ml-i.307898880.5159440996</v>
      </c>
      <c r="C3166" s="8" t="s">
        <v>4475</v>
      </c>
      <c r="D3166" s="8" t="s">
        <v>4476</v>
      </c>
      <c r="E3166" s="8" t="s">
        <v>12</v>
      </c>
      <c r="F3166" s="8" t="s">
        <v>13</v>
      </c>
      <c r="G3166" s="8" t="s">
        <v>98</v>
      </c>
      <c r="H3166" s="16">
        <v>0.0</v>
      </c>
      <c r="I3166" s="15" t="str">
        <f>SUBSTITUTE(Sheet1!K3166, "Rp", "")</f>
        <v>0</v>
      </c>
    </row>
    <row r="3167">
      <c r="A3167" s="8" t="s">
        <v>4477</v>
      </c>
      <c r="B3167" s="13" t="str">
        <f>HYPERLINK("https://shopee.co.id/KKV-CORSX-Mela-14-White-Ampule-20-ml-i.261911729.3441646455", "https://shopee.co.id/KKV-CORSX-Mela-14-White-Ampule-20-ml-i.261911729.3441646455")</f>
        <v>https://shopee.co.id/KKV-CORSX-Mela-14-White-Ampule-20-ml-i.261911729.3441646455</v>
      </c>
      <c r="C3167" s="8" t="s">
        <v>305</v>
      </c>
      <c r="D3167" s="8" t="s">
        <v>1485</v>
      </c>
      <c r="E3167" s="8" t="s">
        <v>12</v>
      </c>
      <c r="F3167" s="8" t="s">
        <v>13</v>
      </c>
      <c r="G3167" s="8" t="s">
        <v>61</v>
      </c>
      <c r="H3167" s="16">
        <v>0.0</v>
      </c>
      <c r="I3167" s="15" t="str">
        <f>SUBSTITUTE(Sheet1!K3167, "Rp", "")</f>
        <v>0</v>
      </c>
    </row>
    <row r="3168">
      <c r="A3168" s="8" t="s">
        <v>4478</v>
      </c>
      <c r="B3168" s="13" t="str">
        <f>HYPERLINK("https://shopee.co.id/KKV-Everwhite-Brightening-Essence-Serum-15g-i.261911729.6989174897", "https://shopee.co.id/KKV-Everwhite-Brightening-Essence-Serum-15g-i.261911729.6989174897")</f>
        <v>https://shopee.co.id/KKV-Everwhite-Brightening-Essence-Serum-15g-i.261911729.6989174897</v>
      </c>
      <c r="C3168" s="8" t="s">
        <v>157</v>
      </c>
      <c r="D3168" s="8" t="s">
        <v>1485</v>
      </c>
      <c r="E3168" s="8" t="s">
        <v>12</v>
      </c>
      <c r="F3168" s="8" t="s">
        <v>13</v>
      </c>
      <c r="G3168" s="8" t="s">
        <v>21</v>
      </c>
      <c r="H3168" s="16">
        <v>0.0</v>
      </c>
      <c r="I3168" s="15" t="str">
        <f>SUBSTITUTE(Sheet1!K3168, "Rp", "")</f>
        <v>0</v>
      </c>
    </row>
    <row r="3169">
      <c r="A3169" s="8" t="s">
        <v>4479</v>
      </c>
      <c r="B3169" s="13" t="str">
        <f>HYPERLINK("https://shopee.co.id/KKV-Holika-Holika-One-Solution-Ampoule-Brightening-30ml-Serum-Wajah-Nutrisi-Wajah-i.261911729.6241536938", "https://shopee.co.id/KKV-Holika-Holika-One-Solution-Ampoule-Brightening-30ml-Serum-Wajah-Nutrisi-Wajah-i.261911729.6241536938")</f>
        <v>https://shopee.co.id/KKV-Holika-Holika-One-Solution-Ampoule-Brightening-30ml-Serum-Wajah-Nutrisi-Wajah-i.261911729.6241536938</v>
      </c>
      <c r="C3169" s="8" t="s">
        <v>2265</v>
      </c>
      <c r="D3169" s="8" t="s">
        <v>1485</v>
      </c>
      <c r="E3169" s="8" t="s">
        <v>12</v>
      </c>
      <c r="F3169" s="8" t="s">
        <v>13</v>
      </c>
      <c r="G3169" s="8" t="s">
        <v>61</v>
      </c>
      <c r="H3169" s="16">
        <v>0.0</v>
      </c>
      <c r="I3169" s="15" t="str">
        <f>SUBSTITUTE(Sheet1!K3169, "Rp", "")</f>
        <v>0</v>
      </c>
    </row>
    <row r="3170">
      <c r="A3170" s="8" t="s">
        <v>4480</v>
      </c>
      <c r="B3170" s="13" t="str">
        <f>HYPERLINK("https://shopee.co.id/KKV-Holika-Holika-One-Solution-Ampoule-Firming-Serum-i.313431312.7559566447", "https://shopee.co.id/KKV-Holika-Holika-One-Solution-Ampoule-Firming-Serum-i.313431312.7559566447")</f>
        <v>https://shopee.co.id/KKV-Holika-Holika-One-Solution-Ampoule-Firming-Serum-i.313431312.7559566447</v>
      </c>
      <c r="C3170" s="8" t="s">
        <v>2265</v>
      </c>
      <c r="D3170" s="8" t="s">
        <v>1524</v>
      </c>
      <c r="E3170" s="8" t="s">
        <v>12</v>
      </c>
      <c r="F3170" s="8" t="s">
        <v>13</v>
      </c>
      <c r="G3170" s="8" t="s">
        <v>61</v>
      </c>
      <c r="H3170" s="16">
        <v>0.0</v>
      </c>
      <c r="I3170" s="15" t="str">
        <f>SUBSTITUTE(Sheet1!K3170, "Rp", "")</f>
        <v>0</v>
      </c>
    </row>
    <row r="3171">
      <c r="A3171" s="8" t="s">
        <v>4481</v>
      </c>
      <c r="B3171" s="13" t="str">
        <f>HYPERLINK("https://shopee.co.id/KKV-ITS-Skin-Power-10-Formula-VE-Effector-Serum-Wajah-i.313431312.6062041253", "https://shopee.co.id/KKV-ITS-Skin-Power-10-Formula-VE-Effector-Serum-Wajah-i.313431312.6062041253")</f>
        <v>https://shopee.co.id/KKV-ITS-Skin-Power-10-Formula-VE-Effector-Serum-Wajah-i.313431312.6062041253</v>
      </c>
      <c r="C3171" s="8" t="s">
        <v>4482</v>
      </c>
      <c r="D3171" s="8" t="s">
        <v>1524</v>
      </c>
      <c r="E3171" s="8" t="s">
        <v>12</v>
      </c>
      <c r="F3171" s="8" t="s">
        <v>13</v>
      </c>
      <c r="G3171" s="8" t="s">
        <v>61</v>
      </c>
      <c r="H3171" s="16">
        <v>0.0</v>
      </c>
      <c r="I3171" s="15" t="str">
        <f>SUBSTITUTE(Sheet1!K3171, "Rp", "")</f>
        <v>0</v>
      </c>
    </row>
    <row r="3172">
      <c r="A3172" s="8" t="s">
        <v>4483</v>
      </c>
      <c r="B3172" s="13" t="str">
        <f>HYPERLINK("https://shopee.co.id/KKV-ITS-Skin-Power-10-Formula-WH-Effector-30ml-Serum-Wajah-Nutrisi-Wajah-i.261911729.4841543425", "https://shopee.co.id/KKV-ITS-Skin-Power-10-Formula-WH-Effector-30ml-Serum-Wajah-Nutrisi-Wajah-i.261911729.4841543425")</f>
        <v>https://shopee.co.id/KKV-ITS-Skin-Power-10-Formula-WH-Effector-30ml-Serum-Wajah-Nutrisi-Wajah-i.261911729.4841543425</v>
      </c>
      <c r="C3172" s="8" t="s">
        <v>4482</v>
      </c>
      <c r="D3172" s="8" t="s">
        <v>1485</v>
      </c>
      <c r="E3172" s="8" t="s">
        <v>12</v>
      </c>
      <c r="F3172" s="8" t="s">
        <v>13</v>
      </c>
      <c r="G3172" s="8" t="s">
        <v>61</v>
      </c>
      <c r="H3172" s="16">
        <v>0.0</v>
      </c>
      <c r="I3172" s="15" t="str">
        <f>SUBSTITUTE(Sheet1!K3172, "Rp", "")</f>
        <v>0</v>
      </c>
    </row>
    <row r="3173">
      <c r="A3173" s="8" t="s">
        <v>4484</v>
      </c>
      <c r="B3173" s="13" t="str">
        <f>HYPERLINK("https://shopee.co.id/KKV-POWER-10-Vitamin-C-Serum-30ML-Serum-Wajah-Nutrisi-Wajah-i.261911729.6341541811", "https://shopee.co.id/KKV-POWER-10-Vitamin-C-Serum-30ML-Serum-Wajah-Nutrisi-Wajah-i.261911729.6341541811")</f>
        <v>https://shopee.co.id/KKV-POWER-10-Vitamin-C-Serum-30ML-Serum-Wajah-Nutrisi-Wajah-i.261911729.6341541811</v>
      </c>
      <c r="C3173" s="8" t="s">
        <v>4485</v>
      </c>
      <c r="D3173" s="8" t="s">
        <v>1485</v>
      </c>
      <c r="E3173" s="8" t="s">
        <v>12</v>
      </c>
      <c r="F3173" s="8" t="s">
        <v>13</v>
      </c>
      <c r="G3173" s="8" t="s">
        <v>61</v>
      </c>
      <c r="H3173" s="16">
        <v>0.0</v>
      </c>
      <c r="I3173" s="15" t="str">
        <f>SUBSTITUTE(Sheet1!K3173, "Rp", "")</f>
        <v>0</v>
      </c>
    </row>
    <row r="3174">
      <c r="A3174" s="8" t="s">
        <v>4486</v>
      </c>
      <c r="B3174" s="13" t="str">
        <f>HYPERLINK("https://shopee.co.id/KKV-Smooto-Lemon-C-Snail-Oil-Control-Serum-10g-i.261911729.7743432835", "https://shopee.co.id/KKV-Smooto-Lemon-C-Snail-Oil-Control-Serum-10g-i.261911729.7743432835")</f>
        <v>https://shopee.co.id/KKV-Smooto-Lemon-C-Snail-Oil-Control-Serum-10g-i.261911729.7743432835</v>
      </c>
      <c r="C3174" s="8" t="s">
        <v>2779</v>
      </c>
      <c r="D3174" s="8" t="s">
        <v>1485</v>
      </c>
      <c r="E3174" s="8" t="s">
        <v>12</v>
      </c>
      <c r="F3174" s="8" t="s">
        <v>13</v>
      </c>
      <c r="G3174" s="8" t="s">
        <v>61</v>
      </c>
      <c r="H3174" s="16">
        <v>0.0</v>
      </c>
      <c r="I3174" s="15" t="str">
        <f>SUBSTITUTE(Sheet1!K3174, "Rp", "")</f>
        <v>0</v>
      </c>
    </row>
    <row r="3175">
      <c r="A3175" s="8" t="s">
        <v>4487</v>
      </c>
      <c r="B3175" s="13" t="str">
        <f>HYPERLINK("https://shopee.co.id/KKV-SOMETHINC-10-Niacinamide-Moisture-Sabi-Beet-Max-Brightening-Serum-Skincare-20ml-i.261911729.8848502206", "https://shopee.co.id/KKV-SOMETHINC-10-Niacinamide-Moisture-Sabi-Beet-Max-Brightening-Serum-Skincare-20ml-i.261911729.8848502206")</f>
        <v>https://shopee.co.id/KKV-SOMETHINC-10-Niacinamide-Moisture-Sabi-Beet-Max-Brightening-Serum-Skincare-20ml-i.261911729.8848502206</v>
      </c>
      <c r="C3175" s="8" t="s">
        <v>45</v>
      </c>
      <c r="D3175" s="8" t="s">
        <v>1485</v>
      </c>
      <c r="E3175" s="8" t="s">
        <v>12</v>
      </c>
      <c r="F3175" s="8" t="s">
        <v>13</v>
      </c>
      <c r="G3175" s="8" t="s">
        <v>61</v>
      </c>
      <c r="H3175" s="16">
        <v>0.0</v>
      </c>
      <c r="I3175" s="15" t="str">
        <f>SUBSTITUTE(Sheet1!K3175, "Rp", "")</f>
        <v>0</v>
      </c>
    </row>
    <row r="3176">
      <c r="A3176" s="8" t="s">
        <v>4488</v>
      </c>
      <c r="B3176" s="13" t="str">
        <f>HYPERLINK("https://shopee.co.id/KKV-SOMETHINC-5-Niacinamide-Moisture-Sabi-Beet-Serum-Skincare-20ml-i.261911729.8848495978", "https://shopee.co.id/KKV-SOMETHINC-5-Niacinamide-Moisture-Sabi-Beet-Serum-Skincare-20ml-i.261911729.8848495978")</f>
        <v>https://shopee.co.id/KKV-SOMETHINC-5-Niacinamide-Moisture-Sabi-Beet-Serum-Skincare-20ml-i.261911729.8848495978</v>
      </c>
      <c r="C3176" s="8" t="s">
        <v>45</v>
      </c>
      <c r="D3176" s="8" t="s">
        <v>1485</v>
      </c>
      <c r="E3176" s="8" t="s">
        <v>12</v>
      </c>
      <c r="F3176" s="8" t="s">
        <v>13</v>
      </c>
      <c r="G3176" s="8" t="s">
        <v>61</v>
      </c>
      <c r="H3176" s="16">
        <v>0.0</v>
      </c>
      <c r="I3176" s="15" t="str">
        <f>SUBSTITUTE(Sheet1!K3176, "Rp", "")</f>
        <v>0</v>
      </c>
    </row>
    <row r="3177">
      <c r="A3177" s="8" t="s">
        <v>4489</v>
      </c>
      <c r="B3177" s="13" t="str">
        <f>HYPERLINK("https://shopee.co.id/KKV-SOMETHINC-Hyaluronic-B5-Serum-Skincare-20ml-i.261911729.2950140805", "https://shopee.co.id/KKV-SOMETHINC-Hyaluronic-B5-Serum-Skincare-20ml-i.261911729.2950140805")</f>
        <v>https://shopee.co.id/KKV-SOMETHINC-Hyaluronic-B5-Serum-Skincare-20ml-i.261911729.2950140805</v>
      </c>
      <c r="C3177" s="8" t="s">
        <v>45</v>
      </c>
      <c r="D3177" s="8" t="s">
        <v>1485</v>
      </c>
      <c r="E3177" s="8" t="s">
        <v>12</v>
      </c>
      <c r="F3177" s="8" t="s">
        <v>13</v>
      </c>
      <c r="G3177" s="8" t="s">
        <v>61</v>
      </c>
      <c r="H3177" s="16">
        <v>0.0</v>
      </c>
      <c r="I3177" s="15" t="str">
        <f>SUBSTITUTE(Sheet1!K3177, "Rp", "")</f>
        <v>0</v>
      </c>
    </row>
    <row r="3178">
      <c r="A3178" s="8" t="s">
        <v>4490</v>
      </c>
      <c r="B3178" s="13" t="str">
        <f>HYPERLINK("https://shopee.co.id/Klairs-Freshly-Juiced-Vitamin-Drop-35ml-i.825870.1844956965", "https://shopee.co.id/Klairs-Freshly-Juiced-Vitamin-Drop-35ml-i.825870.1844956965")</f>
        <v>https://shopee.co.id/Klairs-Freshly-Juiced-Vitamin-Drop-35ml-i.825870.1844956965</v>
      </c>
      <c r="C3178" s="8" t="s">
        <v>432</v>
      </c>
      <c r="D3178" s="8" t="s">
        <v>1184</v>
      </c>
      <c r="E3178" s="8" t="s">
        <v>12</v>
      </c>
      <c r="F3178" s="8" t="s">
        <v>13</v>
      </c>
      <c r="G3178" s="8" t="s">
        <v>21</v>
      </c>
      <c r="H3178" s="16">
        <v>0.0</v>
      </c>
      <c r="I3178" s="15" t="str">
        <f>SUBSTITUTE(Sheet1!K3178, "Rp", "")</f>
        <v>0</v>
      </c>
    </row>
    <row r="3179">
      <c r="A3179" s="8" t="s">
        <v>4491</v>
      </c>
      <c r="B3179" s="13" t="str">
        <f>HYPERLINK("https://shopee.co.id/Klairs-Midnight-Blue-Activating-Youth-Drop-20ml-i.10689.1085017478", "https://shopee.co.id/Klairs-Midnight-Blue-Activating-Youth-Drop-20ml-i.10689.1085017478")</f>
        <v>https://shopee.co.id/Klairs-Midnight-Blue-Activating-Youth-Drop-20ml-i.10689.1085017478</v>
      </c>
      <c r="C3179" s="8" t="s">
        <v>432</v>
      </c>
      <c r="D3179" s="8" t="s">
        <v>745</v>
      </c>
      <c r="E3179" s="8" t="s">
        <v>12</v>
      </c>
      <c r="F3179" s="8" t="s">
        <v>13</v>
      </c>
      <c r="G3179" s="8" t="s">
        <v>61</v>
      </c>
      <c r="H3179" s="16">
        <v>0.0</v>
      </c>
      <c r="I3179" s="15" t="str">
        <f>SUBSTITUTE(Sheet1!K3179, "Rp", "")</f>
        <v>0</v>
      </c>
    </row>
    <row r="3180">
      <c r="A3180" s="8" t="s">
        <v>4492</v>
      </c>
      <c r="B3180" s="13" t="str">
        <f>HYPERLINK("https://shopee.co.id/Klairs-Midnight-Blue-Youth-Activating-Drop-20ml-i.825870.1845014247", "https://shopee.co.id/Klairs-Midnight-Blue-Youth-Activating-Drop-20ml-i.825870.1845014247")</f>
        <v>https://shopee.co.id/Klairs-Midnight-Blue-Youth-Activating-Drop-20ml-i.825870.1845014247</v>
      </c>
      <c r="C3180" s="8" t="s">
        <v>432</v>
      </c>
      <c r="D3180" s="8" t="s">
        <v>1184</v>
      </c>
      <c r="E3180" s="8" t="s">
        <v>12</v>
      </c>
      <c r="F3180" s="8" t="s">
        <v>13</v>
      </c>
      <c r="G3180" s="8" t="s">
        <v>21</v>
      </c>
      <c r="H3180" s="16">
        <v>0.0</v>
      </c>
      <c r="I3180" s="15" t="str">
        <f>SUBSTITUTE(Sheet1!K3180, "Rp", "")</f>
        <v>0</v>
      </c>
    </row>
    <row r="3181">
      <c r="A3181" s="8" t="s">
        <v>4493</v>
      </c>
      <c r="B3181" s="13" t="str">
        <f>HYPERLINK("https://shopee.co.id/Klairs-Rich-Moist-Soothing-Serum-80ml-i.825870.1845215250", "https://shopee.co.id/Klairs-Rich-Moist-Soothing-Serum-80ml-i.825870.1845215250")</f>
        <v>https://shopee.co.id/Klairs-Rich-Moist-Soothing-Serum-80ml-i.825870.1845215250</v>
      </c>
      <c r="C3181" s="8" t="s">
        <v>2240</v>
      </c>
      <c r="D3181" s="8" t="s">
        <v>1184</v>
      </c>
      <c r="E3181" s="8" t="s">
        <v>12</v>
      </c>
      <c r="F3181" s="8" t="s">
        <v>13</v>
      </c>
      <c r="G3181" s="8" t="s">
        <v>21</v>
      </c>
      <c r="H3181" s="16">
        <v>0.0</v>
      </c>
      <c r="I3181" s="15" t="str">
        <f>SUBSTITUTE(Sheet1!K3181, "Rp", "")</f>
        <v>0</v>
      </c>
    </row>
    <row r="3182">
      <c r="A3182" s="8" t="s">
        <v>4494</v>
      </c>
      <c r="B3182" s="13" t="str">
        <f>HYPERLINK("https://shopee.co.id/KLAIRS-Sample-Sachet-i.68111.1331838636", "https://shopee.co.id/KLAIRS-Sample-Sachet-i.68111.1331838636")</f>
        <v>https://shopee.co.id/KLAIRS-Sample-Sachet-i.68111.1331838636</v>
      </c>
      <c r="C3182" s="8" t="s">
        <v>432</v>
      </c>
      <c r="D3182" s="8" t="s">
        <v>441</v>
      </c>
      <c r="E3182" s="8" t="s">
        <v>12</v>
      </c>
      <c r="F3182" s="8" t="s">
        <v>13</v>
      </c>
      <c r="G3182" s="8" t="s">
        <v>130</v>
      </c>
      <c r="H3182" s="16">
        <v>0.0</v>
      </c>
      <c r="I3182" s="15" t="str">
        <f>SUBSTITUTE(Sheet1!K3182, "Rp", "")</f>
        <v>0</v>
      </c>
    </row>
    <row r="3183">
      <c r="A3183" s="8" t="s">
        <v>4495</v>
      </c>
      <c r="B3183" s="13" t="str">
        <f>HYPERLINK("https://shopee.co.id/KLALAB-My-Skin-Barrier-Serum-30ml-i.404614028.8541813537", "https://shopee.co.id/KLALAB-My-Skin-Barrier-Serum-30ml-i.404614028.8541813537")</f>
        <v>https://shopee.co.id/KLALAB-My-Skin-Barrier-Serum-30ml-i.404614028.8541813537</v>
      </c>
      <c r="C3183" s="8" t="s">
        <v>4496</v>
      </c>
      <c r="D3183" s="8" t="s">
        <v>4497</v>
      </c>
      <c r="E3183" s="8" t="s">
        <v>12</v>
      </c>
      <c r="F3183" s="8" t="s">
        <v>13</v>
      </c>
      <c r="G3183" s="8" t="s">
        <v>350</v>
      </c>
      <c r="H3183" s="16">
        <v>0.0</v>
      </c>
      <c r="I3183" s="15" t="str">
        <f>SUBSTITUTE(Sheet1!K3183, "Rp", "")</f>
        <v>0</v>
      </c>
    </row>
    <row r="3184">
      <c r="A3184" s="8" t="s">
        <v>4498</v>
      </c>
      <c r="B3184" s="13" t="str">
        <f>HYPERLINK("https://shopee.co.id/Kleveru-Glass-Skin-Overnight-Serum-20ml-i.825870.5301478469", "https://shopee.co.id/Kleveru-Glass-Skin-Overnight-Serum-20ml-i.825870.5301478469")</f>
        <v>https://shopee.co.id/Kleveru-Glass-Skin-Overnight-Serum-20ml-i.825870.5301478469</v>
      </c>
      <c r="C3184" s="8" t="s">
        <v>2408</v>
      </c>
      <c r="D3184" s="8" t="s">
        <v>1184</v>
      </c>
      <c r="E3184" s="8" t="s">
        <v>12</v>
      </c>
      <c r="F3184" s="8" t="s">
        <v>13</v>
      </c>
      <c r="G3184" s="8" t="s">
        <v>21</v>
      </c>
      <c r="H3184" s="16">
        <v>0.0</v>
      </c>
      <c r="I3184" s="15" t="str">
        <f>SUBSTITUTE(Sheet1!K3184, "Rp", "")</f>
        <v>0</v>
      </c>
    </row>
    <row r="3185">
      <c r="A3185" s="8" t="s">
        <v>3206</v>
      </c>
      <c r="B3185" s="13" t="str">
        <f>HYPERLINK("https://shopee.co.id/Kleveru-Glass-Skin-Overnight-Serum-20ml-i.10689.6468644675", "https://shopee.co.id/Kleveru-Glass-Skin-Overnight-Serum-20ml-i.10689.6468644675")</f>
        <v>https://shopee.co.id/Kleveru-Glass-Skin-Overnight-Serum-20ml-i.10689.6468644675</v>
      </c>
      <c r="C3185" s="8" t="s">
        <v>2408</v>
      </c>
      <c r="D3185" s="8" t="s">
        <v>745</v>
      </c>
      <c r="E3185" s="8" t="s">
        <v>12</v>
      </c>
      <c r="F3185" s="8" t="s">
        <v>13</v>
      </c>
      <c r="G3185" s="8" t="s">
        <v>61</v>
      </c>
      <c r="H3185" s="16">
        <v>0.0</v>
      </c>
      <c r="I3185" s="15" t="str">
        <f>SUBSTITUTE(Sheet1!K3185, "Rp", "")</f>
        <v>0</v>
      </c>
    </row>
    <row r="3186">
      <c r="A3186" s="8" t="s">
        <v>2819</v>
      </c>
      <c r="B3186" s="13" t="str">
        <f>HYPERLINK("https://shopee.co.id/Kleveru-Vitamin-C-10-Ferulic-Serum-15ml-i.10689.3046338416", "https://shopee.co.id/Kleveru-Vitamin-C-10-Ferulic-Serum-15ml-i.10689.3046338416")</f>
        <v>https://shopee.co.id/Kleveru-Vitamin-C-10-Ferulic-Serum-15ml-i.10689.3046338416</v>
      </c>
      <c r="C3186" s="8" t="s">
        <v>2408</v>
      </c>
      <c r="D3186" s="8" t="s">
        <v>745</v>
      </c>
      <c r="E3186" s="8" t="s">
        <v>12</v>
      </c>
      <c r="F3186" s="8" t="s">
        <v>13</v>
      </c>
      <c r="G3186" s="8" t="s">
        <v>61</v>
      </c>
      <c r="H3186" s="16">
        <v>0.0</v>
      </c>
      <c r="I3186" s="15" t="str">
        <f>SUBSTITUTE(Sheet1!K3186, "Rp", "")</f>
        <v>0</v>
      </c>
    </row>
    <row r="3187">
      <c r="A3187" s="8" t="s">
        <v>4499</v>
      </c>
      <c r="B3187" s="13" t="str">
        <f>HYPERLINK("https://shopee.co.id/Kose-Cosmeport-Clear-Turn-Babyish-Precious-B-Mengenyalkan-1-sheet-i.17912887.9432115099", "https://shopee.co.id/Kose-Cosmeport-Clear-Turn-Babyish-Precious-B-Mengenyalkan-1-sheet-i.17912887.9432115099")</f>
        <v>https://shopee.co.id/Kose-Cosmeport-Clear-Turn-Babyish-Precious-B-Mengenyalkan-1-sheet-i.17912887.9432115099</v>
      </c>
      <c r="C3187" s="8" t="s">
        <v>4500</v>
      </c>
      <c r="D3187" s="8" t="s">
        <v>4501</v>
      </c>
      <c r="E3187" s="8" t="s">
        <v>12</v>
      </c>
      <c r="F3187" s="8" t="s">
        <v>13</v>
      </c>
      <c r="G3187" s="8" t="s">
        <v>21</v>
      </c>
      <c r="H3187" s="16">
        <v>0.0</v>
      </c>
      <c r="I3187" s="15" t="str">
        <f>SUBSTITUTE(Sheet1!K3187, "Rp", "")</f>
        <v>0</v>
      </c>
    </row>
    <row r="3188">
      <c r="A3188" s="8" t="s">
        <v>2769</v>
      </c>
      <c r="B3188" s="13" t="str">
        <f>HYPERLINK("https://shopee.co.id/Kulit-Cerah-Merona-i.65323877.6094983241", "https://shopee.co.id/Kulit-Cerah-Merona-i.65323877.6094983241")</f>
        <v>https://shopee.co.id/Kulit-Cerah-Merona-i.65323877.6094983241</v>
      </c>
      <c r="C3188" s="8" t="s">
        <v>4502</v>
      </c>
      <c r="D3188" s="8" t="s">
        <v>1600</v>
      </c>
      <c r="E3188" s="8" t="s">
        <v>12</v>
      </c>
      <c r="F3188" s="8" t="s">
        <v>13</v>
      </c>
      <c r="G3188" s="8" t="s">
        <v>296</v>
      </c>
      <c r="H3188" s="16">
        <v>0.0</v>
      </c>
      <c r="I3188" s="15" t="str">
        <f>SUBSTITUTE(Sheet1!K3188, "Rp", "")</f>
        <v>0</v>
      </c>
    </row>
    <row r="3189">
      <c r="A3189" s="8" t="s">
        <v>4503</v>
      </c>
      <c r="B3189" s="13" t="str">
        <f>HYPERLINK("https://shopee.co.id/Kulit-s-C-Serum-20ml-i.30736001.1044557872", "https://shopee.co.id/Kulit-s-C-Serum-20ml-i.30736001.1044557872")</f>
        <v>https://shopee.co.id/Kulit-s-C-Serum-20ml-i.30736001.1044557872</v>
      </c>
      <c r="C3189" s="8" t="s">
        <v>4504</v>
      </c>
      <c r="D3189" s="8" t="s">
        <v>335</v>
      </c>
      <c r="E3189" s="8" t="s">
        <v>12</v>
      </c>
      <c r="F3189" s="8" t="s">
        <v>13</v>
      </c>
      <c r="G3189" s="8" t="s">
        <v>36</v>
      </c>
      <c r="H3189" s="16">
        <v>0.0</v>
      </c>
      <c r="I3189" s="15" t="str">
        <f>SUBSTITUTE(Sheet1!K3189, "Rp", "")</f>
        <v>0</v>
      </c>
    </row>
    <row r="3190">
      <c r="A3190" s="8" t="s">
        <v>4505</v>
      </c>
      <c r="B3190" s="13" t="str">
        <f>HYPERLINK("https://shopee.co.id/L-Occitane-Aqua-Reotier-Moisture-Prep-Essence-150-mL--i.88079439.1480571622", "https://shopee.co.id/L-Occitane-Aqua-Reotier-Moisture-Prep-Essence-150-mL--i.88079439.1480571622")</f>
        <v>https://shopee.co.id/L-Occitane-Aqua-Reotier-Moisture-Prep-Essence-150-mL--i.88079439.1480571622</v>
      </c>
      <c r="C3190" s="8" t="s">
        <v>579</v>
      </c>
      <c r="D3190" s="8" t="s">
        <v>580</v>
      </c>
      <c r="E3190" s="8" t="s">
        <v>12</v>
      </c>
      <c r="F3190" s="8" t="s">
        <v>13</v>
      </c>
      <c r="G3190" s="8" t="s">
        <v>532</v>
      </c>
      <c r="H3190" s="16">
        <v>0.0</v>
      </c>
      <c r="I3190" s="15" t="str">
        <f>SUBSTITUTE(Sheet1!K3190, "Rp", "")</f>
        <v>0</v>
      </c>
    </row>
    <row r="3191">
      <c r="A3191" s="8" t="s">
        <v>4506</v>
      </c>
      <c r="B3191" s="13" t="str">
        <f>HYPERLINK("https://shopee.co.id/L-Oreal-Dermatologist-Expert-White-Perfect-Laser-Wht-Essence-30ml-i.30736001.431558440", "https://shopee.co.id/L-Oreal-Dermatologist-Expert-White-Perfect-Laser-Wht-Essence-30ml-i.30736001.431558440")</f>
        <v>https://shopee.co.id/L-Oreal-Dermatologist-Expert-White-Perfect-Laser-Wht-Essence-30ml-i.30736001.431558440</v>
      </c>
      <c r="C3191" s="8" t="s">
        <v>105</v>
      </c>
      <c r="D3191" s="8" t="s">
        <v>335</v>
      </c>
      <c r="E3191" s="8" t="s">
        <v>12</v>
      </c>
      <c r="F3191" s="8" t="s">
        <v>13</v>
      </c>
      <c r="G3191" s="8" t="s">
        <v>36</v>
      </c>
      <c r="H3191" s="16">
        <v>0.0</v>
      </c>
      <c r="I3191" s="15" t="str">
        <f>SUBSTITUTE(Sheet1!K3191, "Rp", "")</f>
        <v>0</v>
      </c>
    </row>
    <row r="3192">
      <c r="A3192" s="8" t="s">
        <v>4507</v>
      </c>
      <c r="B3192" s="13" t="str">
        <f>HYPERLINK("https://shopee.co.id/L-Oreal-Paris-Perfect-Clinical-Derm-White-Essence-serum-30ml-i.24819895.3438782441", "https://shopee.co.id/L-Oreal-Paris-Perfect-Clinical-Derm-White-Essence-serum-30ml-i.24819895.3438782441")</f>
        <v>https://shopee.co.id/L-Oreal-Paris-Perfect-Clinical-Derm-White-Essence-serum-30ml-i.24819895.3438782441</v>
      </c>
      <c r="C3192" s="8" t="s">
        <v>105</v>
      </c>
      <c r="D3192" s="8" t="s">
        <v>2491</v>
      </c>
      <c r="E3192" s="8" t="s">
        <v>12</v>
      </c>
      <c r="F3192" s="8" t="s">
        <v>13</v>
      </c>
      <c r="G3192" s="8" t="s">
        <v>1085</v>
      </c>
      <c r="H3192" s="16">
        <v>0.0</v>
      </c>
      <c r="I3192" s="15" t="str">
        <f>SUBSTITUTE(Sheet1!K3192, "Rp", "")</f>
        <v>0</v>
      </c>
    </row>
    <row r="3193">
      <c r="A3193" s="8" t="s">
        <v>4508</v>
      </c>
      <c r="B3193" s="13" t="str">
        <f>HYPERLINK("https://shopee.co.id/L-Oreal-Paris-Revitalift-Crystal-Micro-Essence-Serum-Skin-Care-130-ml-Pro-Youth-Serum-i.62579622.3448837381", "https://shopee.co.id/L-Oreal-Paris-Revitalift-Crystal-Micro-Essence-Serum-Skin-Care-130-ml-Pro-Youth-Serum-i.62579622.3448837381")</f>
        <v>https://shopee.co.id/L-Oreal-Paris-Revitalift-Crystal-Micro-Essence-Serum-Skin-Care-130-ml-Pro-Youth-Serum-i.62579622.3448837381</v>
      </c>
      <c r="C3193" s="8" t="s">
        <v>105</v>
      </c>
      <c r="D3193" s="8" t="s">
        <v>106</v>
      </c>
      <c r="E3193" s="8" t="s">
        <v>12</v>
      </c>
      <c r="F3193" s="8" t="s">
        <v>13</v>
      </c>
      <c r="G3193" s="8" t="s">
        <v>61</v>
      </c>
      <c r="H3193" s="16">
        <v>0.0</v>
      </c>
      <c r="I3193" s="15" t="str">
        <f>SUBSTITUTE(Sheet1!K3193, "Rp", "")</f>
        <v>0</v>
      </c>
    </row>
    <row r="3194">
      <c r="A3194" s="8" t="s">
        <v>4509</v>
      </c>
      <c r="B3194" s="13" t="str">
        <f>HYPERLINK("https://shopee.co.id/L-Oreal-Paris-Revitalift-Crystal-Micro-Essence-Serum-Skin-Care-130-ml-Pro-Youth-Serum-Mask-i.62579622.4348737414", "https://shopee.co.id/L-Oreal-Paris-Revitalift-Crystal-Micro-Essence-Serum-Skin-Care-130-ml-Pro-Youth-Serum-Mask-i.62579622.4348737414")</f>
        <v>https://shopee.co.id/L-Oreal-Paris-Revitalift-Crystal-Micro-Essence-Serum-Skin-Care-130-ml-Pro-Youth-Serum-Mask-i.62579622.4348737414</v>
      </c>
      <c r="C3194" s="8" t="s">
        <v>105</v>
      </c>
      <c r="D3194" s="8" t="s">
        <v>106</v>
      </c>
      <c r="E3194" s="8" t="s">
        <v>12</v>
      </c>
      <c r="F3194" s="8" t="s">
        <v>13</v>
      </c>
      <c r="G3194" s="8" t="s">
        <v>61</v>
      </c>
      <c r="H3194" s="16">
        <v>0.0</v>
      </c>
      <c r="I3194" s="15" t="str">
        <f>SUBSTITUTE(Sheet1!K3194, "Rp", "")</f>
        <v>0</v>
      </c>
    </row>
    <row r="3195">
      <c r="A3195" s="8" t="s">
        <v>4509</v>
      </c>
      <c r="B3195" s="13" t="str">
        <f>HYPERLINK("https://shopee.co.id/L-Oreal-Paris-Revitalift-Crystal-Micro-Essence-Serum-Skin-Care-130-ml-Pro-Youth-Serum-Mask-i.62579622.6348739820", "https://shopee.co.id/L-Oreal-Paris-Revitalift-Crystal-Micro-Essence-Serum-Skin-Care-130-ml-Pro-Youth-Serum-Mask-i.62579622.6348739820")</f>
        <v>https://shopee.co.id/L-Oreal-Paris-Revitalift-Crystal-Micro-Essence-Serum-Skin-Care-130-ml-Pro-Youth-Serum-Mask-i.62579622.6348739820</v>
      </c>
      <c r="C3195" s="8" t="s">
        <v>105</v>
      </c>
      <c r="D3195" s="8" t="s">
        <v>106</v>
      </c>
      <c r="E3195" s="8" t="s">
        <v>12</v>
      </c>
      <c r="F3195" s="8" t="s">
        <v>13</v>
      </c>
      <c r="G3195" s="8" t="s">
        <v>61</v>
      </c>
      <c r="H3195" s="16">
        <v>0.0</v>
      </c>
      <c r="I3195" s="15" t="str">
        <f>SUBSTITUTE(Sheet1!K3195, "Rp", "")</f>
        <v>0</v>
      </c>
    </row>
    <row r="3196">
      <c r="A3196" s="8" t="s">
        <v>4510</v>
      </c>
      <c r="B3196" s="13" t="str">
        <f>HYPERLINK("https://shopee.co.id/L-Oreal-Paris-Revitalift-Crystal-Micro-Essence-Serum-Skin-Care-65-ml-i.62579622.6548734456", "https://shopee.co.id/L-Oreal-Paris-Revitalift-Crystal-Micro-Essence-Serum-Skin-Care-65-ml-i.62579622.6548734456")</f>
        <v>https://shopee.co.id/L-Oreal-Paris-Revitalift-Crystal-Micro-Essence-Serum-Skin-Care-65-ml-i.62579622.6548734456</v>
      </c>
      <c r="C3196" s="8" t="s">
        <v>105</v>
      </c>
      <c r="D3196" s="8" t="s">
        <v>106</v>
      </c>
      <c r="E3196" s="8" t="s">
        <v>12</v>
      </c>
      <c r="F3196" s="8" t="s">
        <v>13</v>
      </c>
      <c r="G3196" s="8" t="s">
        <v>61</v>
      </c>
      <c r="H3196" s="16">
        <v>0.0</v>
      </c>
      <c r="I3196" s="15" t="str">
        <f>SUBSTITUTE(Sheet1!K3196, "Rp", "")</f>
        <v>0</v>
      </c>
    </row>
    <row r="3197">
      <c r="A3197" s="8" t="s">
        <v>4510</v>
      </c>
      <c r="B3197" s="13" t="str">
        <f>HYPERLINK("https://shopee.co.id/L-Oreal-Paris-Revitalift-Crystal-Micro-Essence-Serum-Skin-Care-65-ml-i.62579622.4748740587", "https://shopee.co.id/L-Oreal-Paris-Revitalift-Crystal-Micro-Essence-Serum-Skin-Care-65-ml-i.62579622.4748740587")</f>
        <v>https://shopee.co.id/L-Oreal-Paris-Revitalift-Crystal-Micro-Essence-Serum-Skin-Care-65-ml-i.62579622.4748740587</v>
      </c>
      <c r="C3197" s="8" t="s">
        <v>105</v>
      </c>
      <c r="D3197" s="8" t="s">
        <v>106</v>
      </c>
      <c r="E3197" s="8" t="s">
        <v>12</v>
      </c>
      <c r="F3197" s="8" t="s">
        <v>13</v>
      </c>
      <c r="G3197" s="8" t="s">
        <v>61</v>
      </c>
      <c r="H3197" s="16">
        <v>0.0</v>
      </c>
      <c r="I3197" s="15" t="str">
        <f>SUBSTITUTE(Sheet1!K3197, "Rp", "")</f>
        <v>0</v>
      </c>
    </row>
    <row r="3198">
      <c r="A3198" s="8" t="s">
        <v>4511</v>
      </c>
      <c r="B3198" s="13" t="str">
        <f>HYPERLINK("https://shopee.co.id/L-Oreal-Paris-Revitalift-Crystal-Micro-Essence-130-ml-Twinpack-Free-Jade-Roller--i.62579622.7558363456", "https://shopee.co.id/L-Oreal-Paris-Revitalift-Crystal-Micro-Essence-130-ml-Twinpack-Free-Jade-Roller--i.62579622.7558363456")</f>
        <v>https://shopee.co.id/L-Oreal-Paris-Revitalift-Crystal-Micro-Essence-130-ml-Twinpack-Free-Jade-Roller--i.62579622.7558363456</v>
      </c>
      <c r="C3198" s="8" t="s">
        <v>105</v>
      </c>
      <c r="D3198" s="8" t="s">
        <v>106</v>
      </c>
      <c r="E3198" s="8" t="s">
        <v>12</v>
      </c>
      <c r="F3198" s="8" t="s">
        <v>13</v>
      </c>
      <c r="G3198" s="8" t="s">
        <v>61</v>
      </c>
      <c r="H3198" s="16">
        <v>0.0</v>
      </c>
      <c r="I3198" s="15" t="str">
        <f>SUBSTITUTE(Sheet1!K3198, "Rp", "")</f>
        <v>0</v>
      </c>
    </row>
    <row r="3199">
      <c r="A3199" s="8" t="s">
        <v>4512</v>
      </c>
      <c r="B3199" s="13" t="str">
        <f>HYPERLINK("https://shopee.co.id/L-Oreal-Paris-Revitalift-Crystal-Micro-Essence-Serum-Skin-Care-65-mL-Clinical-Essence-30-mL-i.65323877.9979914099", "https://shopee.co.id/L-Oreal-Paris-Revitalift-Crystal-Micro-Essence-Serum-Skin-Care-65-mL-Clinical-Essence-30-mL-i.65323877.9979914099")</f>
        <v>https://shopee.co.id/L-Oreal-Paris-Revitalift-Crystal-Micro-Essence-Serum-Skin-Care-65-mL-Clinical-Essence-30-mL-i.65323877.9979914099</v>
      </c>
      <c r="C3199" s="8" t="s">
        <v>105</v>
      </c>
      <c r="D3199" s="8" t="s">
        <v>1600</v>
      </c>
      <c r="E3199" s="8" t="s">
        <v>12</v>
      </c>
      <c r="F3199" s="8" t="s">
        <v>13</v>
      </c>
      <c r="G3199" s="8" t="s">
        <v>296</v>
      </c>
      <c r="H3199" s="16">
        <v>0.0</v>
      </c>
      <c r="I3199" s="15" t="str">
        <f>SUBSTITUTE(Sheet1!K3199, "Rp", "")</f>
        <v>0</v>
      </c>
    </row>
    <row r="3200">
      <c r="A3200" s="8" t="s">
        <v>108</v>
      </c>
      <c r="B3200" s="13" t="str">
        <f>HYPERLINK("https://shopee.co.id/L-Oreal-Paris-Revitalift-Crystal-Micro-Essence-Water-Serum-Skin-Care-65-ml-i.62579622.5345119223", "https://shopee.co.id/L-Oreal-Paris-Revitalift-Crystal-Micro-Essence-Water-Serum-Skin-Care-65-ml-i.62579622.5345119223")</f>
        <v>https://shopee.co.id/L-Oreal-Paris-Revitalift-Crystal-Micro-Essence-Water-Serum-Skin-Care-65-ml-i.62579622.5345119223</v>
      </c>
      <c r="C3200" s="8" t="s">
        <v>105</v>
      </c>
      <c r="D3200" s="8" t="s">
        <v>106</v>
      </c>
      <c r="E3200" s="8" t="s">
        <v>12</v>
      </c>
      <c r="F3200" s="8" t="s">
        <v>13</v>
      </c>
      <c r="G3200" s="8" t="s">
        <v>61</v>
      </c>
      <c r="H3200" s="16">
        <v>0.0</v>
      </c>
      <c r="I3200" s="15" t="str">
        <f>SUBSTITUTE(Sheet1!K3200, "Rp", "")</f>
        <v>0</v>
      </c>
    </row>
    <row r="3201">
      <c r="A3201" s="8" t="s">
        <v>4513</v>
      </c>
      <c r="B3201" s="13" t="str">
        <f>HYPERLINK("https://shopee.co.id/L-Oreal-Paris-Revitalift-Hyaluronic-Acid-Serum-Exclusive-Set-Free-3-Pro-Youth-Serum-Mask-i.62579622.3949251284", "https://shopee.co.id/L-Oreal-Paris-Revitalift-Hyaluronic-Acid-Serum-Exclusive-Set-Free-3-Pro-Youth-Serum-Mask-i.62579622.3949251284")</f>
        <v>https://shopee.co.id/L-Oreal-Paris-Revitalift-Hyaluronic-Acid-Serum-Exclusive-Set-Free-3-Pro-Youth-Serum-Mask-i.62579622.3949251284</v>
      </c>
      <c r="C3201" s="8" t="s">
        <v>105</v>
      </c>
      <c r="D3201" s="8" t="s">
        <v>106</v>
      </c>
      <c r="E3201" s="8" t="s">
        <v>12</v>
      </c>
      <c r="F3201" s="8" t="s">
        <v>13</v>
      </c>
      <c r="G3201" s="8" t="s">
        <v>61</v>
      </c>
      <c r="H3201" s="16">
        <v>0.0</v>
      </c>
      <c r="I3201" s="15" t="str">
        <f>SUBSTITUTE(Sheet1!K3201, "Rp", "")</f>
        <v>0</v>
      </c>
    </row>
    <row r="3202">
      <c r="A3202" s="8" t="s">
        <v>4514</v>
      </c>
      <c r="B3202" s="13" t="str">
        <f>HYPERLINK("https://shopee.co.id/L-Oreal-Paris-Revitalift-Serum-White-Perfect-Day-Cream-Untuk-Kulit-Lembap-dan-Cerah-Tanpa-Noda--i.62579622.4349156560", "https://shopee.co.id/L-Oreal-Paris-Revitalift-Serum-White-Perfect-Day-Cream-Untuk-Kulit-Lembap-dan-Cerah-Tanpa-Noda--i.62579622.4349156560")</f>
        <v>https://shopee.co.id/L-Oreal-Paris-Revitalift-Serum-White-Perfect-Day-Cream-Untuk-Kulit-Lembap-dan-Cerah-Tanpa-Noda--i.62579622.4349156560</v>
      </c>
      <c r="C3202" s="8" t="s">
        <v>105</v>
      </c>
      <c r="D3202" s="8" t="s">
        <v>106</v>
      </c>
      <c r="E3202" s="8" t="s">
        <v>12</v>
      </c>
      <c r="F3202" s="8" t="s">
        <v>13</v>
      </c>
      <c r="G3202" s="8" t="s">
        <v>61</v>
      </c>
      <c r="H3202" s="16">
        <v>0.0</v>
      </c>
      <c r="I3202" s="15" t="str">
        <f>SUBSTITUTE(Sheet1!K3202, "Rp", "")</f>
        <v>0</v>
      </c>
    </row>
    <row r="3203">
      <c r="A3203" s="8" t="s">
        <v>4515</v>
      </c>
      <c r="B3203" s="13" t="str">
        <f>HYPERLINK("https://shopee.co.id/L-Oreal-Paris-Revitalift-Serum-White-Perfect-Whip-Foam-Untuk-Kulit-Lembap-dan-Cerah-Tanpa-Noda--i.62579622.4849183698", "https://shopee.co.id/L-Oreal-Paris-Revitalift-Serum-White-Perfect-Whip-Foam-Untuk-Kulit-Lembap-dan-Cerah-Tanpa-Noda--i.62579622.4849183698")</f>
        <v>https://shopee.co.id/L-Oreal-Paris-Revitalift-Serum-White-Perfect-Whip-Foam-Untuk-Kulit-Lembap-dan-Cerah-Tanpa-Noda--i.62579622.4849183698</v>
      </c>
      <c r="C3203" s="8" t="s">
        <v>105</v>
      </c>
      <c r="D3203" s="8" t="s">
        <v>106</v>
      </c>
      <c r="E3203" s="8" t="s">
        <v>12</v>
      </c>
      <c r="F3203" s="8" t="s">
        <v>13</v>
      </c>
      <c r="G3203" s="8" t="s">
        <v>61</v>
      </c>
      <c r="H3203" s="16">
        <v>0.0</v>
      </c>
      <c r="I3203" s="15" t="str">
        <f>SUBSTITUTE(Sheet1!K3203, "Rp", "")</f>
        <v>0</v>
      </c>
    </row>
    <row r="3204">
      <c r="A3204" s="8" t="s">
        <v>4516</v>
      </c>
      <c r="B3204" s="13" t="str">
        <f>HYPERLINK("https://shopee.co.id/L-Oreal-Paris-UV-Defender-Serum-Protector-Sunscreen-Bright-Clear-SPF50-PA-Mencerahkan-Kulit--i.79492424.8767528323", "https://shopee.co.id/L-Oreal-Paris-UV-Defender-Serum-Protector-Sunscreen-Bright-Clear-SPF50-PA-Mencerahkan-Kulit--i.79492424.8767528323")</f>
        <v>https://shopee.co.id/L-Oreal-Paris-UV-Defender-Serum-Protector-Sunscreen-Bright-Clear-SPF50-PA-Mencerahkan-Kulit--i.79492424.8767528323</v>
      </c>
      <c r="C3204" s="8" t="s">
        <v>105</v>
      </c>
      <c r="D3204" s="8" t="s">
        <v>3456</v>
      </c>
      <c r="E3204" s="8" t="s">
        <v>12</v>
      </c>
      <c r="F3204" s="8" t="s">
        <v>13</v>
      </c>
      <c r="G3204" s="8" t="s">
        <v>469</v>
      </c>
      <c r="H3204" s="16">
        <v>0.0</v>
      </c>
      <c r="I3204" s="15" t="str">
        <f>SUBSTITUTE(Sheet1!K3204, "Rp", "")</f>
        <v>0</v>
      </c>
    </row>
    <row r="3205">
      <c r="A3205" s="8" t="s">
        <v>4517</v>
      </c>
      <c r="B3205" s="13" t="str">
        <f>HYPERLINK("https://shopee.co.id/L-Oreal-Paris-Youth-Code-Ferment-Pre-Essence-Serum-Skin-Care-30-mL-Untuk-Kulit-Cerah-Kencang--i.65323877.10419054926", "https://shopee.co.id/L-Oreal-Paris-Youth-Code-Ferment-Pre-Essence-Serum-Skin-Care-30-mL-Untuk-Kulit-Cerah-Kencang--i.65323877.10419054926")</f>
        <v>https://shopee.co.id/L-Oreal-Paris-Youth-Code-Ferment-Pre-Essence-Serum-Skin-Care-30-mL-Untuk-Kulit-Cerah-Kencang--i.65323877.10419054926</v>
      </c>
      <c r="C3205" s="8" t="s">
        <v>105</v>
      </c>
      <c r="D3205" s="8" t="s">
        <v>1600</v>
      </c>
      <c r="E3205" s="8" t="s">
        <v>12</v>
      </c>
      <c r="F3205" s="8" t="s">
        <v>13</v>
      </c>
      <c r="G3205" s="8" t="s">
        <v>296</v>
      </c>
      <c r="H3205" s="16">
        <v>0.0</v>
      </c>
      <c r="I3205" s="15" t="str">
        <f>SUBSTITUTE(Sheet1!K3205, "Rp", "")</f>
        <v>0</v>
      </c>
    </row>
    <row r="3206">
      <c r="A3206" s="8" t="s">
        <v>4518</v>
      </c>
      <c r="B3206" s="13" t="str">
        <f>HYPERLINK("https://shopee.co.id/L-Oreal-Revitalift-Crystal-Micro-Essence-65ml-Golden-Truly-i.252636479.5134128255", "https://shopee.co.id/L-Oreal-Revitalift-Crystal-Micro-Essence-65ml-Golden-Truly-i.252636479.5134128255")</f>
        <v>https://shopee.co.id/L-Oreal-Revitalift-Crystal-Micro-Essence-65ml-Golden-Truly-i.252636479.5134128255</v>
      </c>
      <c r="C3206" s="8" t="s">
        <v>105</v>
      </c>
      <c r="D3206" s="8" t="s">
        <v>4519</v>
      </c>
      <c r="E3206" s="8" t="s">
        <v>12</v>
      </c>
      <c r="F3206" s="8" t="s">
        <v>13</v>
      </c>
      <c r="G3206" s="8" t="s">
        <v>61</v>
      </c>
      <c r="H3206" s="16">
        <v>0.0</v>
      </c>
      <c r="I3206" s="15" t="str">
        <f>SUBSTITUTE(Sheet1!K3206, "Rp", "")</f>
        <v>0</v>
      </c>
    </row>
    <row r="3207">
      <c r="A3207" s="8" t="s">
        <v>4520</v>
      </c>
      <c r="B3207" s="13" t="str">
        <f>HYPERLINK("https://shopee.co.id/L-oreal-Revitalift-Intensive-Serum-30ml-i.24819895.7250909920", "https://shopee.co.id/L-oreal-Revitalift-Intensive-Serum-30ml-i.24819895.7250909920")</f>
        <v>https://shopee.co.id/L-oreal-Revitalift-Intensive-Serum-30ml-i.24819895.7250909920</v>
      </c>
      <c r="C3207" s="8" t="s">
        <v>105</v>
      </c>
      <c r="D3207" s="8" t="s">
        <v>2491</v>
      </c>
      <c r="E3207" s="8" t="s">
        <v>12</v>
      </c>
      <c r="F3207" s="8" t="s">
        <v>13</v>
      </c>
      <c r="G3207" s="8" t="s">
        <v>1085</v>
      </c>
      <c r="H3207" s="16">
        <v>0.0</v>
      </c>
      <c r="I3207" s="15" t="str">
        <f>SUBSTITUTE(Sheet1!K3207, "Rp", "")</f>
        <v>0</v>
      </c>
    </row>
    <row r="3208">
      <c r="A3208" s="8" t="s">
        <v>4521</v>
      </c>
      <c r="B3208" s="13" t="str">
        <f>HYPERLINK("https://shopee.co.id/L-Oreal-White-Perfect-Derm-Expert-ESSENCE-Golden-Truly-i.252636479.5734100454", "https://shopee.co.id/L-Oreal-White-Perfect-Derm-Expert-ESSENCE-Golden-Truly-i.252636479.5734100454")</f>
        <v>https://shopee.co.id/L-Oreal-White-Perfect-Derm-Expert-ESSENCE-Golden-Truly-i.252636479.5734100454</v>
      </c>
      <c r="C3208" s="8" t="s">
        <v>105</v>
      </c>
      <c r="D3208" s="8" t="s">
        <v>4519</v>
      </c>
      <c r="E3208" s="8" t="s">
        <v>12</v>
      </c>
      <c r="F3208" s="8" t="s">
        <v>13</v>
      </c>
      <c r="G3208" s="8" t="s">
        <v>61</v>
      </c>
      <c r="H3208" s="16">
        <v>0.0</v>
      </c>
      <c r="I3208" s="15" t="str">
        <f>SUBSTITUTE(Sheet1!K3208, "Rp", "")</f>
        <v>0</v>
      </c>
    </row>
    <row r="3209">
      <c r="A3209" s="8" t="s">
        <v>4522</v>
      </c>
      <c r="B3209" s="13" t="str">
        <f>HYPERLINK("https://shopee.co.id/L-Occitane-Immortelle-Overnight-Reset-Serum-50ml-i.88079439.2645435483", "https://shopee.co.id/L-Occitane-Immortelle-Overnight-Reset-Serum-50ml-i.88079439.2645435483")</f>
        <v>https://shopee.co.id/L-Occitane-Immortelle-Overnight-Reset-Serum-50ml-i.88079439.2645435483</v>
      </c>
      <c r="C3209" s="8" t="s">
        <v>579</v>
      </c>
      <c r="D3209" s="8" t="s">
        <v>580</v>
      </c>
      <c r="E3209" s="8" t="s">
        <v>12</v>
      </c>
      <c r="F3209" s="8" t="s">
        <v>13</v>
      </c>
      <c r="G3209" s="8" t="s">
        <v>532</v>
      </c>
      <c r="H3209" s="16">
        <v>0.0</v>
      </c>
      <c r="I3209" s="15" t="str">
        <f>SUBSTITUTE(Sheet1!K3209, "Rp", "")</f>
        <v>0</v>
      </c>
    </row>
    <row r="3210">
      <c r="A3210" s="8" t="s">
        <v>4523</v>
      </c>
      <c r="B3210" s="13" t="str">
        <f>HYPERLINK("https://shopee.co.id/La-Tulipe-Essential-Whitening-Serum-20-mL-i.65323877.9079238862", "https://shopee.co.id/La-Tulipe-Essential-Whitening-Serum-20-mL-i.65323877.9079238862")</f>
        <v>https://shopee.co.id/La-Tulipe-Essential-Whitening-Serum-20-mL-i.65323877.9079238862</v>
      </c>
      <c r="C3210" s="8" t="s">
        <v>1761</v>
      </c>
      <c r="D3210" s="8" t="s">
        <v>1600</v>
      </c>
      <c r="E3210" s="8" t="s">
        <v>12</v>
      </c>
      <c r="F3210" s="8" t="s">
        <v>13</v>
      </c>
      <c r="G3210" s="8" t="s">
        <v>296</v>
      </c>
      <c r="H3210" s="16">
        <v>0.0</v>
      </c>
      <c r="I3210" s="15" t="str">
        <f>SUBSTITUTE(Sheet1!K3210, "Rp", "")</f>
        <v>0</v>
      </c>
    </row>
    <row r="3211">
      <c r="A3211" s="8" t="s">
        <v>2882</v>
      </c>
      <c r="B3211" s="13" t="str">
        <f>HYPERLINK("https://shopee.co.id/Lacoco-5-Bakuchiol-Essence-30ml-i.10689.2990445182", "https://shopee.co.id/Lacoco-5-Bakuchiol-Essence-30ml-i.10689.2990445182")</f>
        <v>https://shopee.co.id/Lacoco-5-Bakuchiol-Essence-30ml-i.10689.2990445182</v>
      </c>
      <c r="C3211" s="8" t="s">
        <v>501</v>
      </c>
      <c r="D3211" s="8" t="s">
        <v>745</v>
      </c>
      <c r="E3211" s="8" t="s">
        <v>12</v>
      </c>
      <c r="F3211" s="8" t="s">
        <v>13</v>
      </c>
      <c r="G3211" s="8" t="s">
        <v>61</v>
      </c>
      <c r="H3211" s="16">
        <v>0.0</v>
      </c>
      <c r="I3211" s="15" t="str">
        <f>SUBSTITUTE(Sheet1!K3211, "Rp", "")</f>
        <v>0</v>
      </c>
    </row>
    <row r="3212">
      <c r="A3212" s="8" t="s">
        <v>879</v>
      </c>
      <c r="B3212" s="13" t="str">
        <f>HYPERLINK("https://shopee.co.id/Lacoco-Dark-Spot-Essence-12ml-i.68111.7042114105", "https://shopee.co.id/Lacoco-Dark-Spot-Essence-12ml-i.68111.7042114105")</f>
        <v>https://shopee.co.id/Lacoco-Dark-Spot-Essence-12ml-i.68111.7042114105</v>
      </c>
      <c r="C3212" s="8" t="s">
        <v>501</v>
      </c>
      <c r="D3212" s="8" t="s">
        <v>441</v>
      </c>
      <c r="E3212" s="8" t="s">
        <v>12</v>
      </c>
      <c r="F3212" s="8" t="s">
        <v>13</v>
      </c>
      <c r="G3212" s="8" t="s">
        <v>130</v>
      </c>
      <c r="H3212" s="16">
        <v>0.0</v>
      </c>
      <c r="I3212" s="15" t="str">
        <f>SUBSTITUTE(Sheet1!K3212, "Rp", "")</f>
        <v>0</v>
      </c>
    </row>
    <row r="3213">
      <c r="A3213" s="8" t="s">
        <v>4524</v>
      </c>
      <c r="B3213" s="13" t="str">
        <f>HYPERLINK("https://shopee.co.id/Lacoco-En-Nature-Hydrating-Divine-Essence-i.17081863.7755656459", "https://shopee.co.id/Lacoco-En-Nature-Hydrating-Divine-Essence-i.17081863.7755656459")</f>
        <v>https://shopee.co.id/Lacoco-En-Nature-Hydrating-Divine-Essence-i.17081863.7755656459</v>
      </c>
      <c r="C3213" s="8" t="s">
        <v>501</v>
      </c>
      <c r="D3213" s="8" t="s">
        <v>2497</v>
      </c>
      <c r="E3213" s="8" t="s">
        <v>12</v>
      </c>
      <c r="F3213" s="8" t="s">
        <v>13</v>
      </c>
      <c r="G3213" s="8" t="s">
        <v>21</v>
      </c>
      <c r="H3213" s="16">
        <v>0.0</v>
      </c>
      <c r="I3213" s="15" t="str">
        <f>SUBSTITUTE(Sheet1!K3213, "Rp", "")</f>
        <v>0</v>
      </c>
    </row>
    <row r="3214">
      <c r="A3214" s="8" t="s">
        <v>4525</v>
      </c>
      <c r="B3214" s="13" t="str">
        <f>HYPERLINK("https://shopee.co.id/Lacoco-Hydrating-Divine-Essence-50-ml-i.110573301.8690585448", "https://shopee.co.id/Lacoco-Hydrating-Divine-Essence-50-ml-i.110573301.8690585448")</f>
        <v>https://shopee.co.id/Lacoco-Hydrating-Divine-Essence-50-ml-i.110573301.8690585448</v>
      </c>
      <c r="C3214" s="8" t="s">
        <v>501</v>
      </c>
      <c r="D3214" s="8" t="s">
        <v>227</v>
      </c>
      <c r="E3214" s="8" t="s">
        <v>12</v>
      </c>
      <c r="F3214" s="8" t="s">
        <v>13</v>
      </c>
      <c r="G3214" s="8" t="s">
        <v>61</v>
      </c>
      <c r="H3214" s="16">
        <v>0.0</v>
      </c>
      <c r="I3214" s="15" t="str">
        <f>SUBSTITUTE(Sheet1!K3214, "Rp", "")</f>
        <v>0</v>
      </c>
    </row>
    <row r="3215">
      <c r="A3215" s="8" t="s">
        <v>4526</v>
      </c>
      <c r="B3215" s="13" t="str">
        <f>HYPERLINK("https://shopee.co.id/Lakon-Store-Luxcrime-Aurora-Serum-i.257893769.7337332202", "https://shopee.co.id/Lakon-Store-Luxcrime-Aurora-Serum-i.257893769.7337332202")</f>
        <v>https://shopee.co.id/Lakon-Store-Luxcrime-Aurora-Serum-i.257893769.7337332202</v>
      </c>
      <c r="C3215" s="8" t="s">
        <v>1646</v>
      </c>
      <c r="D3215" s="8" t="s">
        <v>4527</v>
      </c>
      <c r="E3215" s="8" t="s">
        <v>12</v>
      </c>
      <c r="F3215" s="8" t="s">
        <v>13</v>
      </c>
      <c r="G3215" s="8" t="s">
        <v>61</v>
      </c>
      <c r="H3215" s="16">
        <v>0.0</v>
      </c>
      <c r="I3215" s="15" t="str">
        <f>SUBSTITUTE(Sheet1!K3215, "Rp", "")</f>
        <v>0</v>
      </c>
    </row>
    <row r="3216">
      <c r="A3216" s="8" t="s">
        <v>4528</v>
      </c>
      <c r="B3216" s="13" t="str">
        <f>HYPERLINK("https://shopee.co.id/Laneige-Clear-C-Peeling-Serum-80-mL-i.65323877.11819057892", "https://shopee.co.id/Laneige-Clear-C-Peeling-Serum-80-mL-i.65323877.11819057892")</f>
        <v>https://shopee.co.id/Laneige-Clear-C-Peeling-Serum-80-mL-i.65323877.11819057892</v>
      </c>
      <c r="C3216" s="8" t="s">
        <v>364</v>
      </c>
      <c r="D3216" s="8" t="s">
        <v>1600</v>
      </c>
      <c r="E3216" s="8" t="s">
        <v>12</v>
      </c>
      <c r="F3216" s="8" t="s">
        <v>13</v>
      </c>
      <c r="G3216" s="8" t="s">
        <v>296</v>
      </c>
      <c r="H3216" s="16">
        <v>0.0</v>
      </c>
      <c r="I3216" s="15" t="str">
        <f>SUBSTITUTE(Sheet1!K3216, "Rp", "")</f>
        <v>0</v>
      </c>
    </row>
    <row r="3217">
      <c r="A3217" s="8" t="s">
        <v>4529</v>
      </c>
      <c r="B3217" s="13" t="str">
        <f>HYPERLINK("https://shopee.co.id/Langsre-Brightspot-Serum-30ml-i.825870.5023480059", "https://shopee.co.id/Langsre-Brightspot-Serum-30ml-i.825870.5023480059")</f>
        <v>https://shopee.co.id/Langsre-Brightspot-Serum-30ml-i.825870.5023480059</v>
      </c>
      <c r="C3217" s="8" t="s">
        <v>1295</v>
      </c>
      <c r="D3217" s="8" t="s">
        <v>1184</v>
      </c>
      <c r="E3217" s="8" t="s">
        <v>12</v>
      </c>
      <c r="F3217" s="8" t="s">
        <v>13</v>
      </c>
      <c r="G3217" s="8" t="s">
        <v>21</v>
      </c>
      <c r="H3217" s="16">
        <v>0.0</v>
      </c>
      <c r="I3217" s="15" t="str">
        <f>SUBSTITUTE(Sheet1!K3217, "Rp", "")</f>
        <v>0</v>
      </c>
    </row>
    <row r="3218">
      <c r="A3218" s="8" t="s">
        <v>4530</v>
      </c>
      <c r="B3218" s="13" t="str">
        <f>HYPERLINK("https://shopee.co.id/Langsre-Good-Times-AHA-ed-Serum-30ml-i.825870.6671561722", "https://shopee.co.id/Langsre-Good-Times-AHA-ed-Serum-30ml-i.825870.6671561722")</f>
        <v>https://shopee.co.id/Langsre-Good-Times-AHA-ed-Serum-30ml-i.825870.6671561722</v>
      </c>
      <c r="C3218" s="8" t="s">
        <v>1295</v>
      </c>
      <c r="D3218" s="8" t="s">
        <v>1184</v>
      </c>
      <c r="E3218" s="8" t="s">
        <v>12</v>
      </c>
      <c r="F3218" s="8" t="s">
        <v>13</v>
      </c>
      <c r="G3218" s="8" t="s">
        <v>21</v>
      </c>
      <c r="H3218" s="16">
        <v>0.0</v>
      </c>
      <c r="I3218" s="15" t="str">
        <f>SUBSTITUTE(Sheet1!K3218, "Rp", "")</f>
        <v>0</v>
      </c>
    </row>
    <row r="3219">
      <c r="A3219" s="8" t="s">
        <v>4531</v>
      </c>
      <c r="B3219" s="13" t="str">
        <f>HYPERLINK("https://shopee.co.id/Langsre-Hydraluronic-Serum-30ml-i.825870.7123478450", "https://shopee.co.id/Langsre-Hydraluronic-Serum-30ml-i.825870.7123478450")</f>
        <v>https://shopee.co.id/Langsre-Hydraluronic-Serum-30ml-i.825870.7123478450</v>
      </c>
      <c r="C3219" s="8" t="s">
        <v>1295</v>
      </c>
      <c r="D3219" s="8" t="s">
        <v>1184</v>
      </c>
      <c r="E3219" s="8" t="s">
        <v>12</v>
      </c>
      <c r="F3219" s="8" t="s">
        <v>13</v>
      </c>
      <c r="G3219" s="8" t="s">
        <v>21</v>
      </c>
      <c r="H3219" s="16">
        <v>0.0</v>
      </c>
      <c r="I3219" s="15" t="str">
        <f>SUBSTITUTE(Sheet1!K3219, "Rp", "")</f>
        <v>0</v>
      </c>
    </row>
    <row r="3220">
      <c r="A3220" s="8" t="s">
        <v>4532</v>
      </c>
      <c r="B3220" s="13" t="str">
        <f>HYPERLINK("https://shopee.co.id/Lanore-Intelgold-Serum-Anti-Aging-dengan-Partikel-Emas-10-gr-i.46593637.1981185454", "https://shopee.co.id/Lanore-Intelgold-Serum-Anti-Aging-dengan-Partikel-Emas-10-gr-i.46593637.1981185454")</f>
        <v>https://shopee.co.id/Lanore-Intelgold-Serum-Anti-Aging-dengan-Partikel-Emas-10-gr-i.46593637.1981185454</v>
      </c>
      <c r="C3220" s="8" t="s">
        <v>2480</v>
      </c>
      <c r="D3220" s="8" t="s">
        <v>1607</v>
      </c>
      <c r="E3220" s="8" t="s">
        <v>12</v>
      </c>
      <c r="F3220" s="8" t="s">
        <v>13</v>
      </c>
      <c r="G3220" s="8" t="s">
        <v>350</v>
      </c>
      <c r="H3220" s="16">
        <v>0.0</v>
      </c>
      <c r="I3220" s="15" t="str">
        <f>SUBSTITUTE(Sheet1!K3220, "Rp", "")</f>
        <v>0</v>
      </c>
    </row>
    <row r="3221">
      <c r="A3221" s="8" t="s">
        <v>4533</v>
      </c>
      <c r="B3221" s="13" t="str">
        <f>HYPERLINK("https://shopee.co.id/LAST-STOCK-MONSKIN-Glutathione-Vit-C-Serum-15-ml-i.163341372.3686631220", "https://shopee.co.id/LAST-STOCK-MONSKIN-Glutathione-Vit-C-Serum-15-ml-i.163341372.3686631220")</f>
        <v>https://shopee.co.id/LAST-STOCK-MONSKIN-Glutathione-Vit-C-Serum-15-ml-i.163341372.3686631220</v>
      </c>
      <c r="C3221" s="8" t="s">
        <v>4534</v>
      </c>
      <c r="D3221" s="8" t="s">
        <v>4535</v>
      </c>
      <c r="E3221" s="8" t="s">
        <v>12</v>
      </c>
      <c r="F3221" s="8" t="s">
        <v>13</v>
      </c>
      <c r="G3221" s="8" t="s">
        <v>1085</v>
      </c>
      <c r="H3221" s="16">
        <v>0.0</v>
      </c>
      <c r="I3221" s="15" t="str">
        <f>SUBSTITUTE(Sheet1!K3221, "Rp", "")</f>
        <v>0</v>
      </c>
    </row>
    <row r="3222">
      <c r="A3222" s="8" t="s">
        <v>4536</v>
      </c>
      <c r="B3222" s="13" t="str">
        <f>HYPERLINK("https://shopee.co.id/LAST-STOCK-MONSKIN-Translucent-Brightening-Serum-15-ml-i.163341372.9445229748", "https://shopee.co.id/LAST-STOCK-MONSKIN-Translucent-Brightening-Serum-15-ml-i.163341372.9445229748")</f>
        <v>https://shopee.co.id/LAST-STOCK-MONSKIN-Translucent-Brightening-Serum-15-ml-i.163341372.9445229748</v>
      </c>
      <c r="C3222" s="8" t="s">
        <v>4534</v>
      </c>
      <c r="D3222" s="8" t="s">
        <v>4535</v>
      </c>
      <c r="E3222" s="8" t="s">
        <v>12</v>
      </c>
      <c r="F3222" s="8" t="s">
        <v>13</v>
      </c>
      <c r="G3222" s="8" t="s">
        <v>1085</v>
      </c>
      <c r="H3222" s="16">
        <v>0.0</v>
      </c>
      <c r="I3222" s="15" t="str">
        <f>SUBSTITUTE(Sheet1!K3222, "Rp", "")</f>
        <v>0</v>
      </c>
    </row>
    <row r="3223">
      <c r="A3223" s="8" t="s">
        <v>4537</v>
      </c>
      <c r="B3223" s="13" t="str">
        <f>HYPERLINK("https://shopee.co.id/LAST-STOCK-MONSKIN-Whitening-Serum-for-Normal-Dry-Skin-15-ml-i.163341372.6981326866", "https://shopee.co.id/LAST-STOCK-MONSKIN-Whitening-Serum-for-Normal-Dry-Skin-15-ml-i.163341372.6981326866")</f>
        <v>https://shopee.co.id/LAST-STOCK-MONSKIN-Whitening-Serum-for-Normal-Dry-Skin-15-ml-i.163341372.6981326866</v>
      </c>
      <c r="C3223" s="8" t="s">
        <v>4534</v>
      </c>
      <c r="D3223" s="8" t="s">
        <v>4535</v>
      </c>
      <c r="E3223" s="8" t="s">
        <v>12</v>
      </c>
      <c r="F3223" s="8" t="s">
        <v>13</v>
      </c>
      <c r="G3223" s="8" t="s">
        <v>1085</v>
      </c>
      <c r="H3223" s="16">
        <v>0.0</v>
      </c>
      <c r="I3223" s="15" t="str">
        <f>SUBSTITUTE(Sheet1!K3223, "Rp", "")</f>
        <v>0</v>
      </c>
    </row>
    <row r="3224">
      <c r="A3224" s="8" t="s">
        <v>4538</v>
      </c>
      <c r="B3224" s="13" t="str">
        <f>HYPERLINK("https://shopee.co.id/LAST-STOCK-MONSKIN-Whitening-Serum-for-Oily-Acne-Prone-Skin-15-ml-i.163341372.2534561858", "https://shopee.co.id/LAST-STOCK-MONSKIN-Whitening-Serum-for-Oily-Acne-Prone-Skin-15-ml-i.163341372.2534561858")</f>
        <v>https://shopee.co.id/LAST-STOCK-MONSKIN-Whitening-Serum-for-Oily-Acne-Prone-Skin-15-ml-i.163341372.2534561858</v>
      </c>
      <c r="C3224" s="8" t="s">
        <v>4534</v>
      </c>
      <c r="D3224" s="8" t="s">
        <v>4535</v>
      </c>
      <c r="E3224" s="8" t="s">
        <v>12</v>
      </c>
      <c r="F3224" s="8" t="s">
        <v>13</v>
      </c>
      <c r="G3224" s="8" t="s">
        <v>1085</v>
      </c>
      <c r="H3224" s="16">
        <v>0.0</v>
      </c>
      <c r="I3224" s="15" t="str">
        <f>SUBSTITUTE(Sheet1!K3224, "Rp", "")</f>
        <v>0</v>
      </c>
    </row>
    <row r="3225">
      <c r="A3225" s="8" t="s">
        <v>4539</v>
      </c>
      <c r="B3225" s="13" t="str">
        <f>HYPERLINK("https://shopee.co.id/Liplapin-Glow-Activating-Serum-20ml-i.825870.7616663443", "https://shopee.co.id/Liplapin-Glow-Activating-Serum-20ml-i.825870.7616663443")</f>
        <v>https://shopee.co.id/Liplapin-Glow-Activating-Serum-20ml-i.825870.7616663443</v>
      </c>
      <c r="C3225" s="8" t="s">
        <v>3899</v>
      </c>
      <c r="D3225" s="8" t="s">
        <v>1184</v>
      </c>
      <c r="E3225" s="8" t="s">
        <v>12</v>
      </c>
      <c r="F3225" s="8" t="s">
        <v>13</v>
      </c>
      <c r="G3225" s="8" t="s">
        <v>21</v>
      </c>
      <c r="H3225" s="16">
        <v>0.0</v>
      </c>
      <c r="I3225" s="15" t="str">
        <f>SUBSTITUTE(Sheet1!K3225, "Rp", "")</f>
        <v>0</v>
      </c>
    </row>
    <row r="3226">
      <c r="A3226" s="8" t="s">
        <v>4540</v>
      </c>
      <c r="B3226" s="13" t="str">
        <f>HYPERLINK("https://shopee.co.id/Lokos-me-Brightening-And-Glowing-Package-i.5109240.6265251011", "https://shopee.co.id/Lokos-me-Brightening-And-Glowing-Package-i.5109240.6265251011")</f>
        <v>https://shopee.co.id/Lokos-me-Brightening-And-Glowing-Package-i.5109240.6265251011</v>
      </c>
      <c r="C3226" s="8" t="s">
        <v>3296</v>
      </c>
      <c r="D3226" s="8" t="s">
        <v>3297</v>
      </c>
      <c r="E3226" s="8" t="s">
        <v>12</v>
      </c>
      <c r="F3226" s="8" t="s">
        <v>13</v>
      </c>
      <c r="G3226" s="8" t="s">
        <v>1130</v>
      </c>
      <c r="H3226" s="16">
        <v>0.0</v>
      </c>
      <c r="I3226" s="15" t="str">
        <f>SUBSTITUTE(Sheet1!K3226, "Rp", "")</f>
        <v>0</v>
      </c>
    </row>
    <row r="3227">
      <c r="A3227" s="8" t="s">
        <v>4541</v>
      </c>
      <c r="B3227" s="13" t="str">
        <f>HYPERLINK("https://shopee.co.id/Loreal-Dex-Revita-Lift-Essence-Water-130-ml-i.186214521.7016798396", "https://shopee.co.id/Loreal-Dex-Revita-Lift-Essence-Water-130-ml-i.186214521.7016798396")</f>
        <v>https://shopee.co.id/Loreal-Dex-Revita-Lift-Essence-Water-130-ml-i.186214521.7016798396</v>
      </c>
      <c r="C3227" s="8" t="s">
        <v>4542</v>
      </c>
      <c r="D3227" s="8" t="s">
        <v>2293</v>
      </c>
      <c r="E3227" s="8" t="s">
        <v>12</v>
      </c>
      <c r="F3227" s="8" t="s">
        <v>13</v>
      </c>
      <c r="G3227" s="8" t="s">
        <v>61</v>
      </c>
      <c r="H3227" s="16">
        <v>0.0</v>
      </c>
      <c r="I3227" s="15" t="str">
        <f>SUBSTITUTE(Sheet1!K3227, "Rp", "")</f>
        <v>0</v>
      </c>
    </row>
    <row r="3228">
      <c r="A3228" s="8" t="s">
        <v>4543</v>
      </c>
      <c r="B3228" s="13" t="str">
        <f>HYPERLINK("https://shopee.co.id/LOREAL-PARIS-Revitalift-Hyaluronic-Acid-Serum-30ml-i.68111.4859423051", "https://shopee.co.id/LOREAL-PARIS-Revitalift-Hyaluronic-Acid-Serum-30ml-i.68111.4859423051")</f>
        <v>https://shopee.co.id/LOREAL-PARIS-Revitalift-Hyaluronic-Acid-Serum-30ml-i.68111.4859423051</v>
      </c>
      <c r="C3228" s="8" t="s">
        <v>105</v>
      </c>
      <c r="D3228" s="8" t="s">
        <v>441</v>
      </c>
      <c r="E3228" s="8" t="s">
        <v>12</v>
      </c>
      <c r="F3228" s="8" t="s">
        <v>13</v>
      </c>
      <c r="G3228" s="8" t="s">
        <v>130</v>
      </c>
      <c r="H3228" s="16">
        <v>0.0</v>
      </c>
      <c r="I3228" s="15" t="str">
        <f>SUBSTITUTE(Sheet1!K3228, "Rp", "")</f>
        <v>0</v>
      </c>
    </row>
    <row r="3229">
      <c r="A3229" s="8" t="s">
        <v>4544</v>
      </c>
      <c r="B3229" s="13" t="str">
        <f>HYPERLINK("https://shopee.co.id/Loreal-Revitalift-Micro-Essence-65-ML-418091--i.16735262.6367680327", "https://shopee.co.id/Loreal-Revitalift-Micro-Essence-65-ML-418091--i.16735262.6367680327")</f>
        <v>https://shopee.co.id/Loreal-Revitalift-Micro-Essence-65-ML-418091--i.16735262.6367680327</v>
      </c>
      <c r="C3229" s="8" t="s">
        <v>105</v>
      </c>
      <c r="D3229" s="8" t="s">
        <v>3598</v>
      </c>
      <c r="E3229" s="8" t="s">
        <v>12</v>
      </c>
      <c r="F3229" s="8" t="s">
        <v>13</v>
      </c>
      <c r="G3229" s="8" t="s">
        <v>36</v>
      </c>
      <c r="H3229" s="16">
        <v>0.0</v>
      </c>
      <c r="I3229" s="15" t="str">
        <f>SUBSTITUTE(Sheet1!K3229, "Rp", "")</f>
        <v>0</v>
      </c>
    </row>
    <row r="3230">
      <c r="A3230" s="8" t="s">
        <v>4545</v>
      </c>
      <c r="B3230" s="13" t="str">
        <f>HYPERLINK("https://shopee.co.id/Loreal-White-Perfect-Laser-White-Essence-30-ml-i.186214521.7831338742", "https://shopee.co.id/Loreal-White-Perfect-Laser-White-Essence-30-ml-i.186214521.7831338742")</f>
        <v>https://shopee.co.id/Loreal-White-Perfect-Laser-White-Essence-30-ml-i.186214521.7831338742</v>
      </c>
      <c r="C3230" s="8" t="s">
        <v>105</v>
      </c>
      <c r="D3230" s="8" t="s">
        <v>2293</v>
      </c>
      <c r="E3230" s="8" t="s">
        <v>12</v>
      </c>
      <c r="F3230" s="8" t="s">
        <v>13</v>
      </c>
      <c r="G3230" s="8" t="s">
        <v>61</v>
      </c>
      <c r="H3230" s="16">
        <v>0.0</v>
      </c>
      <c r="I3230" s="15" t="str">
        <f>SUBSTITUTE(Sheet1!K3230, "Rp", "")</f>
        <v>0</v>
      </c>
    </row>
    <row r="3231">
      <c r="A3231" s="8" t="s">
        <v>4546</v>
      </c>
      <c r="B3231" s="13" t="str">
        <f>HYPERLINK("https://shopee.co.id/LT-Pro-Powdery-Foundation-i.187117294.5138221294", "https://shopee.co.id/LT-Pro-Powdery-Foundation-i.187117294.5138221294")</f>
        <v>https://shopee.co.id/LT-Pro-Powdery-Foundation-i.187117294.5138221294</v>
      </c>
      <c r="C3231" s="8" t="s">
        <v>695</v>
      </c>
      <c r="D3231" s="8" t="s">
        <v>2366</v>
      </c>
      <c r="E3231" s="8" t="s">
        <v>12</v>
      </c>
      <c r="F3231" s="8" t="s">
        <v>13</v>
      </c>
      <c r="G3231" s="8" t="s">
        <v>469</v>
      </c>
      <c r="H3231" s="16">
        <v>0.0</v>
      </c>
      <c r="I3231" s="15" t="str">
        <f>SUBSTITUTE(Sheet1!K3231, "Rp", "")</f>
        <v>0</v>
      </c>
    </row>
    <row r="3232">
      <c r="A3232" s="8" t="s">
        <v>4547</v>
      </c>
      <c r="B3232" s="13" t="str">
        <f>HYPERLINK("https://shopee.co.id/LUMIER-100-GREEN-CAVIAR-EXTRACT-i.231467354.5181354740", "https://shopee.co.id/LUMIER-100-GREEN-CAVIAR-EXTRACT-i.231467354.5181354740")</f>
        <v>https://shopee.co.id/LUMIER-100-GREEN-CAVIAR-EXTRACT-i.231467354.5181354740</v>
      </c>
      <c r="C3232" s="8" t="s">
        <v>2878</v>
      </c>
      <c r="D3232" s="8" t="s">
        <v>2879</v>
      </c>
      <c r="E3232" s="8" t="s">
        <v>12</v>
      </c>
      <c r="F3232" s="8" t="s">
        <v>13</v>
      </c>
      <c r="G3232" s="8" t="s">
        <v>532</v>
      </c>
      <c r="H3232" s="16">
        <v>0.0</v>
      </c>
      <c r="I3232" s="15" t="str">
        <f>SUBSTITUTE(Sheet1!K3232, "Rp", "")</f>
        <v>0</v>
      </c>
    </row>
    <row r="3233">
      <c r="A3233" s="8" t="s">
        <v>4548</v>
      </c>
      <c r="B3233" s="13" t="str">
        <f>HYPERLINK("https://shopee.co.id/Luxcrime-Venus-Essence-Hydrating-Glowing-30ml-i.825870.2809588568", "https://shopee.co.id/Luxcrime-Venus-Essence-Hydrating-Glowing-30ml-i.825870.2809588568")</f>
        <v>https://shopee.co.id/Luxcrime-Venus-Essence-Hydrating-Glowing-30ml-i.825870.2809588568</v>
      </c>
      <c r="C3233" s="8" t="s">
        <v>1646</v>
      </c>
      <c r="D3233" s="8" t="s">
        <v>1184</v>
      </c>
      <c r="E3233" s="8" t="s">
        <v>12</v>
      </c>
      <c r="F3233" s="8" t="s">
        <v>13</v>
      </c>
      <c r="G3233" s="8" t="s">
        <v>21</v>
      </c>
      <c r="H3233" s="16">
        <v>0.0</v>
      </c>
      <c r="I3233" s="15" t="str">
        <f>SUBSTITUTE(Sheet1!K3233, "Rp", "")</f>
        <v>0</v>
      </c>
    </row>
    <row r="3234">
      <c r="A3234" s="8" t="s">
        <v>1645</v>
      </c>
      <c r="B3234" s="13" t="str">
        <f>HYPERLINK("https://shopee.co.id/Luxcrime-Venus-Serum-Hydrating-Glowing-i.68111.9213796287", "https://shopee.co.id/Luxcrime-Venus-Serum-Hydrating-Glowing-i.68111.9213796287")</f>
        <v>https://shopee.co.id/Luxcrime-Venus-Serum-Hydrating-Glowing-i.68111.9213796287</v>
      </c>
      <c r="C3234" s="8" t="s">
        <v>1646</v>
      </c>
      <c r="D3234" s="8" t="s">
        <v>441</v>
      </c>
      <c r="E3234" s="8" t="s">
        <v>12</v>
      </c>
      <c r="F3234" s="8" t="s">
        <v>13</v>
      </c>
      <c r="G3234" s="8" t="s">
        <v>130</v>
      </c>
      <c r="H3234" s="16">
        <v>0.0</v>
      </c>
      <c r="I3234" s="15" t="str">
        <f>SUBSTITUTE(Sheet1!K3234, "Rp", "")</f>
        <v>0</v>
      </c>
    </row>
    <row r="3235">
      <c r="A3235" s="8" t="s">
        <v>4549</v>
      </c>
      <c r="B3235" s="13" t="str">
        <f>HYPERLINK("https://shopee.co.id/Lysca-Paket-Hemat-Pure-Essence-Toner-White-Serum-i.267190835.10912042232", "https://shopee.co.id/Lysca-Paket-Hemat-Pure-Essence-Toner-White-Serum-i.267190835.10912042232")</f>
        <v>https://shopee.co.id/Lysca-Paket-Hemat-Pure-Essence-Toner-White-Serum-i.267190835.10912042232</v>
      </c>
      <c r="C3235" s="8" t="s">
        <v>2097</v>
      </c>
      <c r="D3235" s="8" t="s">
        <v>2098</v>
      </c>
      <c r="E3235" s="8" t="s">
        <v>12</v>
      </c>
      <c r="F3235" s="8" t="s">
        <v>13</v>
      </c>
      <c r="G3235" s="8" t="s">
        <v>115</v>
      </c>
      <c r="H3235" s="16">
        <v>0.0</v>
      </c>
      <c r="I3235" s="15" t="str">
        <f>SUBSTITUTE(Sheet1!K3235, "Rp", "")</f>
        <v>0</v>
      </c>
    </row>
    <row r="3236">
      <c r="A3236" s="8" t="s">
        <v>4550</v>
      </c>
      <c r="B3236" s="13" t="str">
        <f>HYPERLINK("https://shopee.co.id/MAHARIS-SKIN-CARE-Sublime-Serum-30ml-i.68111.7233822832", "https://shopee.co.id/MAHARIS-SKIN-CARE-Sublime-Serum-30ml-i.68111.7233822832")</f>
        <v>https://shopee.co.id/MAHARIS-SKIN-CARE-Sublime-Serum-30ml-i.68111.7233822832</v>
      </c>
      <c r="C3236" s="8" t="s">
        <v>1946</v>
      </c>
      <c r="D3236" s="8" t="s">
        <v>441</v>
      </c>
      <c r="E3236" s="8" t="s">
        <v>12</v>
      </c>
      <c r="F3236" s="8" t="s">
        <v>13</v>
      </c>
      <c r="G3236" s="8" t="s">
        <v>130</v>
      </c>
      <c r="H3236" s="16">
        <v>0.0</v>
      </c>
      <c r="I3236" s="15" t="str">
        <f>SUBSTITUTE(Sheet1!K3236, "Rp", "")</f>
        <v>0</v>
      </c>
    </row>
    <row r="3237">
      <c r="A3237" s="8" t="s">
        <v>4551</v>
      </c>
      <c r="B3237" s="13" t="str">
        <f>HYPERLINK("https://shopee.co.id/Maharis-SkinCare-Sun-Defense-Sublime-Serum-Bundle-i.199236456.6852462774", "https://shopee.co.id/Maharis-SkinCare-Sun-Defense-Sublime-Serum-Bundle-i.199236456.6852462774")</f>
        <v>https://shopee.co.id/Maharis-SkinCare-Sun-Defense-Sublime-Serum-Bundle-i.199236456.6852462774</v>
      </c>
      <c r="C3237" s="8" t="s">
        <v>1946</v>
      </c>
      <c r="D3237" s="8" t="s">
        <v>1947</v>
      </c>
      <c r="E3237" s="8" t="s">
        <v>12</v>
      </c>
      <c r="F3237" s="8" t="s">
        <v>13</v>
      </c>
      <c r="G3237" s="8" t="s">
        <v>98</v>
      </c>
      <c r="H3237" s="16">
        <v>0.0</v>
      </c>
      <c r="I3237" s="15" t="str">
        <f>SUBSTITUTE(Sheet1!K3237, "Rp", "")</f>
        <v>0</v>
      </c>
    </row>
    <row r="3238">
      <c r="A3238" s="8" t="s">
        <v>4552</v>
      </c>
      <c r="B3238" s="13" t="str">
        <f>HYPERLINK("https://shopee.co.id/Make-Over-Hydration-Serum-33-ml-i.24819895.3733066051", "https://shopee.co.id/Make-Over-Hydration-Serum-33-ml-i.24819895.3733066051")</f>
        <v>https://shopee.co.id/Make-Over-Hydration-Serum-33-ml-i.24819895.3733066051</v>
      </c>
      <c r="C3238" s="8" t="s">
        <v>290</v>
      </c>
      <c r="D3238" s="8" t="s">
        <v>2491</v>
      </c>
      <c r="E3238" s="8" t="s">
        <v>12</v>
      </c>
      <c r="F3238" s="8" t="s">
        <v>13</v>
      </c>
      <c r="G3238" s="8" t="s">
        <v>1085</v>
      </c>
      <c r="H3238" s="16">
        <v>0.0</v>
      </c>
      <c r="I3238" s="15" t="str">
        <f>SUBSTITUTE(Sheet1!K3238, "Rp", "")</f>
        <v>0</v>
      </c>
    </row>
    <row r="3239">
      <c r="A3239" s="8" t="s">
        <v>4553</v>
      </c>
      <c r="B3239" s="13" t="str">
        <f>HYPERLINK("https://shopee.co.id/Make-Over-Hydration-Serum-33ml-i.825870.8631677884", "https://shopee.co.id/Make-Over-Hydration-Serum-33ml-i.825870.8631677884")</f>
        <v>https://shopee.co.id/Make-Over-Hydration-Serum-33ml-i.825870.8631677884</v>
      </c>
      <c r="C3239" s="8" t="s">
        <v>290</v>
      </c>
      <c r="D3239" s="8" t="s">
        <v>1184</v>
      </c>
      <c r="E3239" s="8" t="s">
        <v>12</v>
      </c>
      <c r="F3239" s="8" t="s">
        <v>13</v>
      </c>
      <c r="G3239" s="8" t="s">
        <v>21</v>
      </c>
      <c r="H3239" s="16">
        <v>0.0</v>
      </c>
      <c r="I3239" s="15" t="str">
        <f>SUBSTITUTE(Sheet1!K3239, "Rp", "")</f>
        <v>0</v>
      </c>
    </row>
    <row r="3240">
      <c r="A3240" s="8" t="s">
        <v>4554</v>
      </c>
      <c r="B3240" s="13" t="str">
        <f>HYPERLINK("https://shopee.co.id/MAKE-OVER-HYDRATION-SERUM-33-ML-i.221656536.7547592113", "https://shopee.co.id/MAKE-OVER-HYDRATION-SERUM-33-ML-i.221656536.7547592113")</f>
        <v>https://shopee.co.id/MAKE-OVER-HYDRATION-SERUM-33-ML-i.221656536.7547592113</v>
      </c>
      <c r="C3240" s="8" t="s">
        <v>290</v>
      </c>
      <c r="D3240" s="8" t="s">
        <v>4555</v>
      </c>
      <c r="E3240" s="8" t="s">
        <v>12</v>
      </c>
      <c r="F3240" s="8" t="s">
        <v>13</v>
      </c>
      <c r="G3240" s="8" t="s">
        <v>241</v>
      </c>
      <c r="H3240" s="16">
        <v>0.0</v>
      </c>
      <c r="I3240" s="15" t="str">
        <f>SUBSTITUTE(Sheet1!K3240, "Rp", "")</f>
        <v>0</v>
      </c>
    </row>
    <row r="3241">
      <c r="A3241" s="8" t="s">
        <v>4556</v>
      </c>
      <c r="B3241" s="13" t="str">
        <f>HYPERLINK("https://shopee.co.id/MakeOver-Hydration-Serum-33-ml-400170--i.16735262.6079482552", "https://shopee.co.id/MakeOver-Hydration-Serum-33-ml-400170--i.16735262.6079482552")</f>
        <v>https://shopee.co.id/MakeOver-Hydration-Serum-33-ml-400170--i.16735262.6079482552</v>
      </c>
      <c r="C3241" s="8" t="s">
        <v>290</v>
      </c>
      <c r="D3241" s="8" t="s">
        <v>3598</v>
      </c>
      <c r="E3241" s="8" t="s">
        <v>12</v>
      </c>
      <c r="F3241" s="8" t="s">
        <v>13</v>
      </c>
      <c r="G3241" s="8" t="s">
        <v>36</v>
      </c>
      <c r="H3241" s="16">
        <v>0.0</v>
      </c>
      <c r="I3241" s="15" t="str">
        <f>SUBSTITUTE(Sheet1!K3241, "Rp", "")</f>
        <v>0</v>
      </c>
    </row>
    <row r="3242">
      <c r="A3242" s="8" t="s">
        <v>4557</v>
      </c>
      <c r="B3242" s="13" t="str">
        <f>HYPERLINK("https://shopee.co.id/Man-Made-All-in-One-Essence-50ml-x-2pcs-i.373494324.8611541669", "https://shopee.co.id/Man-Made-All-in-One-Essence-50ml-x-2pcs-i.373494324.8611541669")</f>
        <v>https://shopee.co.id/Man-Made-All-in-One-Essence-50ml-x-2pcs-i.373494324.8611541669</v>
      </c>
      <c r="C3242" s="8" t="s">
        <v>3643</v>
      </c>
      <c r="D3242" s="8" t="s">
        <v>3644</v>
      </c>
      <c r="E3242" s="8" t="s">
        <v>12</v>
      </c>
      <c r="F3242" s="8" t="s">
        <v>13</v>
      </c>
      <c r="G3242" s="8" t="s">
        <v>98</v>
      </c>
      <c r="H3242" s="16">
        <v>0.0</v>
      </c>
      <c r="I3242" s="15" t="str">
        <f>SUBSTITUTE(Sheet1!K3242, "Rp", "")</f>
        <v>0</v>
      </c>
    </row>
    <row r="3243">
      <c r="A3243" s="8" t="s">
        <v>4558</v>
      </c>
      <c r="B3243" s="13" t="str">
        <f>HYPERLINK("https://shopee.co.id/MARTINEZ-BEAUTE-LUXE-WHITE-BRIGHTENING-ELIXIR-ULTIME-TREATMENT-ESSENCE-100ML-BOTTLE-i.8463767.7537019610", "https://shopee.co.id/MARTINEZ-BEAUTE-LUXE-WHITE-BRIGHTENING-ELIXIR-ULTIME-TREATMENT-ESSENCE-100ML-BOTTLE-i.8463767.7537019610")</f>
        <v>https://shopee.co.id/MARTINEZ-BEAUTE-LUXE-WHITE-BRIGHTENING-ELIXIR-ULTIME-TREATMENT-ESSENCE-100ML-BOTTLE-i.8463767.7537019610</v>
      </c>
      <c r="C3243" s="8" t="s">
        <v>4559</v>
      </c>
      <c r="D3243" s="8" t="s">
        <v>3454</v>
      </c>
      <c r="E3243" s="8" t="s">
        <v>12</v>
      </c>
      <c r="F3243" s="8" t="s">
        <v>13</v>
      </c>
      <c r="G3243" s="8" t="s">
        <v>36</v>
      </c>
      <c r="H3243" s="16">
        <v>0.0</v>
      </c>
      <c r="I3243" s="15" t="str">
        <f>SUBSTITUTE(Sheet1!K3243, "Rp", "")</f>
        <v>0</v>
      </c>
    </row>
    <row r="3244">
      <c r="A3244" s="8" t="s">
        <v>4560</v>
      </c>
      <c r="B3244" s="13" t="str">
        <f>HYPERLINK("https://shopee.co.id/MD-Glowing-Acne-Biosulfur-Serum-i.98061713.1733964715", "https://shopee.co.id/MD-Glowing-Acne-Biosulfur-Serum-i.98061713.1733964715")</f>
        <v>https://shopee.co.id/MD-Glowing-Acne-Biosulfur-Serum-i.98061713.1733964715</v>
      </c>
      <c r="C3244" s="8" t="s">
        <v>1353</v>
      </c>
      <c r="D3244" s="8" t="s">
        <v>1354</v>
      </c>
      <c r="E3244" s="8" t="s">
        <v>12</v>
      </c>
      <c r="F3244" s="8" t="s">
        <v>13</v>
      </c>
      <c r="G3244" s="8" t="s">
        <v>370</v>
      </c>
      <c r="H3244" s="16">
        <v>0.0</v>
      </c>
      <c r="I3244" s="15" t="str">
        <f>SUBSTITUTE(Sheet1!K3244, "Rp", "")</f>
        <v>0</v>
      </c>
    </row>
    <row r="3245">
      <c r="A3245" s="8" t="s">
        <v>4561</v>
      </c>
      <c r="B3245" s="13" t="str">
        <f>HYPERLINK("https://shopee.co.id/Mediheal-Masking-Layering-Ampoule-Hydra-Shot-Size-4-ml-3-Edit-by-Sociolla-i.224957239.6630574133", "https://shopee.co.id/Mediheal-Masking-Layering-Ampoule-Hydra-Shot-Size-4-ml-3-Edit-by-Sociolla-i.224957239.6630574133")</f>
        <v>https://shopee.co.id/Mediheal-Masking-Layering-Ampoule-Hydra-Shot-Size-4-ml-3-Edit-by-Sociolla-i.224957239.6630574133</v>
      </c>
      <c r="C3245" s="8" t="s">
        <v>2972</v>
      </c>
      <c r="D3245" s="8" t="s">
        <v>492</v>
      </c>
      <c r="E3245" s="8" t="s">
        <v>12</v>
      </c>
      <c r="F3245" s="8" t="s">
        <v>13</v>
      </c>
      <c r="G3245" s="8" t="s">
        <v>21</v>
      </c>
      <c r="H3245" s="16">
        <v>0.0</v>
      </c>
      <c r="I3245" s="15" t="str">
        <f>SUBSTITUTE(Sheet1!K3245, "Rp", "")</f>
        <v>0</v>
      </c>
    </row>
    <row r="3246">
      <c r="A3246" s="8" t="s">
        <v>3343</v>
      </c>
      <c r="B3246" s="13" t="str">
        <f>HYPERLINK("https://shopee.co.id/Melanox-Premium-Serum-15-ml-i.36998337.7551950310", "https://shopee.co.id/Melanox-Premium-Serum-15-ml-i.36998337.7551950310")</f>
        <v>https://shopee.co.id/Melanox-Premium-Serum-15-ml-i.36998337.7551950310</v>
      </c>
      <c r="C3246" s="8" t="s">
        <v>1606</v>
      </c>
      <c r="D3246" s="8" t="s">
        <v>2449</v>
      </c>
      <c r="E3246" s="8" t="s">
        <v>12</v>
      </c>
      <c r="F3246" s="8" t="s">
        <v>13</v>
      </c>
      <c r="G3246" s="8" t="s">
        <v>98</v>
      </c>
      <c r="H3246" s="16">
        <v>0.0</v>
      </c>
      <c r="I3246" s="15" t="str">
        <f>SUBSTITUTE(Sheet1!K3246, "Rp", "")</f>
        <v>0</v>
      </c>
    </row>
    <row r="3247">
      <c r="A3247" s="8" t="s">
        <v>4562</v>
      </c>
      <c r="B3247" s="13" t="str">
        <f>HYPERLINK("https://shopee.co.id/Melanox-Premium-Whitening-Serum-Perawatan-Wajah-Serum-Wajah-i.185943783.6661812610", "https://shopee.co.id/Melanox-Premium-Whitening-Serum-Perawatan-Wajah-Serum-Wajah-i.185943783.6661812610")</f>
        <v>https://shopee.co.id/Melanox-Premium-Whitening-Serum-Perawatan-Wajah-Serum-Wajah-i.185943783.6661812610</v>
      </c>
      <c r="C3247" s="8" t="s">
        <v>1606</v>
      </c>
      <c r="D3247" s="8" t="s">
        <v>3429</v>
      </c>
      <c r="E3247" s="8" t="s">
        <v>12</v>
      </c>
      <c r="F3247" s="8" t="s">
        <v>13</v>
      </c>
      <c r="G3247" s="8" t="s">
        <v>36</v>
      </c>
      <c r="H3247" s="16">
        <v>0.0</v>
      </c>
      <c r="I3247" s="15" t="str">
        <f>SUBSTITUTE(Sheet1!K3247, "Rp", "")</f>
        <v>0</v>
      </c>
    </row>
    <row r="3248">
      <c r="A3248" s="8" t="s">
        <v>4563</v>
      </c>
      <c r="B3248" s="13" t="str">
        <f>HYPERLINK("https://shopee.co.id/Mesoestetic-Glycolic-E-F-Ampoules-10x2ml-i.353481368.3571599515", "https://shopee.co.id/Mesoestetic-Glycolic-E-F-Ampoules-10x2ml-i.353481368.3571599515")</f>
        <v>https://shopee.co.id/Mesoestetic-Glycolic-E-F-Ampoules-10x2ml-i.353481368.3571599515</v>
      </c>
      <c r="C3248" s="8" t="s">
        <v>2226</v>
      </c>
      <c r="D3248" s="8" t="s">
        <v>2227</v>
      </c>
      <c r="E3248" s="8" t="s">
        <v>12</v>
      </c>
      <c r="F3248" s="8" t="s">
        <v>13</v>
      </c>
      <c r="G3248" s="8" t="s">
        <v>21</v>
      </c>
      <c r="H3248" s="16">
        <v>0.0</v>
      </c>
      <c r="I3248" s="15" t="str">
        <f>SUBSTITUTE(Sheet1!K3248, "Rp", "")</f>
        <v>0</v>
      </c>
    </row>
    <row r="3249">
      <c r="A3249" s="8" t="s">
        <v>4564</v>
      </c>
      <c r="B3249" s="13" t="str">
        <f>HYPERLINK("https://shopee.co.id/Mesoestetic-Melan-Tran3x-Intensive-Concentrate-30ml-i.353481368.7373902885", "https://shopee.co.id/Mesoestetic-Melan-Tran3x-Intensive-Concentrate-30ml-i.353481368.7373902885")</f>
        <v>https://shopee.co.id/Mesoestetic-Melan-Tran3x-Intensive-Concentrate-30ml-i.353481368.7373902885</v>
      </c>
      <c r="C3249" s="8" t="s">
        <v>2226</v>
      </c>
      <c r="D3249" s="8" t="s">
        <v>2227</v>
      </c>
      <c r="E3249" s="8" t="s">
        <v>12</v>
      </c>
      <c r="F3249" s="8" t="s">
        <v>13</v>
      </c>
      <c r="G3249" s="8" t="s">
        <v>21</v>
      </c>
      <c r="H3249" s="16">
        <v>0.0</v>
      </c>
      <c r="I3249" s="15" t="str">
        <f>SUBSTITUTE(Sheet1!K3249, "Rp", "")</f>
        <v>0</v>
      </c>
    </row>
    <row r="3250">
      <c r="A3250" s="8" t="s">
        <v>4565</v>
      </c>
      <c r="B3250" s="13" t="str">
        <f>HYPERLINK("https://shopee.co.id/MFS-Special-Shiseido-Creamy-Cleansing-Emulsion-i.345419471.7869542701", "https://shopee.co.id/MFS-Special-Shiseido-Creamy-Cleansing-Emulsion-i.345419471.7869542701")</f>
        <v>https://shopee.co.id/MFS-Special-Shiseido-Creamy-Cleansing-Emulsion-i.345419471.7869542701</v>
      </c>
      <c r="C3250" s="8" t="s">
        <v>868</v>
      </c>
      <c r="D3250" s="8" t="s">
        <v>869</v>
      </c>
      <c r="E3250" s="8" t="s">
        <v>12</v>
      </c>
      <c r="F3250" s="8" t="s">
        <v>13</v>
      </c>
      <c r="G3250" s="8" t="s">
        <v>130</v>
      </c>
      <c r="H3250" s="16">
        <v>0.0</v>
      </c>
      <c r="I3250" s="15" t="str">
        <f>SUBSTITUTE(Sheet1!K3250, "Rp", "")</f>
        <v>0</v>
      </c>
    </row>
    <row r="3251">
      <c r="A3251" s="8" t="s">
        <v>4566</v>
      </c>
      <c r="B3251" s="13" t="str">
        <f>HYPERLINK("https://shopee.co.id/Mila-D-opiz-Skin-Purifying-Clear-Serum-30ml-Miladopiz-i.322619273.6057937342", "https://shopee.co.id/Mila-D-opiz-Skin-Purifying-Clear-Serum-30ml-Miladopiz-i.322619273.6057937342")</f>
        <v>https://shopee.co.id/Mila-D-opiz-Skin-Purifying-Clear-Serum-30ml-Miladopiz-i.322619273.6057937342</v>
      </c>
      <c r="C3251" s="8" t="s">
        <v>2182</v>
      </c>
      <c r="D3251" s="8" t="s">
        <v>2183</v>
      </c>
      <c r="E3251" s="8" t="s">
        <v>12</v>
      </c>
      <c r="F3251" s="8" t="s">
        <v>13</v>
      </c>
      <c r="G3251" s="8" t="s">
        <v>469</v>
      </c>
      <c r="H3251" s="16">
        <v>0.0</v>
      </c>
      <c r="I3251" s="15" t="str">
        <f>SUBSTITUTE(Sheet1!K3251, "Rp", "")</f>
        <v>0</v>
      </c>
    </row>
    <row r="3252">
      <c r="A3252" s="8" t="s">
        <v>4567</v>
      </c>
      <c r="B3252" s="13" t="str">
        <f>HYPERLINK("https://shopee.co.id/Mila-D-opiz-Stem-cells-Ampoule-50ml-Miladopiz-Stemcells-Ampoule-50ml-i.322619273.5463818960", "https://shopee.co.id/Mila-D-opiz-Stem-cells-Ampoule-50ml-Miladopiz-Stemcells-Ampoule-50ml-i.322619273.5463818960")</f>
        <v>https://shopee.co.id/Mila-D-opiz-Stem-cells-Ampoule-50ml-Miladopiz-Stemcells-Ampoule-50ml-i.322619273.5463818960</v>
      </c>
      <c r="C3252" s="8" t="s">
        <v>2182</v>
      </c>
      <c r="D3252" s="8" t="s">
        <v>2183</v>
      </c>
      <c r="E3252" s="8" t="s">
        <v>12</v>
      </c>
      <c r="F3252" s="8" t="s">
        <v>13</v>
      </c>
      <c r="G3252" s="8" t="s">
        <v>469</v>
      </c>
      <c r="H3252" s="16">
        <v>0.0</v>
      </c>
      <c r="I3252" s="15" t="str">
        <f>SUBSTITUTE(Sheet1!K3252, "Rp", "")</f>
        <v>0</v>
      </c>
    </row>
    <row r="3253">
      <c r="A3253" s="8" t="s">
        <v>4568</v>
      </c>
      <c r="B3253" s="13" t="str">
        <f>HYPERLINK("https://shopee.co.id/Mila-D-opiz-Stem-Cells-Ampoule-5ml-Miladopiz-Anti-Aging-Ampoule-Stemcells-i.322619273.7857905812", "https://shopee.co.id/Mila-D-opiz-Stem-Cells-Ampoule-5ml-Miladopiz-Anti-Aging-Ampoule-Stemcells-i.322619273.7857905812")</f>
        <v>https://shopee.co.id/Mila-D-opiz-Stem-Cells-Ampoule-5ml-Miladopiz-Anti-Aging-Ampoule-Stemcells-i.322619273.7857905812</v>
      </c>
      <c r="C3253" s="8" t="s">
        <v>2182</v>
      </c>
      <c r="D3253" s="8" t="s">
        <v>2183</v>
      </c>
      <c r="E3253" s="8" t="s">
        <v>12</v>
      </c>
      <c r="F3253" s="8" t="s">
        <v>13</v>
      </c>
      <c r="G3253" s="8" t="s">
        <v>469</v>
      </c>
      <c r="H3253" s="16">
        <v>0.0</v>
      </c>
      <c r="I3253" s="15" t="str">
        <f>SUBSTITUTE(Sheet1!K3253, "Rp", "")</f>
        <v>0</v>
      </c>
    </row>
    <row r="3254">
      <c r="A3254" s="8" t="s">
        <v>4569</v>
      </c>
      <c r="B3254" s="13" t="str">
        <f>HYPERLINK("https://shopee.co.id/Mila-D-opiz-The-Skin-Whisperer-Serum-30ml-Miladopiz-i.322619273.7357893953", "https://shopee.co.id/Mila-D-opiz-The-Skin-Whisperer-Serum-30ml-Miladopiz-i.322619273.7357893953")</f>
        <v>https://shopee.co.id/Mila-D-opiz-The-Skin-Whisperer-Serum-30ml-Miladopiz-i.322619273.7357893953</v>
      </c>
      <c r="C3254" s="8" t="s">
        <v>2182</v>
      </c>
      <c r="D3254" s="8" t="s">
        <v>2183</v>
      </c>
      <c r="E3254" s="8" t="s">
        <v>12</v>
      </c>
      <c r="F3254" s="8" t="s">
        <v>13</v>
      </c>
      <c r="G3254" s="8" t="s">
        <v>469</v>
      </c>
      <c r="H3254" s="16">
        <v>0.0</v>
      </c>
      <c r="I3254" s="15" t="str">
        <f>SUBSTITUTE(Sheet1!K3254, "Rp", "")</f>
        <v>0</v>
      </c>
    </row>
    <row r="3255">
      <c r="A3255" s="8" t="s">
        <v>4570</v>
      </c>
      <c r="B3255" s="13" t="str">
        <f>HYPERLINK("https://shopee.co.id/MINERAL-BOTANICA-Acne-Care-Perfect-Purifying-Serum-i.187117294.4754184575", "https://shopee.co.id/MINERAL-BOTANICA-Acne-Care-Perfect-Purifying-Serum-i.187117294.4754184575")</f>
        <v>https://shopee.co.id/MINERAL-BOTANICA-Acne-Care-Perfect-Purifying-Serum-i.187117294.4754184575</v>
      </c>
      <c r="C3255" s="8" t="s">
        <v>807</v>
      </c>
      <c r="D3255" s="8" t="s">
        <v>2366</v>
      </c>
      <c r="E3255" s="8" t="s">
        <v>12</v>
      </c>
      <c r="F3255" s="8" t="s">
        <v>13</v>
      </c>
      <c r="G3255" s="8" t="s">
        <v>469</v>
      </c>
      <c r="H3255" s="16">
        <v>0.0</v>
      </c>
      <c r="I3255" s="15" t="str">
        <f>SUBSTITUTE(Sheet1!K3255, "Rp", "")</f>
        <v>0</v>
      </c>
    </row>
    <row r="3256">
      <c r="A3256" s="8" t="s">
        <v>4571</v>
      </c>
      <c r="B3256" s="13" t="str">
        <f>HYPERLINK("https://shopee.co.id/Mineral-Botanica-Acne-Serum-15ml-i.121791179.1863493721", "https://shopee.co.id/Mineral-Botanica-Acne-Serum-15ml-i.121791179.1863493721")</f>
        <v>https://shopee.co.id/Mineral-Botanica-Acne-Serum-15ml-i.121791179.1863493721</v>
      </c>
      <c r="C3256" s="8" t="s">
        <v>807</v>
      </c>
      <c r="D3256" s="8" t="s">
        <v>1733</v>
      </c>
      <c r="E3256" s="8" t="s">
        <v>12</v>
      </c>
      <c r="F3256" s="8" t="s">
        <v>13</v>
      </c>
      <c r="G3256" s="8" t="s">
        <v>36</v>
      </c>
      <c r="H3256" s="16">
        <v>0.0</v>
      </c>
      <c r="I3256" s="15" t="str">
        <f>SUBSTITUTE(Sheet1!K3256, "Rp", "")</f>
        <v>0</v>
      </c>
    </row>
    <row r="3257">
      <c r="A3257" s="8" t="s">
        <v>4572</v>
      </c>
      <c r="B3257" s="13" t="str">
        <f>HYPERLINK("https://shopee.co.id/MINERAL-BOTANICA-White-Plus-Complex-Serum-i.30736001.1044570276", "https://shopee.co.id/MINERAL-BOTANICA-White-Plus-Complex-Serum-i.30736001.1044570276")</f>
        <v>https://shopee.co.id/MINERAL-BOTANICA-White-Plus-Complex-Serum-i.30736001.1044570276</v>
      </c>
      <c r="C3257" s="8" t="s">
        <v>807</v>
      </c>
      <c r="D3257" s="8" t="s">
        <v>335</v>
      </c>
      <c r="E3257" s="8" t="s">
        <v>12</v>
      </c>
      <c r="F3257" s="8" t="s">
        <v>13</v>
      </c>
      <c r="G3257" s="8" t="s">
        <v>36</v>
      </c>
      <c r="H3257" s="16">
        <v>0.0</v>
      </c>
      <c r="I3257" s="15" t="str">
        <f>SUBSTITUTE(Sheet1!K3257, "Rp", "")</f>
        <v>0</v>
      </c>
    </row>
    <row r="3258">
      <c r="A3258" s="8" t="s">
        <v>4573</v>
      </c>
      <c r="B3258" s="13" t="str">
        <f>HYPERLINK("https://shopee.co.id/Mirelle-Acne-Serum-15ml-i.825870.9175026456", "https://shopee.co.id/Mirelle-Acne-Serum-15ml-i.825870.9175026456")</f>
        <v>https://shopee.co.id/Mirelle-Acne-Serum-15ml-i.825870.9175026456</v>
      </c>
      <c r="C3258" s="8" t="s">
        <v>1478</v>
      </c>
      <c r="D3258" s="8" t="s">
        <v>1184</v>
      </c>
      <c r="E3258" s="8" t="s">
        <v>12</v>
      </c>
      <c r="F3258" s="8" t="s">
        <v>13</v>
      </c>
      <c r="G3258" s="8" t="s">
        <v>21</v>
      </c>
      <c r="H3258" s="16">
        <v>0.0</v>
      </c>
      <c r="I3258" s="15" t="str">
        <f>SUBSTITUTE(Sheet1!K3258, "Rp", "")</f>
        <v>0</v>
      </c>
    </row>
    <row r="3259">
      <c r="A3259" s="8" t="s">
        <v>4574</v>
      </c>
      <c r="B3259" s="13" t="str">
        <f>HYPERLINK("https://shopee.co.id/MISSHA-Near-Skin-Trouble-Cut-Spot-Cover-i.37557990.6525958546", "https://shopee.co.id/MISSHA-Near-Skin-Trouble-Cut-Spot-Cover-i.37557990.6525958546")</f>
        <v>https://shopee.co.id/MISSHA-Near-Skin-Trouble-Cut-Spot-Cover-i.37557990.6525958546</v>
      </c>
      <c r="C3259" s="8" t="s">
        <v>695</v>
      </c>
      <c r="D3259" s="8" t="s">
        <v>696</v>
      </c>
      <c r="E3259" s="8" t="s">
        <v>12</v>
      </c>
      <c r="F3259" s="8" t="s">
        <v>13</v>
      </c>
      <c r="G3259" s="8" t="s">
        <v>80</v>
      </c>
      <c r="H3259" s="16">
        <v>0.0</v>
      </c>
      <c r="I3259" s="15" t="str">
        <f>SUBSTITUTE(Sheet1!K3259, "Rp", "")</f>
        <v>0</v>
      </c>
    </row>
    <row r="3260">
      <c r="A3260" s="8" t="s">
        <v>4575</v>
      </c>
      <c r="B3260" s="13" t="str">
        <f>HYPERLINK("https://shopee.co.id/MISSHA-Paket-Vita-C-Healthy-Set-1-set-Snail-Cleansing-Foam-1--i.37557990.11624922298", "https://shopee.co.id/MISSHA-Paket-Vita-C-Healthy-Set-1-set-Snail-Cleansing-Foam-1--i.37557990.11624922298")</f>
        <v>https://shopee.co.id/MISSHA-Paket-Vita-C-Healthy-Set-1-set-Snail-Cleansing-Foam-1--i.37557990.11624922298</v>
      </c>
      <c r="C3260" s="8" t="s">
        <v>695</v>
      </c>
      <c r="D3260" s="8" t="s">
        <v>696</v>
      </c>
      <c r="E3260" s="8" t="s">
        <v>12</v>
      </c>
      <c r="F3260" s="8" t="s">
        <v>13</v>
      </c>
      <c r="G3260" s="8" t="s">
        <v>80</v>
      </c>
      <c r="H3260" s="16">
        <v>0.0</v>
      </c>
      <c r="I3260" s="15" t="str">
        <f>SUBSTITUTE(Sheet1!K3260, "Rp", "")</f>
        <v>0</v>
      </c>
    </row>
    <row r="3261">
      <c r="A3261" s="8" t="s">
        <v>4576</v>
      </c>
      <c r="B3261" s="13" t="str">
        <f>HYPERLINK("https://shopee.co.id/Missha-Super-Aqua-Snail-skin-Treatment-130ML-i.187117294.4137751101", "https://shopee.co.id/Missha-Super-Aqua-Snail-skin-Treatment-130ML-i.187117294.4137751101")</f>
        <v>https://shopee.co.id/Missha-Super-Aqua-Snail-skin-Treatment-130ML-i.187117294.4137751101</v>
      </c>
      <c r="C3261" s="8" t="s">
        <v>695</v>
      </c>
      <c r="D3261" s="8" t="s">
        <v>2366</v>
      </c>
      <c r="E3261" s="8" t="s">
        <v>12</v>
      </c>
      <c r="F3261" s="8" t="s">
        <v>13</v>
      </c>
      <c r="G3261" s="8" t="s">
        <v>469</v>
      </c>
      <c r="H3261" s="16">
        <v>0.0</v>
      </c>
      <c r="I3261" s="15" t="str">
        <f>SUBSTITUTE(Sheet1!K3261, "Rp", "")</f>
        <v>0</v>
      </c>
    </row>
    <row r="3262">
      <c r="A3262" s="8" t="s">
        <v>4577</v>
      </c>
      <c r="B3262" s="13" t="str">
        <f>HYPERLINK("https://shopee.co.id/MISSHA-Time-Evolution-The-First-Treatment-Essence-Rx-i.187117294.4938219162", "https://shopee.co.id/MISSHA-Time-Evolution-The-First-Treatment-Essence-Rx-i.187117294.4938219162")</f>
        <v>https://shopee.co.id/MISSHA-Time-Evolution-The-First-Treatment-Essence-Rx-i.187117294.4938219162</v>
      </c>
      <c r="C3262" s="8" t="s">
        <v>695</v>
      </c>
      <c r="D3262" s="8" t="s">
        <v>2366</v>
      </c>
      <c r="E3262" s="8" t="s">
        <v>12</v>
      </c>
      <c r="F3262" s="8" t="s">
        <v>13</v>
      </c>
      <c r="G3262" s="8" t="s">
        <v>469</v>
      </c>
      <c r="H3262" s="16">
        <v>0.0</v>
      </c>
      <c r="I3262" s="15" t="str">
        <f>SUBSTITUTE(Sheet1!K3262, "Rp", "")</f>
        <v>0</v>
      </c>
    </row>
    <row r="3263">
      <c r="A3263" s="8" t="s">
        <v>4578</v>
      </c>
      <c r="B3263" s="13" t="str">
        <f>HYPERLINK("https://shopee.co.id/Missha-Time-Revolution-Night-Repair-Probio-Ampoule-i.187117294.7438221535", "https://shopee.co.id/Missha-Time-Revolution-Night-Repair-Probio-Ampoule-i.187117294.7438221535")</f>
        <v>https://shopee.co.id/Missha-Time-Revolution-Night-Repair-Probio-Ampoule-i.187117294.7438221535</v>
      </c>
      <c r="C3263" s="8" t="s">
        <v>695</v>
      </c>
      <c r="D3263" s="8" t="s">
        <v>2366</v>
      </c>
      <c r="E3263" s="8" t="s">
        <v>12</v>
      </c>
      <c r="F3263" s="8" t="s">
        <v>13</v>
      </c>
      <c r="G3263" s="8" t="s">
        <v>469</v>
      </c>
      <c r="H3263" s="16">
        <v>0.0</v>
      </c>
      <c r="I3263" s="15" t="str">
        <f>SUBSTITUTE(Sheet1!K3263, "Rp", "")</f>
        <v>0</v>
      </c>
    </row>
    <row r="3264">
      <c r="A3264" s="8" t="s">
        <v>4579</v>
      </c>
      <c r="B3264" s="13" t="str">
        <f>HYPERLINK("https://shopee.co.id/Missha-yei-hyun-essence-i.221656536.11726313474", "https://shopee.co.id/Missha-yei-hyun-essence-i.221656536.11726313474")</f>
        <v>https://shopee.co.id/Missha-yei-hyun-essence-i.221656536.11726313474</v>
      </c>
      <c r="C3264" s="8" t="s">
        <v>695</v>
      </c>
      <c r="D3264" s="8" t="s">
        <v>4555</v>
      </c>
      <c r="E3264" s="8" t="s">
        <v>12</v>
      </c>
      <c r="F3264" s="8" t="s">
        <v>13</v>
      </c>
      <c r="G3264" s="8" t="s">
        <v>241</v>
      </c>
      <c r="H3264" s="16">
        <v>0.0</v>
      </c>
      <c r="I3264" s="15" t="str">
        <f>SUBSTITUTE(Sheet1!K3264, "Rp", "")</f>
        <v>0</v>
      </c>
    </row>
    <row r="3265">
      <c r="A3265" s="8" t="s">
        <v>4580</v>
      </c>
      <c r="B3265" s="13" t="str">
        <f>HYPERLINK("https://shopee.co.id/MONSKIN-Glutathione-Vit-C-Serum-15-ml-i.163341372.2534682520", "https://shopee.co.id/MONSKIN-Glutathione-Vit-C-Serum-15-ml-i.163341372.2534682520")</f>
        <v>https://shopee.co.id/MONSKIN-Glutathione-Vit-C-Serum-15-ml-i.163341372.2534682520</v>
      </c>
      <c r="C3265" s="8" t="s">
        <v>4534</v>
      </c>
      <c r="D3265" s="8" t="s">
        <v>4535</v>
      </c>
      <c r="E3265" s="8" t="s">
        <v>12</v>
      </c>
      <c r="F3265" s="8" t="s">
        <v>13</v>
      </c>
      <c r="G3265" s="8" t="s">
        <v>1085</v>
      </c>
      <c r="H3265" s="16">
        <v>0.0</v>
      </c>
      <c r="I3265" s="15" t="str">
        <f>SUBSTITUTE(Sheet1!K3265, "Rp", "")</f>
        <v>0</v>
      </c>
    </row>
    <row r="3266">
      <c r="A3266" s="8" t="s">
        <v>4581</v>
      </c>
      <c r="B3266" s="13" t="str">
        <f>HYPERLINK("https://shopee.co.id/MONSKIN-Post-Acne-Lightening-Serum-15-ml-i.163341372.2534750019", "https://shopee.co.id/MONSKIN-Post-Acne-Lightening-Serum-15-ml-i.163341372.2534750019")</f>
        <v>https://shopee.co.id/MONSKIN-Post-Acne-Lightening-Serum-15-ml-i.163341372.2534750019</v>
      </c>
      <c r="C3266" s="8" t="s">
        <v>4534</v>
      </c>
      <c r="D3266" s="8" t="s">
        <v>4535</v>
      </c>
      <c r="E3266" s="8" t="s">
        <v>12</v>
      </c>
      <c r="F3266" s="8" t="s">
        <v>13</v>
      </c>
      <c r="G3266" s="8" t="s">
        <v>1085</v>
      </c>
      <c r="H3266" s="16">
        <v>0.0</v>
      </c>
      <c r="I3266" s="15" t="str">
        <f>SUBSTITUTE(Sheet1!K3266, "Rp", "")</f>
        <v>0</v>
      </c>
    </row>
    <row r="3267">
      <c r="A3267" s="8" t="s">
        <v>4582</v>
      </c>
      <c r="B3267" s="13" t="str">
        <f>HYPERLINK("https://shopee.co.id/MONSKIN-Translucent-Brightening-Serum-15-ml-i.163341372.2534723114", "https://shopee.co.id/MONSKIN-Translucent-Brightening-Serum-15-ml-i.163341372.2534723114")</f>
        <v>https://shopee.co.id/MONSKIN-Translucent-Brightening-Serum-15-ml-i.163341372.2534723114</v>
      </c>
      <c r="C3267" s="8" t="s">
        <v>4534</v>
      </c>
      <c r="D3267" s="8" t="s">
        <v>4535</v>
      </c>
      <c r="E3267" s="8" t="s">
        <v>12</v>
      </c>
      <c r="F3267" s="8" t="s">
        <v>13</v>
      </c>
      <c r="G3267" s="8" t="s">
        <v>1085</v>
      </c>
      <c r="H3267" s="16">
        <v>0.0</v>
      </c>
      <c r="I3267" s="15" t="str">
        <f>SUBSTITUTE(Sheet1!K3267, "Rp", "")</f>
        <v>0</v>
      </c>
    </row>
    <row r="3268">
      <c r="A3268" s="8" t="s">
        <v>4583</v>
      </c>
      <c r="B3268" s="13" t="str">
        <f>HYPERLINK("https://shopee.co.id/Moriganic-Almond-Oil-Serum-30ml-BPOM-i.160415531.2622186866", "https://shopee.co.id/Moriganic-Almond-Oil-Serum-30ml-BPOM-i.160415531.2622186866")</f>
        <v>https://shopee.co.id/Moriganic-Almond-Oil-Serum-30ml-BPOM-i.160415531.2622186866</v>
      </c>
      <c r="C3268" s="8" t="s">
        <v>1421</v>
      </c>
      <c r="D3268" s="8" t="s">
        <v>1422</v>
      </c>
      <c r="E3268" s="8" t="s">
        <v>12</v>
      </c>
      <c r="F3268" s="8" t="s">
        <v>13</v>
      </c>
      <c r="G3268" s="8" t="s">
        <v>21</v>
      </c>
      <c r="H3268" s="16">
        <v>0.0</v>
      </c>
      <c r="I3268" s="15" t="str">
        <f>SUBSTITUTE(Sheet1!K3268, "Rp", "")</f>
        <v>0</v>
      </c>
    </row>
    <row r="3269">
      <c r="A3269" s="8" t="s">
        <v>4584</v>
      </c>
      <c r="B3269" s="13" t="str">
        <f>HYPERLINK("https://shopee.co.id/Moriganic-Castor-Oil-Serum-30ml-BPOM-i.160415531.2622234253", "https://shopee.co.id/Moriganic-Castor-Oil-Serum-30ml-BPOM-i.160415531.2622234253")</f>
        <v>https://shopee.co.id/Moriganic-Castor-Oil-Serum-30ml-BPOM-i.160415531.2622234253</v>
      </c>
      <c r="C3269" s="8" t="s">
        <v>1421</v>
      </c>
      <c r="D3269" s="8" t="s">
        <v>1422</v>
      </c>
      <c r="E3269" s="8" t="s">
        <v>12</v>
      </c>
      <c r="F3269" s="8" t="s">
        <v>13</v>
      </c>
      <c r="G3269" s="8" t="s">
        <v>21</v>
      </c>
      <c r="H3269" s="16">
        <v>0.0</v>
      </c>
      <c r="I3269" s="15" t="str">
        <f>SUBSTITUTE(Sheet1!K3269, "Rp", "")</f>
        <v>0</v>
      </c>
    </row>
    <row r="3270">
      <c r="A3270" s="8" t="s">
        <v>4585</v>
      </c>
      <c r="B3270" s="13" t="str">
        <f>HYPERLINK("https://shopee.co.id/Ms-Glow-Peeling-Serum-Mencerahkan-Kulit-Kusam-Bibir-yang-kehitaman-Bpom-Original-Bisa-Bayar-Cod-i.301699781.11729527642", "https://shopee.co.id/Ms-Glow-Peeling-Serum-Mencerahkan-Kulit-Kusam-Bibir-yang-kehitaman-Bpom-Original-Bisa-Bayar-Cod-i.301699781.11729527642")</f>
        <v>https://shopee.co.id/Ms-Glow-Peeling-Serum-Mencerahkan-Kulit-Kusam-Bibir-yang-kehitaman-Bpom-Original-Bisa-Bayar-Cod-i.301699781.11729527642</v>
      </c>
      <c r="C3270" s="8" t="s">
        <v>96</v>
      </c>
      <c r="D3270" s="8" t="s">
        <v>2954</v>
      </c>
      <c r="E3270" s="8" t="s">
        <v>12</v>
      </c>
      <c r="F3270" s="8" t="s">
        <v>13</v>
      </c>
      <c r="G3270" s="8" t="s">
        <v>115</v>
      </c>
      <c r="H3270" s="16">
        <v>0.0</v>
      </c>
      <c r="I3270" s="15" t="str">
        <f>SUBSTITUTE(Sheet1!K3270, "Rp", "")</f>
        <v>0</v>
      </c>
    </row>
    <row r="3271">
      <c r="A3271" s="8" t="s">
        <v>4586</v>
      </c>
      <c r="B3271" s="13" t="str">
        <f>HYPERLINK("https://shopee.co.id/MS-Glow-Serum-Acne-Serum-Meredakan-Jerawat-Menghilangkan-Bekas-Jerawat-Mengatasi-Kemerahan-Bpom-i.301699781.10229549184", "https://shopee.co.id/MS-Glow-Serum-Acne-Serum-Meredakan-Jerawat-Menghilangkan-Bekas-Jerawat-Mengatasi-Kemerahan-Bpom-i.301699781.10229549184")</f>
        <v>https://shopee.co.id/MS-Glow-Serum-Acne-Serum-Meredakan-Jerawat-Menghilangkan-Bekas-Jerawat-Mengatasi-Kemerahan-Bpom-i.301699781.10229549184</v>
      </c>
      <c r="C3271" s="8" t="s">
        <v>96</v>
      </c>
      <c r="D3271" s="8" t="s">
        <v>2954</v>
      </c>
      <c r="E3271" s="8" t="s">
        <v>12</v>
      </c>
      <c r="F3271" s="8" t="s">
        <v>13</v>
      </c>
      <c r="G3271" s="8" t="s">
        <v>115</v>
      </c>
      <c r="H3271" s="16">
        <v>0.0</v>
      </c>
      <c r="I3271" s="15" t="str">
        <f>SUBSTITUTE(Sheet1!K3271, "Rp", "")</f>
        <v>0</v>
      </c>
    </row>
    <row r="3272">
      <c r="A3272" s="8" t="s">
        <v>4587</v>
      </c>
      <c r="B3272" s="13" t="str">
        <f>HYPERLINK("https://shopee.co.id/MS-Glow-Serum-Lifting-Mencerahkan-dan-Mengatasi-Kerutan-pada-Kulit-Wajah-Menghilangkan-Flek-Hitam-i.301699781.11529534383", "https://shopee.co.id/MS-Glow-Serum-Lifting-Mencerahkan-dan-Mengatasi-Kerutan-pada-Kulit-Wajah-Menghilangkan-Flek-Hitam-i.301699781.11529534383")</f>
        <v>https://shopee.co.id/MS-Glow-Serum-Lifting-Mencerahkan-dan-Mengatasi-Kerutan-pada-Kulit-Wajah-Menghilangkan-Flek-Hitam-i.301699781.11529534383</v>
      </c>
      <c r="C3272" s="8" t="s">
        <v>96</v>
      </c>
      <c r="D3272" s="8" t="s">
        <v>2954</v>
      </c>
      <c r="E3272" s="8" t="s">
        <v>12</v>
      </c>
      <c r="F3272" s="8" t="s">
        <v>13</v>
      </c>
      <c r="G3272" s="8" t="s">
        <v>115</v>
      </c>
      <c r="H3272" s="16">
        <v>0.0</v>
      </c>
      <c r="I3272" s="15" t="str">
        <f>SUBSTITUTE(Sheet1!K3272, "Rp", "")</f>
        <v>0</v>
      </c>
    </row>
    <row r="3273">
      <c r="A3273" s="8" t="s">
        <v>4588</v>
      </c>
      <c r="B3273" s="13" t="str">
        <f>HYPERLINK("https://shopee.co.id/MSBB-Avoskin-Reverse-the-Youth-Bundling-i.288588702.3875770244", "https://shopee.co.id/MSBB-Avoskin-Reverse-the-Youth-Bundling-i.288588702.3875770244")</f>
        <v>https://shopee.co.id/MSBB-Avoskin-Reverse-the-Youth-Bundling-i.288588702.3875770244</v>
      </c>
      <c r="C3273" s="8" t="s">
        <v>83</v>
      </c>
      <c r="D3273" s="8" t="s">
        <v>79</v>
      </c>
      <c r="E3273" s="8" t="s">
        <v>12</v>
      </c>
      <c r="F3273" s="8" t="s">
        <v>13</v>
      </c>
      <c r="G3273" s="8" t="s">
        <v>80</v>
      </c>
      <c r="H3273" s="16">
        <v>0.0</v>
      </c>
      <c r="I3273" s="15" t="str">
        <f>SUBSTITUTE(Sheet1!K3273, "Rp", "")</f>
        <v>0</v>
      </c>
    </row>
    <row r="3274">
      <c r="A3274" s="8" t="s">
        <v>4589</v>
      </c>
      <c r="B3274" s="13" t="str">
        <f>HYPERLINK("https://shopee.co.id/MSBB-Avoskin-Your-Skin-Bae-Panthenol-5-Mugwort-Cica-Barrier-Hero-Serum-i.288588702.10415284479", "https://shopee.co.id/MSBB-Avoskin-Your-Skin-Bae-Panthenol-5-Mugwort-Cica-Barrier-Hero-Serum-i.288588702.10415284479")</f>
        <v>https://shopee.co.id/MSBB-Avoskin-Your-Skin-Bae-Panthenol-5-Mugwort-Cica-Barrier-Hero-Serum-i.288588702.10415284479</v>
      </c>
      <c r="C3274" s="8" t="s">
        <v>78</v>
      </c>
      <c r="D3274" s="8" t="s">
        <v>79</v>
      </c>
      <c r="E3274" s="8" t="s">
        <v>12</v>
      </c>
      <c r="F3274" s="8" t="s">
        <v>13</v>
      </c>
      <c r="G3274" s="8" t="s">
        <v>80</v>
      </c>
      <c r="H3274" s="16">
        <v>0.0</v>
      </c>
      <c r="I3274" s="15" t="str">
        <f>SUBSTITUTE(Sheet1!K3274, "Rp", "")</f>
        <v>0</v>
      </c>
    </row>
    <row r="3275">
      <c r="A3275" s="8" t="s">
        <v>4590</v>
      </c>
      <c r="B3275" s="13" t="str">
        <f>HYPERLINK("https://shopee.co.id/MSBB-BIYU-Hyaluronic-Acid-Serum-i.288588702.9630486788", "https://shopee.co.id/MSBB-BIYU-Hyaluronic-Acid-Serum-i.288588702.9630486788")</f>
        <v>https://shopee.co.id/MSBB-BIYU-Hyaluronic-Acid-Serum-i.288588702.9630486788</v>
      </c>
      <c r="C3275" s="8" t="s">
        <v>78</v>
      </c>
      <c r="D3275" s="8" t="s">
        <v>79</v>
      </c>
      <c r="E3275" s="8" t="s">
        <v>12</v>
      </c>
      <c r="F3275" s="8" t="s">
        <v>13</v>
      </c>
      <c r="G3275" s="8" t="s">
        <v>80</v>
      </c>
      <c r="H3275" s="16">
        <v>0.0</v>
      </c>
      <c r="I3275" s="15" t="str">
        <f>SUBSTITUTE(Sheet1!K3275, "Rp", "")</f>
        <v>0</v>
      </c>
    </row>
    <row r="3276">
      <c r="A3276" s="8" t="s">
        <v>4591</v>
      </c>
      <c r="B3276" s="13" t="str">
        <f>HYPERLINK("https://shopee.co.id/MSBB-Dear-Me-Beauty-10-Niacinamide-Watermelon-Extract-Face-Serum-12ml-i.288588702.8058833331", "https://shopee.co.id/MSBB-Dear-Me-Beauty-10-Niacinamide-Watermelon-Extract-Face-Serum-12ml-i.288588702.8058833331")</f>
        <v>https://shopee.co.id/MSBB-Dear-Me-Beauty-10-Niacinamide-Watermelon-Extract-Face-Serum-12ml-i.288588702.8058833331</v>
      </c>
      <c r="C3276" s="8" t="s">
        <v>78</v>
      </c>
      <c r="D3276" s="8" t="s">
        <v>79</v>
      </c>
      <c r="E3276" s="8" t="s">
        <v>12</v>
      </c>
      <c r="F3276" s="8" t="s">
        <v>13</v>
      </c>
      <c r="G3276" s="8" t="s">
        <v>80</v>
      </c>
      <c r="H3276" s="16">
        <v>0.0</v>
      </c>
      <c r="I3276" s="15" t="str">
        <f>SUBSTITUTE(Sheet1!K3276, "Rp", "")</f>
        <v>0</v>
      </c>
    </row>
    <row r="3277">
      <c r="A3277" s="8" t="s">
        <v>4592</v>
      </c>
      <c r="B3277" s="13" t="str">
        <f>HYPERLINK("https://shopee.co.id/MSBB-Dear-Me-Beauty-10-Vitamin-C-Orange-Extract-Face-Serum-12ml-i.288588702.6789841088", "https://shopee.co.id/MSBB-Dear-Me-Beauty-10-Vitamin-C-Orange-Extract-Face-Serum-12ml-i.288588702.6789841088")</f>
        <v>https://shopee.co.id/MSBB-Dear-Me-Beauty-10-Vitamin-C-Orange-Extract-Face-Serum-12ml-i.288588702.6789841088</v>
      </c>
      <c r="C3277" s="8" t="s">
        <v>78</v>
      </c>
      <c r="D3277" s="8" t="s">
        <v>79</v>
      </c>
      <c r="E3277" s="8" t="s">
        <v>12</v>
      </c>
      <c r="F3277" s="8" t="s">
        <v>13</v>
      </c>
      <c r="G3277" s="8" t="s">
        <v>80</v>
      </c>
      <c r="H3277" s="16">
        <v>0.0</v>
      </c>
      <c r="I3277" s="15" t="str">
        <f>SUBSTITUTE(Sheet1!K3277, "Rp", "")</f>
        <v>0</v>
      </c>
    </row>
    <row r="3278">
      <c r="A3278" s="8" t="s">
        <v>4593</v>
      </c>
      <c r="B3278" s="13" t="str">
        <f>HYPERLINK("https://shopee.co.id/MSBB-Elsheskin-Sebum-Reducer-Serum-i.288588702.4467965174", "https://shopee.co.id/MSBB-Elsheskin-Sebum-Reducer-Serum-i.288588702.4467965174")</f>
        <v>https://shopee.co.id/MSBB-Elsheskin-Sebum-Reducer-Serum-i.288588702.4467965174</v>
      </c>
      <c r="C3278" s="8" t="s">
        <v>135</v>
      </c>
      <c r="D3278" s="8" t="s">
        <v>79</v>
      </c>
      <c r="E3278" s="8" t="s">
        <v>12</v>
      </c>
      <c r="F3278" s="8" t="s">
        <v>13</v>
      </c>
      <c r="G3278" s="8" t="s">
        <v>80</v>
      </c>
      <c r="H3278" s="16">
        <v>0.0</v>
      </c>
      <c r="I3278" s="15" t="str">
        <f>SUBSTITUTE(Sheet1!K3278, "Rp", "")</f>
        <v>0</v>
      </c>
    </row>
    <row r="3279">
      <c r="A3279" s="8" t="s">
        <v>4594</v>
      </c>
      <c r="B3279" s="13" t="str">
        <f>HYPERLINK("https://shopee.co.id/MSBB-For-Skin-s-Sake-Hyaluronic-Acid-Serum-i.288588702.8039322941", "https://shopee.co.id/MSBB-For-Skin-s-Sake-Hyaluronic-Acid-Serum-i.288588702.8039322941")</f>
        <v>https://shopee.co.id/MSBB-For-Skin-s-Sake-Hyaluronic-Acid-Serum-i.288588702.8039322941</v>
      </c>
      <c r="C3279" s="8" t="s">
        <v>78</v>
      </c>
      <c r="D3279" s="8" t="s">
        <v>79</v>
      </c>
      <c r="E3279" s="8" t="s">
        <v>12</v>
      </c>
      <c r="F3279" s="8" t="s">
        <v>13</v>
      </c>
      <c r="G3279" s="8" t="s">
        <v>80</v>
      </c>
      <c r="H3279" s="16">
        <v>0.0</v>
      </c>
      <c r="I3279" s="15" t="str">
        <f>SUBSTITUTE(Sheet1!K3279, "Rp", "")</f>
        <v>0</v>
      </c>
    </row>
    <row r="3280">
      <c r="A3280" s="8" t="s">
        <v>4595</v>
      </c>
      <c r="B3280" s="13" t="str">
        <f>HYPERLINK("https://shopee.co.id/MSBB-For-Skin-s-Sake-Retinol-Serum-i.288588702.5685112187", "https://shopee.co.id/MSBB-For-Skin-s-Sake-Retinol-Serum-i.288588702.5685112187")</f>
        <v>https://shopee.co.id/MSBB-For-Skin-s-Sake-Retinol-Serum-i.288588702.5685112187</v>
      </c>
      <c r="C3280" s="8" t="s">
        <v>78</v>
      </c>
      <c r="D3280" s="8" t="s">
        <v>79</v>
      </c>
      <c r="E3280" s="8" t="s">
        <v>12</v>
      </c>
      <c r="F3280" s="8" t="s">
        <v>13</v>
      </c>
      <c r="G3280" s="8" t="s">
        <v>80</v>
      </c>
      <c r="H3280" s="16">
        <v>0.0</v>
      </c>
      <c r="I3280" s="15" t="str">
        <f>SUBSTITUTE(Sheet1!K3280, "Rp", "")</f>
        <v>0</v>
      </c>
    </row>
    <row r="3281">
      <c r="A3281" s="8" t="s">
        <v>4596</v>
      </c>
      <c r="B3281" s="13" t="str">
        <f>HYPERLINK("https://shopee.co.id/MSBB-Glowlabs-Glo-C-Serum-i.288588702.6893442998", "https://shopee.co.id/MSBB-Glowlabs-Glo-C-Serum-i.288588702.6893442998")</f>
        <v>https://shopee.co.id/MSBB-Glowlabs-Glo-C-Serum-i.288588702.6893442998</v>
      </c>
      <c r="C3281" s="8" t="s">
        <v>78</v>
      </c>
      <c r="D3281" s="8" t="s">
        <v>79</v>
      </c>
      <c r="E3281" s="8" t="s">
        <v>12</v>
      </c>
      <c r="F3281" s="8" t="s">
        <v>13</v>
      </c>
      <c r="G3281" s="8" t="s">
        <v>80</v>
      </c>
      <c r="H3281" s="16">
        <v>0.0</v>
      </c>
      <c r="I3281" s="15" t="str">
        <f>SUBSTITUTE(Sheet1!K3281, "Rp", "")</f>
        <v>0</v>
      </c>
    </row>
    <row r="3282">
      <c r="A3282" s="8" t="s">
        <v>4597</v>
      </c>
      <c r="B3282" s="13" t="str">
        <f>HYPERLINK("https://shopee.co.id/MSBB-Haple-Silver-Moon-Calming-Serum-i.288588702.9748898666", "https://shopee.co.id/MSBB-Haple-Silver-Moon-Calming-Serum-i.288588702.9748898666")</f>
        <v>https://shopee.co.id/MSBB-Haple-Silver-Moon-Calming-Serum-i.288588702.9748898666</v>
      </c>
      <c r="C3282" s="8" t="s">
        <v>1415</v>
      </c>
      <c r="D3282" s="8" t="s">
        <v>79</v>
      </c>
      <c r="E3282" s="8" t="s">
        <v>12</v>
      </c>
      <c r="F3282" s="8" t="s">
        <v>13</v>
      </c>
      <c r="G3282" s="8" t="s">
        <v>80</v>
      </c>
      <c r="H3282" s="16">
        <v>0.0</v>
      </c>
      <c r="I3282" s="15" t="str">
        <f>SUBSTITUTE(Sheet1!K3282, "Rp", "")</f>
        <v>0</v>
      </c>
    </row>
    <row r="3283">
      <c r="A3283" s="8" t="s">
        <v>4598</v>
      </c>
      <c r="B3283" s="13" t="str">
        <f>HYPERLINK("https://shopee.co.id/MSBB-Haum-Aloecid-Niacinamide-10-50-Gr-i.288588702.10132641661", "https://shopee.co.id/MSBB-Haum-Aloecid-Niacinamide-10-50-Gr-i.288588702.10132641661")</f>
        <v>https://shopee.co.id/MSBB-Haum-Aloecid-Niacinamide-10-50-Gr-i.288588702.10132641661</v>
      </c>
      <c r="C3283" s="8" t="s">
        <v>78</v>
      </c>
      <c r="D3283" s="8" t="s">
        <v>79</v>
      </c>
      <c r="E3283" s="8" t="s">
        <v>12</v>
      </c>
      <c r="F3283" s="8" t="s">
        <v>13</v>
      </c>
      <c r="G3283" s="8" t="s">
        <v>80</v>
      </c>
      <c r="H3283" s="16">
        <v>0.0</v>
      </c>
      <c r="I3283" s="15" t="str">
        <f>SUBSTITUTE(Sheet1!K3283, "Rp", "")</f>
        <v>0</v>
      </c>
    </row>
    <row r="3284">
      <c r="A3284" s="8" t="s">
        <v>4599</v>
      </c>
      <c r="B3284" s="13" t="str">
        <f>HYPERLINK("https://shopee.co.id/MSBB-I-Trust-Nature-Licorice-Serum-Soothing-Brightening-i.288588702.8167616966", "https://shopee.co.id/MSBB-I-Trust-Nature-Licorice-Serum-Soothing-Brightening-i.288588702.8167616966")</f>
        <v>https://shopee.co.id/MSBB-I-Trust-Nature-Licorice-Serum-Soothing-Brightening-i.288588702.8167616966</v>
      </c>
      <c r="C3284" s="8" t="s">
        <v>78</v>
      </c>
      <c r="D3284" s="8" t="s">
        <v>79</v>
      </c>
      <c r="E3284" s="8" t="s">
        <v>12</v>
      </c>
      <c r="F3284" s="8" t="s">
        <v>13</v>
      </c>
      <c r="G3284" s="8" t="s">
        <v>80</v>
      </c>
      <c r="H3284" s="16">
        <v>0.0</v>
      </c>
      <c r="I3284" s="15" t="str">
        <f>SUBSTITUTE(Sheet1!K3284, "Rp", "")</f>
        <v>0</v>
      </c>
    </row>
    <row r="3285">
      <c r="A3285" s="8" t="s">
        <v>4600</v>
      </c>
      <c r="B3285" s="13" t="str">
        <f>HYPERLINK("https://shopee.co.id/MSBB-Jarkeen-Porcelain-Skin-Serum-i.288588702.6891515780", "https://shopee.co.id/MSBB-Jarkeen-Porcelain-Skin-Serum-i.288588702.6891515780")</f>
        <v>https://shopee.co.id/MSBB-Jarkeen-Porcelain-Skin-Serum-i.288588702.6891515780</v>
      </c>
      <c r="C3285" s="8" t="s">
        <v>78</v>
      </c>
      <c r="D3285" s="8" t="s">
        <v>79</v>
      </c>
      <c r="E3285" s="8" t="s">
        <v>12</v>
      </c>
      <c r="F3285" s="8" t="s">
        <v>13</v>
      </c>
      <c r="G3285" s="8" t="s">
        <v>80</v>
      </c>
      <c r="H3285" s="16">
        <v>0.0</v>
      </c>
      <c r="I3285" s="15" t="str">
        <f>SUBSTITUTE(Sheet1!K3285, "Rp", "")</f>
        <v>0</v>
      </c>
    </row>
    <row r="3286">
      <c r="A3286" s="8" t="s">
        <v>4601</v>
      </c>
      <c r="B3286" s="13" t="str">
        <f>HYPERLINK("https://shopee.co.id/MSBB-Jarkeen-Skin-Purifier-Gel-Serum-i.288588702.10721443724", "https://shopee.co.id/MSBB-Jarkeen-Skin-Purifier-Gel-Serum-i.288588702.10721443724")</f>
        <v>https://shopee.co.id/MSBB-Jarkeen-Skin-Purifier-Gel-Serum-i.288588702.10721443724</v>
      </c>
      <c r="C3286" s="8" t="s">
        <v>78</v>
      </c>
      <c r="D3286" s="8" t="s">
        <v>79</v>
      </c>
      <c r="E3286" s="8" t="s">
        <v>12</v>
      </c>
      <c r="F3286" s="8" t="s">
        <v>13</v>
      </c>
      <c r="G3286" s="8" t="s">
        <v>80</v>
      </c>
      <c r="H3286" s="16">
        <v>0.0</v>
      </c>
      <c r="I3286" s="15" t="str">
        <f>SUBSTITUTE(Sheet1!K3286, "Rp", "")</f>
        <v>0</v>
      </c>
    </row>
    <row r="3287">
      <c r="A3287" s="8" t="s">
        <v>4602</v>
      </c>
      <c r="B3287" s="13" t="str">
        <f>HYPERLINK("https://shopee.co.id/MSBB-Joylab-Wonderskin-Power-Serum-15ml-i.288588702.9153379383", "https://shopee.co.id/MSBB-Joylab-Wonderskin-Power-Serum-15ml-i.288588702.9153379383")</f>
        <v>https://shopee.co.id/MSBB-Joylab-Wonderskin-Power-Serum-15ml-i.288588702.9153379383</v>
      </c>
      <c r="C3287" s="8" t="s">
        <v>1795</v>
      </c>
      <c r="D3287" s="8" t="s">
        <v>79</v>
      </c>
      <c r="E3287" s="8" t="s">
        <v>12</v>
      </c>
      <c r="F3287" s="8" t="s">
        <v>13</v>
      </c>
      <c r="G3287" s="8" t="s">
        <v>80</v>
      </c>
      <c r="H3287" s="16">
        <v>0.0</v>
      </c>
      <c r="I3287" s="15" t="str">
        <f>SUBSTITUTE(Sheet1!K3287, "Rp", "")</f>
        <v>0</v>
      </c>
    </row>
    <row r="3288">
      <c r="A3288" s="8" t="s">
        <v>4603</v>
      </c>
      <c r="B3288" s="13" t="str">
        <f>HYPERLINK("https://shopee.co.id/MSBB-Lacoco-Hydrating-Divine-Essence-WAREHOUSE-SALE-i.288588702.8011539879", "https://shopee.co.id/MSBB-Lacoco-Hydrating-Divine-Essence-WAREHOUSE-SALE-i.288588702.8011539879")</f>
        <v>https://shopee.co.id/MSBB-Lacoco-Hydrating-Divine-Essence-WAREHOUSE-SALE-i.288588702.8011539879</v>
      </c>
      <c r="C3288" s="8" t="s">
        <v>78</v>
      </c>
      <c r="D3288" s="8" t="s">
        <v>79</v>
      </c>
      <c r="E3288" s="8" t="s">
        <v>12</v>
      </c>
      <c r="F3288" s="8" t="s">
        <v>13</v>
      </c>
      <c r="G3288" s="8" t="s">
        <v>80</v>
      </c>
      <c r="H3288" s="16">
        <v>0.0</v>
      </c>
      <c r="I3288" s="15" t="str">
        <f>SUBSTITUTE(Sheet1!K3288, "Rp", "")</f>
        <v>0</v>
      </c>
    </row>
    <row r="3289">
      <c r="A3289" s="8" t="s">
        <v>4604</v>
      </c>
      <c r="B3289" s="13" t="str">
        <f>HYPERLINK("https://shopee.co.id/MSBB-Le-D-olla-NUOVO-Caviar-Ginseng-Essence-i.288588702.5667625781", "https://shopee.co.id/MSBB-Le-D-olla-NUOVO-Caviar-Ginseng-Essence-i.288588702.5667625781")</f>
        <v>https://shopee.co.id/MSBB-Le-D-olla-NUOVO-Caviar-Ginseng-Essence-i.288588702.5667625781</v>
      </c>
      <c r="C3289" s="8" t="s">
        <v>78</v>
      </c>
      <c r="D3289" s="8" t="s">
        <v>79</v>
      </c>
      <c r="E3289" s="8" t="s">
        <v>12</v>
      </c>
      <c r="F3289" s="8" t="s">
        <v>13</v>
      </c>
      <c r="G3289" s="8" t="s">
        <v>80</v>
      </c>
      <c r="H3289" s="16">
        <v>0.0</v>
      </c>
      <c r="I3289" s="15" t="str">
        <f>SUBSTITUTE(Sheet1!K3289, "Rp", "")</f>
        <v>0</v>
      </c>
    </row>
    <row r="3290">
      <c r="A3290" s="8" t="s">
        <v>4605</v>
      </c>
      <c r="B3290" s="13" t="str">
        <f>HYPERLINK("https://shopee.co.id/MSBB-Somethinc-HYALuronic-B5-Serum-20ml-i.288588702.7562474831", "https://shopee.co.id/MSBB-Somethinc-HYALuronic-B5-Serum-20ml-i.288588702.7562474831")</f>
        <v>https://shopee.co.id/MSBB-Somethinc-HYALuronic-B5-Serum-20ml-i.288588702.7562474831</v>
      </c>
      <c r="C3290" s="8" t="s">
        <v>45</v>
      </c>
      <c r="D3290" s="8" t="s">
        <v>79</v>
      </c>
      <c r="E3290" s="8" t="s">
        <v>12</v>
      </c>
      <c r="F3290" s="8" t="s">
        <v>13</v>
      </c>
      <c r="G3290" s="8" t="s">
        <v>80</v>
      </c>
      <c r="H3290" s="16">
        <v>0.0</v>
      </c>
      <c r="I3290" s="15" t="str">
        <f>SUBSTITUTE(Sheet1!K3290, "Rp", "")</f>
        <v>0</v>
      </c>
    </row>
    <row r="3291">
      <c r="A3291" s="8" t="s">
        <v>4606</v>
      </c>
      <c r="B3291" s="13" t="str">
        <f>HYPERLINK("https://shopee.co.id/MSBB-Somethinc-Niacinamide-Moisture-Beet-Serum-40-Ml-i.288588702.9665803201", "https://shopee.co.id/MSBB-Somethinc-Niacinamide-Moisture-Beet-Serum-40-Ml-i.288588702.9665803201")</f>
        <v>https://shopee.co.id/MSBB-Somethinc-Niacinamide-Moisture-Beet-Serum-40-Ml-i.288588702.9665803201</v>
      </c>
      <c r="C3291" s="8" t="s">
        <v>45</v>
      </c>
      <c r="D3291" s="8" t="s">
        <v>79</v>
      </c>
      <c r="E3291" s="8" t="s">
        <v>12</v>
      </c>
      <c r="F3291" s="8" t="s">
        <v>13</v>
      </c>
      <c r="G3291" s="8" t="s">
        <v>80</v>
      </c>
      <c r="H3291" s="16">
        <v>0.0</v>
      </c>
      <c r="I3291" s="15" t="str">
        <f>SUBSTITUTE(Sheet1!K3291, "Rp", "")</f>
        <v>0</v>
      </c>
    </row>
    <row r="3292">
      <c r="A3292" s="8" t="s">
        <v>4607</v>
      </c>
      <c r="B3292" s="13" t="str">
        <f>HYPERLINK("https://shopee.co.id/MSBB-Terra-Beaute-Acne-Soother-Serum-15ml-i.288588702.9417257856", "https://shopee.co.id/MSBB-Terra-Beaute-Acne-Soother-Serum-15ml-i.288588702.9417257856")</f>
        <v>https://shopee.co.id/MSBB-Terra-Beaute-Acne-Soother-Serum-15ml-i.288588702.9417257856</v>
      </c>
      <c r="C3292" s="8" t="s">
        <v>4608</v>
      </c>
      <c r="D3292" s="8" t="s">
        <v>79</v>
      </c>
      <c r="E3292" s="8" t="s">
        <v>12</v>
      </c>
      <c r="F3292" s="8" t="s">
        <v>13</v>
      </c>
      <c r="G3292" s="8" t="s">
        <v>80</v>
      </c>
      <c r="H3292" s="16">
        <v>0.0</v>
      </c>
      <c r="I3292" s="15" t="str">
        <f>SUBSTITUTE(Sheet1!K3292, "Rp", "")</f>
        <v>0</v>
      </c>
    </row>
    <row r="3293">
      <c r="A3293" s="8" t="s">
        <v>4609</v>
      </c>
      <c r="B3293" s="13" t="str">
        <f>HYPERLINK("https://shopee.co.id/MSBB-The-Bath-Box-Brassica-Lightening-Serum-With-Niacinamide-Whitening-Serum-30Ml-i.288588702.11113107735", "https://shopee.co.id/MSBB-The-Bath-Box-Brassica-Lightening-Serum-With-Niacinamide-Whitening-Serum-30Ml-i.288588702.11113107735")</f>
        <v>https://shopee.co.id/MSBB-The-Bath-Box-Brassica-Lightening-Serum-With-Niacinamide-Whitening-Serum-30Ml-i.288588702.11113107735</v>
      </c>
      <c r="C3293" s="8" t="s">
        <v>613</v>
      </c>
      <c r="D3293" s="8" t="s">
        <v>79</v>
      </c>
      <c r="E3293" s="8" t="s">
        <v>12</v>
      </c>
      <c r="F3293" s="8" t="s">
        <v>13</v>
      </c>
      <c r="G3293" s="8" t="s">
        <v>80</v>
      </c>
      <c r="H3293" s="16">
        <v>0.0</v>
      </c>
      <c r="I3293" s="15" t="str">
        <f>SUBSTITUTE(Sheet1!K3293, "Rp", "")</f>
        <v>0</v>
      </c>
    </row>
    <row r="3294">
      <c r="A3294" s="8" t="s">
        <v>4610</v>
      </c>
      <c r="B3294" s="13" t="str">
        <f>HYPERLINK("https://shopee.co.id/MSBB-Tropistories-Kiwi-Ampoule-i.288588702.12201811720", "https://shopee.co.id/MSBB-Tropistories-Kiwi-Ampoule-i.288588702.12201811720")</f>
        <v>https://shopee.co.id/MSBB-Tropistories-Kiwi-Ampoule-i.288588702.12201811720</v>
      </c>
      <c r="C3294" s="8" t="s">
        <v>78</v>
      </c>
      <c r="D3294" s="8" t="s">
        <v>79</v>
      </c>
      <c r="E3294" s="8" t="s">
        <v>12</v>
      </c>
      <c r="F3294" s="8" t="s">
        <v>13</v>
      </c>
      <c r="G3294" s="8" t="s">
        <v>80</v>
      </c>
      <c r="H3294" s="16">
        <v>0.0</v>
      </c>
      <c r="I3294" s="15" t="str">
        <f>SUBSTITUTE(Sheet1!K3294, "Rp", "")</f>
        <v>0</v>
      </c>
    </row>
    <row r="3295">
      <c r="A3295" s="8" t="s">
        <v>4611</v>
      </c>
      <c r="B3295" s="13" t="str">
        <f>HYPERLINK("https://shopee.co.id/Mugens-The-M-Curling-Essence-i.293209404.3645570289", "https://shopee.co.id/Mugens-The-M-Curling-Essence-i.293209404.3645570289")</f>
        <v>https://shopee.co.id/Mugens-The-M-Curling-Essence-i.293209404.3645570289</v>
      </c>
      <c r="C3295" s="8" t="s">
        <v>4612</v>
      </c>
      <c r="D3295" s="8" t="s">
        <v>2689</v>
      </c>
      <c r="E3295" s="8" t="s">
        <v>12</v>
      </c>
      <c r="F3295" s="8" t="s">
        <v>13</v>
      </c>
      <c r="G3295" s="8" t="s">
        <v>2690</v>
      </c>
      <c r="H3295" s="16">
        <v>0.0</v>
      </c>
      <c r="I3295" s="15" t="str">
        <f>SUBSTITUTE(Sheet1!K3295, "Rp", "")</f>
        <v>0</v>
      </c>
    </row>
    <row r="3296">
      <c r="A3296" s="8" t="s">
        <v>4613</v>
      </c>
      <c r="B3296" s="13" t="str">
        <f>HYPERLINK("https://shopee.co.id/Murah-Lebay-Twin-Pack-Bio-Essence-GOLD-WATER-100ml-EXP-Januari-2022--i.63822287.8060067190", "https://shopee.co.id/Murah-Lebay-Twin-Pack-Bio-Essence-GOLD-WATER-100ml-EXP-Januari-2022--i.63822287.8060067190")</f>
        <v>https://shopee.co.id/Murah-Lebay-Twin-Pack-Bio-Essence-GOLD-WATER-100ml-EXP-Januari-2022--i.63822287.8060067190</v>
      </c>
      <c r="C3296" s="8" t="s">
        <v>1254</v>
      </c>
      <c r="D3296" s="8" t="s">
        <v>835</v>
      </c>
      <c r="E3296" s="8" t="s">
        <v>12</v>
      </c>
      <c r="F3296" s="8" t="s">
        <v>13</v>
      </c>
      <c r="G3296" s="8" t="s">
        <v>61</v>
      </c>
      <c r="H3296" s="16">
        <v>0.0</v>
      </c>
      <c r="I3296" s="15" t="str">
        <f>SUBSTITUTE(Sheet1!K3296, "Rp", "")</f>
        <v>0</v>
      </c>
    </row>
    <row r="3297">
      <c r="A3297" s="8" t="s">
        <v>4614</v>
      </c>
      <c r="B3297" s="13" t="str">
        <f>HYPERLINK("https://shopee.co.id/Murah-Lebay-Twin-Pack-Bio-Essence-GOLD-WATER-150ml-EXP-Maret-2022--i.63822287.7590122284", "https://shopee.co.id/Murah-Lebay-Twin-Pack-Bio-Essence-GOLD-WATER-150ml-EXP-Maret-2022--i.63822287.7590122284")</f>
        <v>https://shopee.co.id/Murah-Lebay-Twin-Pack-Bio-Essence-GOLD-WATER-150ml-EXP-Maret-2022--i.63822287.7590122284</v>
      </c>
      <c r="C3297" s="8" t="s">
        <v>1254</v>
      </c>
      <c r="D3297" s="8" t="s">
        <v>835</v>
      </c>
      <c r="E3297" s="8" t="s">
        <v>12</v>
      </c>
      <c r="F3297" s="8" t="s">
        <v>13</v>
      </c>
      <c r="G3297" s="8" t="s">
        <v>61</v>
      </c>
      <c r="H3297" s="16">
        <v>0.0</v>
      </c>
      <c r="I3297" s="15" t="str">
        <f>SUBSTITUTE(Sheet1!K3297, "Rp", "")</f>
        <v>0</v>
      </c>
    </row>
    <row r="3298">
      <c r="A3298" s="8" t="s">
        <v>4615</v>
      </c>
      <c r="B3298" s="13" t="str">
        <f>HYPERLINK("https://shopee.co.id/Mustela-Stretch-Marks-Serum-BPOM-45-ML-Membantu-Menyamarkan-Stretch-Mark-Yang-Muncul-Pada-Kulit-i.50972887.4968223969", "https://shopee.co.id/Mustela-Stretch-Marks-Serum-BPOM-45-ML-Membantu-Menyamarkan-Stretch-Mark-Yang-Muncul-Pada-Kulit-i.50972887.4968223969")</f>
        <v>https://shopee.co.id/Mustela-Stretch-Marks-Serum-BPOM-45-ML-Membantu-Menyamarkan-Stretch-Mark-Yang-Muncul-Pada-Kulit-i.50972887.4968223969</v>
      </c>
      <c r="C3298" s="8" t="s">
        <v>4616</v>
      </c>
      <c r="D3298" s="8" t="s">
        <v>552</v>
      </c>
      <c r="E3298" s="8" t="s">
        <v>12</v>
      </c>
      <c r="F3298" s="8" t="s">
        <v>13</v>
      </c>
      <c r="G3298" s="8" t="s">
        <v>61</v>
      </c>
      <c r="H3298" s="16">
        <v>0.0</v>
      </c>
      <c r="I3298" s="15" t="str">
        <f>SUBSTITUTE(Sheet1!K3298, "Rp", "")</f>
        <v>0</v>
      </c>
    </row>
    <row r="3299">
      <c r="A3299" s="8" t="s">
        <v>4617</v>
      </c>
      <c r="B3299" s="13" t="str">
        <f>HYPERLINK("https://shopee.co.id/Mutouch-Whitening-Body-Serum-Hydrating-Spray-Mist-i.65323877.6565377412", "https://shopee.co.id/Mutouch-Whitening-Body-Serum-Hydrating-Spray-Mist-i.65323877.6565377412")</f>
        <v>https://shopee.co.id/Mutouch-Whitening-Body-Serum-Hydrating-Spray-Mist-i.65323877.6565377412</v>
      </c>
      <c r="C3299" s="8" t="s">
        <v>4618</v>
      </c>
      <c r="D3299" s="8" t="s">
        <v>1600</v>
      </c>
      <c r="E3299" s="8" t="s">
        <v>12</v>
      </c>
      <c r="F3299" s="8" t="s">
        <v>13</v>
      </c>
      <c r="G3299" s="8" t="s">
        <v>296</v>
      </c>
      <c r="H3299" s="16">
        <v>0.0</v>
      </c>
      <c r="I3299" s="15" t="str">
        <f>SUBSTITUTE(Sheet1!K3299, "Rp", "")</f>
        <v>0</v>
      </c>
    </row>
    <row r="3300">
      <c r="A3300" s="8" t="s">
        <v>4619</v>
      </c>
      <c r="B3300" s="13" t="str">
        <f>HYPERLINK("https://shopee.co.id/Mutouch-Whitening-Body-Serum-Revitalizing-Spray-Mist-i.65323877.7565379613", "https://shopee.co.id/Mutouch-Whitening-Body-Serum-Revitalizing-Spray-Mist-i.65323877.7565379613")</f>
        <v>https://shopee.co.id/Mutouch-Whitening-Body-Serum-Revitalizing-Spray-Mist-i.65323877.7565379613</v>
      </c>
      <c r="C3300" s="8" t="s">
        <v>4618</v>
      </c>
      <c r="D3300" s="8" t="s">
        <v>1600</v>
      </c>
      <c r="E3300" s="8" t="s">
        <v>12</v>
      </c>
      <c r="F3300" s="8" t="s">
        <v>13</v>
      </c>
      <c r="G3300" s="8" t="s">
        <v>296</v>
      </c>
      <c r="H3300" s="16">
        <v>0.0</v>
      </c>
      <c r="I3300" s="15" t="str">
        <f>SUBSTITUTE(Sheet1!K3300, "Rp", "")</f>
        <v>0</v>
      </c>
    </row>
    <row r="3301">
      <c r="A3301" s="8" t="s">
        <v>4620</v>
      </c>
      <c r="B3301" s="13" t="str">
        <f>HYPERLINK("https://shopee.co.id/N-Pure-Centella-Asiatica-Face-Essence-20ml-i.825870.8712624260", "https://shopee.co.id/N-Pure-Centella-Asiatica-Face-Essence-20ml-i.825870.8712624260")</f>
        <v>https://shopee.co.id/N-Pure-Centella-Asiatica-Face-Essence-20ml-i.825870.8712624260</v>
      </c>
      <c r="C3301" s="8" t="s">
        <v>266</v>
      </c>
      <c r="D3301" s="8" t="s">
        <v>1184</v>
      </c>
      <c r="E3301" s="8" t="s">
        <v>12</v>
      </c>
      <c r="F3301" s="8" t="s">
        <v>13</v>
      </c>
      <c r="G3301" s="8" t="s">
        <v>21</v>
      </c>
      <c r="H3301" s="16">
        <v>0.0</v>
      </c>
      <c r="I3301" s="15" t="str">
        <f>SUBSTITUTE(Sheet1!K3301, "Rp", "")</f>
        <v>0</v>
      </c>
    </row>
    <row r="3302">
      <c r="A3302" s="8" t="s">
        <v>4621</v>
      </c>
      <c r="B3302" s="13" t="str">
        <f>HYPERLINK("https://shopee.co.id/N-Pure-Centella-Asiatica-Face-Serum-15ml-i.825870.4754142409", "https://shopee.co.id/N-Pure-Centella-Asiatica-Face-Serum-15ml-i.825870.4754142409")</f>
        <v>https://shopee.co.id/N-Pure-Centella-Asiatica-Face-Serum-15ml-i.825870.4754142409</v>
      </c>
      <c r="C3302" s="8" t="s">
        <v>4622</v>
      </c>
      <c r="D3302" s="8" t="s">
        <v>1184</v>
      </c>
      <c r="E3302" s="8" t="s">
        <v>12</v>
      </c>
      <c r="F3302" s="8" t="s">
        <v>13</v>
      </c>
      <c r="G3302" s="8" t="s">
        <v>21</v>
      </c>
      <c r="H3302" s="16">
        <v>0.0</v>
      </c>
      <c r="I3302" s="15" t="str">
        <f>SUBSTITUTE(Sheet1!K3302, "Rp", "")</f>
        <v>0</v>
      </c>
    </row>
    <row r="3303">
      <c r="A3303" s="8" t="s">
        <v>4623</v>
      </c>
      <c r="B3303" s="13" t="str">
        <f>HYPERLINK("https://shopee.co.id/Nacific-BEST-3-Serum-SET-Origin-Whitening-Cica--i.238379974.10513333325", "https://shopee.co.id/Nacific-BEST-3-Serum-SET-Origin-Whitening-Cica--i.238379974.10513333325")</f>
        <v>https://shopee.co.id/Nacific-BEST-3-Serum-SET-Origin-Whitening-Cica--i.238379974.10513333325</v>
      </c>
      <c r="C3303" s="8" t="s">
        <v>344</v>
      </c>
      <c r="D3303" s="8" t="s">
        <v>345</v>
      </c>
      <c r="E3303" s="8" t="s">
        <v>12</v>
      </c>
      <c r="F3303" s="8" t="s">
        <v>13</v>
      </c>
      <c r="G3303" s="8" t="s">
        <v>130</v>
      </c>
      <c r="H3303" s="16">
        <v>0.0</v>
      </c>
      <c r="I3303" s="15" t="str">
        <f>SUBSTITUTE(Sheet1!K3303, "Rp", "")</f>
        <v>0</v>
      </c>
    </row>
    <row r="3304">
      <c r="A3304" s="8" t="s">
        <v>1654</v>
      </c>
      <c r="B3304" s="13" t="str">
        <f>HYPERLINK("https://shopee.co.id/NACIFIC-Day-and-Night-Set-i.125116082.3285995339", "https://shopee.co.id/NACIFIC-Day-and-Night-Set-i.125116082.3285995339")</f>
        <v>https://shopee.co.id/NACIFIC-Day-and-Night-Set-i.125116082.3285995339</v>
      </c>
      <c r="C3304" s="8" t="s">
        <v>344</v>
      </c>
      <c r="D3304" s="8" t="s">
        <v>713</v>
      </c>
      <c r="E3304" s="8" t="s">
        <v>12</v>
      </c>
      <c r="F3304" s="8" t="s">
        <v>13</v>
      </c>
      <c r="G3304" s="8" t="s">
        <v>61</v>
      </c>
      <c r="H3304" s="16">
        <v>0.0</v>
      </c>
      <c r="I3304" s="15" t="str">
        <f>SUBSTITUTE(Sheet1!K3304, "Rp", "")</f>
        <v>0</v>
      </c>
    </row>
    <row r="3305">
      <c r="A3305" s="8" t="s">
        <v>4624</v>
      </c>
      <c r="B3305" s="13" t="str">
        <f>HYPERLINK("https://shopee.co.id/NACIFIC-Double-Set-Fresh-Herb-Origin-Serum-2-ea-i.238604292.3746805411", "https://shopee.co.id/NACIFIC-Double-Set-Fresh-Herb-Origin-Serum-2-ea-i.238604292.3746805411")</f>
        <v>https://shopee.co.id/NACIFIC-Double-Set-Fresh-Herb-Origin-Serum-2-ea-i.238604292.3746805411</v>
      </c>
      <c r="C3305" s="8" t="s">
        <v>344</v>
      </c>
      <c r="D3305" s="8" t="s">
        <v>918</v>
      </c>
      <c r="E3305" s="8" t="s">
        <v>12</v>
      </c>
      <c r="F3305" s="8" t="s">
        <v>13</v>
      </c>
      <c r="G3305" s="8" t="s">
        <v>80</v>
      </c>
      <c r="H3305" s="16">
        <v>0.0</v>
      </c>
      <c r="I3305" s="15" t="str">
        <f>SUBSTITUTE(Sheet1!K3305, "Rp", "")</f>
        <v>0</v>
      </c>
    </row>
    <row r="3306">
      <c r="A3306" s="8" t="s">
        <v>4625</v>
      </c>
      <c r="B3306" s="13" t="str">
        <f>HYPERLINK("https://shopee.co.id/Nacific-Fresh-Cica-Plus-Clear-2-SET-Serum-Toner--i.238379974.9780841088", "https://shopee.co.id/Nacific-Fresh-Cica-Plus-Clear-2-SET-Serum-Toner--i.238379974.9780841088")</f>
        <v>https://shopee.co.id/Nacific-Fresh-Cica-Plus-Clear-2-SET-Serum-Toner--i.238379974.9780841088</v>
      </c>
      <c r="C3306" s="8" t="s">
        <v>344</v>
      </c>
      <c r="D3306" s="8" t="s">
        <v>345</v>
      </c>
      <c r="E3306" s="8" t="s">
        <v>12</v>
      </c>
      <c r="F3306" s="8" t="s">
        <v>13</v>
      </c>
      <c r="G3306" s="8" t="s">
        <v>130</v>
      </c>
      <c r="H3306" s="16">
        <v>0.0</v>
      </c>
      <c r="I3306" s="15" t="str">
        <f>SUBSTITUTE(Sheet1!K3306, "Rp", "")</f>
        <v>0</v>
      </c>
    </row>
    <row r="3307">
      <c r="A3307" s="8" t="s">
        <v>4626</v>
      </c>
      <c r="B3307" s="13" t="str">
        <f>HYPERLINK("https://shopee.co.id/Nacific-Fresh-Cica-Plus-Clear-Serum-i.125116082.4216780471", "https://shopee.co.id/Nacific-Fresh-Cica-Plus-Clear-Serum-i.125116082.4216780471")</f>
        <v>https://shopee.co.id/Nacific-Fresh-Cica-Plus-Clear-Serum-i.125116082.4216780471</v>
      </c>
      <c r="C3307" s="8" t="s">
        <v>344</v>
      </c>
      <c r="D3307" s="8" t="s">
        <v>713</v>
      </c>
      <c r="E3307" s="8" t="s">
        <v>12</v>
      </c>
      <c r="F3307" s="8" t="s">
        <v>13</v>
      </c>
      <c r="G3307" s="8" t="s">
        <v>61</v>
      </c>
      <c r="H3307" s="16">
        <v>0.0</v>
      </c>
      <c r="I3307" s="15" t="str">
        <f>SUBSTITUTE(Sheet1!K3307, "Rp", "")</f>
        <v>0</v>
      </c>
    </row>
    <row r="3308">
      <c r="A3308" s="8" t="s">
        <v>4627</v>
      </c>
      <c r="B3308" s="13" t="str">
        <f>HYPERLINK("https://shopee.co.id/Nacific-Fresh-Cica-Plus-Clear-Serum-50ml-i.825870.7729844845", "https://shopee.co.id/Nacific-Fresh-Cica-Plus-Clear-Serum-50ml-i.825870.7729844845")</f>
        <v>https://shopee.co.id/Nacific-Fresh-Cica-Plus-Clear-Serum-50ml-i.825870.7729844845</v>
      </c>
      <c r="C3308" s="8" t="s">
        <v>344</v>
      </c>
      <c r="D3308" s="8" t="s">
        <v>1184</v>
      </c>
      <c r="E3308" s="8" t="s">
        <v>12</v>
      </c>
      <c r="F3308" s="8" t="s">
        <v>13</v>
      </c>
      <c r="G3308" s="8" t="s">
        <v>21</v>
      </c>
      <c r="H3308" s="16">
        <v>0.0</v>
      </c>
      <c r="I3308" s="15" t="str">
        <f>SUBSTITUTE(Sheet1!K3308, "Rp", "")</f>
        <v>0</v>
      </c>
    </row>
    <row r="3309">
      <c r="A3309" s="8" t="s">
        <v>4628</v>
      </c>
      <c r="B3309" s="13" t="str">
        <f>HYPERLINK("https://shopee.co.id/NACIFIC-Fresh-Cica-Set-i.125116082.2944325893", "https://shopee.co.id/NACIFIC-Fresh-Cica-Set-i.125116082.2944325893")</f>
        <v>https://shopee.co.id/NACIFIC-Fresh-Cica-Set-i.125116082.2944325893</v>
      </c>
      <c r="C3309" s="8" t="s">
        <v>344</v>
      </c>
      <c r="D3309" s="8" t="s">
        <v>713</v>
      </c>
      <c r="E3309" s="8" t="s">
        <v>12</v>
      </c>
      <c r="F3309" s="8" t="s">
        <v>13</v>
      </c>
      <c r="G3309" s="8" t="s">
        <v>61</v>
      </c>
      <c r="H3309" s="16">
        <v>0.0</v>
      </c>
      <c r="I3309" s="15" t="str">
        <f>SUBSTITUTE(Sheet1!K3309, "Rp", "")</f>
        <v>0</v>
      </c>
    </row>
    <row r="3310">
      <c r="A3310" s="8" t="s">
        <v>4629</v>
      </c>
      <c r="B3310" s="13" t="str">
        <f>HYPERLINK("https://shopee.co.id/Nacific-Fresh-Herb-Origin-Serum-Double-SET-50ml-2EA--i.238379974.5092581424", "https://shopee.co.id/Nacific-Fresh-Herb-Origin-Serum-Double-SET-50ml-2EA--i.238379974.5092581424")</f>
        <v>https://shopee.co.id/Nacific-Fresh-Herb-Origin-Serum-Double-SET-50ml-2EA--i.238379974.5092581424</v>
      </c>
      <c r="C3310" s="8" t="s">
        <v>344</v>
      </c>
      <c r="D3310" s="8" t="s">
        <v>345</v>
      </c>
      <c r="E3310" s="8" t="s">
        <v>12</v>
      </c>
      <c r="F3310" s="8" t="s">
        <v>13</v>
      </c>
      <c r="G3310" s="8" t="s">
        <v>130</v>
      </c>
      <c r="H3310" s="16">
        <v>0.0</v>
      </c>
      <c r="I3310" s="15" t="str">
        <f>SUBSTITUTE(Sheet1!K3310, "Rp", "")</f>
        <v>0</v>
      </c>
    </row>
    <row r="3311">
      <c r="A3311" s="8" t="s">
        <v>4630</v>
      </c>
      <c r="B3311" s="13" t="str">
        <f>HYPERLINK("https://shopee.co.id/NACIFIC-Fresh-Herb-Origin-Set-i.238604292.6580338081", "https://shopee.co.id/NACIFIC-Fresh-Herb-Origin-Set-i.238604292.6580338081")</f>
        <v>https://shopee.co.id/NACIFIC-Fresh-Herb-Origin-Set-i.238604292.6580338081</v>
      </c>
      <c r="C3311" s="8" t="s">
        <v>344</v>
      </c>
      <c r="D3311" s="8" t="s">
        <v>918</v>
      </c>
      <c r="E3311" s="8" t="s">
        <v>12</v>
      </c>
      <c r="F3311" s="8" t="s">
        <v>13</v>
      </c>
      <c r="G3311" s="8" t="s">
        <v>80</v>
      </c>
      <c r="H3311" s="16">
        <v>0.0</v>
      </c>
      <c r="I3311" s="15" t="str">
        <f>SUBSTITUTE(Sheet1!K3311, "Rp", "")</f>
        <v>0</v>
      </c>
    </row>
    <row r="3312">
      <c r="A3312" s="8" t="s">
        <v>4631</v>
      </c>
      <c r="B3312" s="13" t="str">
        <f>HYPERLINK("https://shopee.co.id/Nacific-Jeju-Artemisia-Essence-150ml-i.10689.7762109683", "https://shopee.co.id/Nacific-Jeju-Artemisia-Essence-150ml-i.10689.7762109683")</f>
        <v>https://shopee.co.id/Nacific-Jeju-Artemisia-Essence-150ml-i.10689.7762109683</v>
      </c>
      <c r="C3312" s="8" t="s">
        <v>344</v>
      </c>
      <c r="D3312" s="8" t="s">
        <v>745</v>
      </c>
      <c r="E3312" s="8" t="s">
        <v>12</v>
      </c>
      <c r="F3312" s="8" t="s">
        <v>13</v>
      </c>
      <c r="G3312" s="8" t="s">
        <v>61</v>
      </c>
      <c r="H3312" s="16">
        <v>0.0</v>
      </c>
      <c r="I3312" s="15" t="str">
        <f>SUBSTITUTE(Sheet1!K3312, "Rp", "")</f>
        <v>0</v>
      </c>
    </row>
    <row r="3313">
      <c r="A3313" s="8" t="s">
        <v>1655</v>
      </c>
      <c r="B3313" s="13" t="str">
        <f>HYPERLINK("https://shopee.co.id/Nacific-Phyto-Niacin-Whitening-Essence-50ml-i.10689.2058440631", "https://shopee.co.id/Nacific-Phyto-Niacin-Whitening-Essence-50ml-i.10689.2058440631")</f>
        <v>https://shopee.co.id/Nacific-Phyto-Niacin-Whitening-Essence-50ml-i.10689.2058440631</v>
      </c>
      <c r="C3313" s="8" t="s">
        <v>344</v>
      </c>
      <c r="D3313" s="8" t="s">
        <v>745</v>
      </c>
      <c r="E3313" s="8" t="s">
        <v>12</v>
      </c>
      <c r="F3313" s="8" t="s">
        <v>13</v>
      </c>
      <c r="G3313" s="8" t="s">
        <v>61</v>
      </c>
      <c r="H3313" s="16">
        <v>0.0</v>
      </c>
      <c r="I3313" s="15" t="str">
        <f>SUBSTITUTE(Sheet1!K3313, "Rp", "")</f>
        <v>0</v>
      </c>
    </row>
    <row r="3314">
      <c r="A3314" s="8" t="s">
        <v>4632</v>
      </c>
      <c r="B3314" s="13" t="str">
        <f>HYPERLINK("https://shopee.co.id/NACIFIC-Real-Floral-Essence-Rose-i.125116082.10109802544", "https://shopee.co.id/NACIFIC-Real-Floral-Essence-Rose-i.125116082.10109802544")</f>
        <v>https://shopee.co.id/NACIFIC-Real-Floral-Essence-Rose-i.125116082.10109802544</v>
      </c>
      <c r="C3314" s="8" t="s">
        <v>344</v>
      </c>
      <c r="D3314" s="8" t="s">
        <v>713</v>
      </c>
      <c r="E3314" s="8" t="s">
        <v>12</v>
      </c>
      <c r="F3314" s="8" t="s">
        <v>13</v>
      </c>
      <c r="G3314" s="8" t="s">
        <v>61</v>
      </c>
      <c r="H3314" s="16">
        <v>0.0</v>
      </c>
      <c r="I3314" s="15" t="str">
        <f>SUBSTITUTE(Sheet1!K3314, "Rp", "")</f>
        <v>0</v>
      </c>
    </row>
    <row r="3315">
      <c r="A3315" s="8" t="s">
        <v>4633</v>
      </c>
      <c r="B3315" s="13" t="str">
        <f>HYPERLINK("https://shopee.co.id/Nadfaskin-Tea-Tree-Serum-20ml-i.53887195.6085435389", "https://shopee.co.id/Nadfaskin-Tea-Tree-Serum-20ml-i.53887195.6085435389")</f>
        <v>https://shopee.co.id/Nadfaskin-Tea-Tree-Serum-20ml-i.53887195.6085435389</v>
      </c>
      <c r="C3315" s="8" t="s">
        <v>1157</v>
      </c>
      <c r="D3315" s="8" t="s">
        <v>1026</v>
      </c>
      <c r="E3315" s="8" t="s">
        <v>12</v>
      </c>
      <c r="F3315" s="8" t="s">
        <v>13</v>
      </c>
      <c r="G3315" s="8" t="s">
        <v>80</v>
      </c>
      <c r="H3315" s="16">
        <v>0.0</v>
      </c>
      <c r="I3315" s="15" t="str">
        <f>SUBSTITUTE(Sheet1!K3315, "Rp", "")</f>
        <v>0</v>
      </c>
    </row>
    <row r="3316">
      <c r="A3316" s="8" t="s">
        <v>3722</v>
      </c>
      <c r="B3316" s="13" t="str">
        <f>HYPERLINK("https://shopee.co.id/Nadfaskin-Vitamin-C-Serum-20ml-i.53887195.7885425089", "https://shopee.co.id/Nadfaskin-Vitamin-C-Serum-20ml-i.53887195.7885425089")</f>
        <v>https://shopee.co.id/Nadfaskin-Vitamin-C-Serum-20ml-i.53887195.7885425089</v>
      </c>
      <c r="C3316" s="8" t="s">
        <v>1157</v>
      </c>
      <c r="D3316" s="8" t="s">
        <v>1026</v>
      </c>
      <c r="E3316" s="8" t="s">
        <v>12</v>
      </c>
      <c r="F3316" s="8" t="s">
        <v>13</v>
      </c>
      <c r="G3316" s="8" t="s">
        <v>80</v>
      </c>
      <c r="H3316" s="16">
        <v>0.0</v>
      </c>
      <c r="I3316" s="15" t="str">
        <f>SUBSTITUTE(Sheet1!K3316, "Rp", "")</f>
        <v>0</v>
      </c>
    </row>
    <row r="3317">
      <c r="A3317" s="8" t="s">
        <v>4634</v>
      </c>
      <c r="B3317" s="13" t="str">
        <f>HYPERLINK("https://shopee.co.id/Nahla-I-C-You-In-The-Bright-Side-Serum-20ml-Brightening-Serum-i.29243176.3881675690", "https://shopee.co.id/Nahla-I-C-You-In-The-Bright-Side-Serum-20ml-Brightening-Serum-i.29243176.3881675690")</f>
        <v>https://shopee.co.id/Nahla-I-C-You-In-The-Bright-Side-Serum-20ml-Brightening-Serum-i.29243176.3881675690</v>
      </c>
      <c r="C3317" s="8" t="s">
        <v>4635</v>
      </c>
      <c r="D3317" s="8" t="s">
        <v>4636</v>
      </c>
      <c r="E3317" s="8" t="s">
        <v>12</v>
      </c>
      <c r="F3317" s="8" t="s">
        <v>13</v>
      </c>
      <c r="G3317" s="8" t="s">
        <v>2238</v>
      </c>
      <c r="H3317" s="16">
        <v>0.0</v>
      </c>
      <c r="I3317" s="15" t="str">
        <f>SUBSTITUTE(Sheet1!K3317, "Rp", "")</f>
        <v>0</v>
      </c>
    </row>
    <row r="3318">
      <c r="A3318" s="8" t="s">
        <v>4637</v>
      </c>
      <c r="B3318" s="13" t="str">
        <f>HYPERLINK("https://shopee.co.id/Natasha-by-dr-Fredi-Setyawan-Anti-Dandruff-Serum-i.40121814.2380655949", "https://shopee.co.id/Natasha-by-dr-Fredi-Setyawan-Anti-Dandruff-Serum-i.40121814.2380655949")</f>
        <v>https://shopee.co.id/Natasha-by-dr-Fredi-Setyawan-Anti-Dandruff-Serum-i.40121814.2380655949</v>
      </c>
      <c r="C3318" s="8" t="s">
        <v>1752</v>
      </c>
      <c r="D3318" s="8" t="s">
        <v>794</v>
      </c>
      <c r="E3318" s="8" t="s">
        <v>12</v>
      </c>
      <c r="F3318" s="8" t="s">
        <v>13</v>
      </c>
      <c r="G3318" s="8" t="s">
        <v>380</v>
      </c>
      <c r="H3318" s="16">
        <v>0.0</v>
      </c>
      <c r="I3318" s="15" t="str">
        <f>SUBSTITUTE(Sheet1!K3318, "Rp", "")</f>
        <v>0</v>
      </c>
    </row>
    <row r="3319">
      <c r="A3319" s="8" t="s">
        <v>4638</v>
      </c>
      <c r="B3319" s="13" t="str">
        <f>HYPERLINK("https://shopee.co.id/Natasha-by-dr-Fredi-Setyawan-Manuka-Honey-Stimuno-Repair-Complex-i.40121814.5943688211", "https://shopee.co.id/Natasha-by-dr-Fredi-Setyawan-Manuka-Honey-Stimuno-Repair-Complex-i.40121814.5943688211")</f>
        <v>https://shopee.co.id/Natasha-by-dr-Fredi-Setyawan-Manuka-Honey-Stimuno-Repair-Complex-i.40121814.5943688211</v>
      </c>
      <c r="C3319" s="8" t="s">
        <v>1752</v>
      </c>
      <c r="D3319" s="8" t="s">
        <v>794</v>
      </c>
      <c r="E3319" s="8" t="s">
        <v>12</v>
      </c>
      <c r="F3319" s="8" t="s">
        <v>13</v>
      </c>
      <c r="G3319" s="8" t="s">
        <v>380</v>
      </c>
      <c r="H3319" s="16">
        <v>0.0</v>
      </c>
      <c r="I3319" s="15" t="str">
        <f>SUBSTITUTE(Sheet1!K3319, "Rp", "")</f>
        <v>0</v>
      </c>
    </row>
    <row r="3320">
      <c r="A3320" s="8" t="s">
        <v>3620</v>
      </c>
      <c r="B3320" s="13" t="str">
        <f>HYPERLINK("https://shopee.co.id/Natur-E-Advanced-Anti-Aging-Serum-15-ML-i.353462148.7669209358", "https://shopee.co.id/Natur-E-Advanced-Anti-Aging-Serum-15-ML-i.353462148.7669209358")</f>
        <v>https://shopee.co.id/Natur-E-Advanced-Anti-Aging-Serum-15-ML-i.353462148.7669209358</v>
      </c>
      <c r="C3320" s="8" t="s">
        <v>849</v>
      </c>
      <c r="D3320" s="8" t="s">
        <v>4639</v>
      </c>
      <c r="E3320" s="8" t="s">
        <v>12</v>
      </c>
      <c r="F3320" s="8" t="s">
        <v>13</v>
      </c>
      <c r="G3320" s="8" t="s">
        <v>945</v>
      </c>
      <c r="H3320" s="16">
        <v>0.0</v>
      </c>
      <c r="I3320" s="15" t="str">
        <f>SUBSTITUTE(Sheet1!K3320, "Rp", "")</f>
        <v>0</v>
      </c>
    </row>
    <row r="3321">
      <c r="A3321" s="8" t="s">
        <v>3620</v>
      </c>
      <c r="B3321" s="13" t="str">
        <f>HYPERLINK("https://shopee.co.id/Natur-E-Advanced-Anti-Aging-Serum-15-ML-i.353460901.6569205979", "https://shopee.co.id/Natur-E-Advanced-Anti-Aging-Serum-15-ML-i.353460901.6569205979")</f>
        <v>https://shopee.co.id/Natur-E-Advanced-Anti-Aging-Serum-15-ML-i.353460901.6569205979</v>
      </c>
      <c r="C3321" s="8" t="s">
        <v>849</v>
      </c>
      <c r="D3321" s="8" t="s">
        <v>3944</v>
      </c>
      <c r="E3321" s="8" t="s">
        <v>12</v>
      </c>
      <c r="F3321" s="8" t="s">
        <v>13</v>
      </c>
      <c r="G3321" s="8" t="s">
        <v>1480</v>
      </c>
      <c r="H3321" s="16">
        <v>0.0</v>
      </c>
      <c r="I3321" s="15" t="str">
        <f>SUBSTITUTE(Sheet1!K3321, "Rp", "")</f>
        <v>0</v>
      </c>
    </row>
    <row r="3322">
      <c r="A3322" s="8" t="s">
        <v>3620</v>
      </c>
      <c r="B3322" s="13" t="str">
        <f>HYPERLINK("https://shopee.co.id/Natur-E-Advanced-Anti-Aging-Serum-15-ML-i.353463233.8503530221", "https://shopee.co.id/Natur-E-Advanced-Anti-Aging-Serum-15-ML-i.353463233.8503530221")</f>
        <v>https://shopee.co.id/Natur-E-Advanced-Anti-Aging-Serum-15-ML-i.353463233.8503530221</v>
      </c>
      <c r="C3322" s="8" t="s">
        <v>849</v>
      </c>
      <c r="D3322" s="8" t="s">
        <v>3968</v>
      </c>
      <c r="E3322" s="8" t="s">
        <v>12</v>
      </c>
      <c r="F3322" s="8" t="s">
        <v>13</v>
      </c>
      <c r="G3322" s="8" t="s">
        <v>350</v>
      </c>
      <c r="H3322" s="16">
        <v>0.0</v>
      </c>
      <c r="I3322" s="15" t="str">
        <f>SUBSTITUTE(Sheet1!K3322, "Rp", "")</f>
        <v>0</v>
      </c>
    </row>
    <row r="3323">
      <c r="A3323" s="8" t="s">
        <v>4640</v>
      </c>
      <c r="B3323" s="13" t="str">
        <f>HYPERLINK("https://shopee.co.id/Natur-Face-Serum-Miracle-Brightening-Serum-30-ml-i.65323877.6345448767", "https://shopee.co.id/Natur-Face-Serum-Miracle-Brightening-Serum-30-ml-i.65323877.6345448767")</f>
        <v>https://shopee.co.id/Natur-Face-Serum-Miracle-Brightening-Serum-30-ml-i.65323877.6345448767</v>
      </c>
      <c r="C3323" s="8" t="s">
        <v>1234</v>
      </c>
      <c r="D3323" s="8" t="s">
        <v>1600</v>
      </c>
      <c r="E3323" s="8" t="s">
        <v>12</v>
      </c>
      <c r="F3323" s="8" t="s">
        <v>13</v>
      </c>
      <c r="G3323" s="8" t="s">
        <v>296</v>
      </c>
      <c r="H3323" s="16">
        <v>0.0</v>
      </c>
      <c r="I3323" s="15" t="str">
        <f>SUBSTITUTE(Sheet1!K3323, "Rp", "")</f>
        <v>0</v>
      </c>
    </row>
    <row r="3324">
      <c r="A3324" s="8" t="s">
        <v>4641</v>
      </c>
      <c r="B3324" s="13" t="str">
        <f>HYPERLINK("https://shopee.co.id/Natur-Face-Serum-Miracle-Renew-Skin-30-mL-i.65323877.6345448797", "https://shopee.co.id/Natur-Face-Serum-Miracle-Renew-Skin-30-mL-i.65323877.6345448797")</f>
        <v>https://shopee.co.id/Natur-Face-Serum-Miracle-Renew-Skin-30-mL-i.65323877.6345448797</v>
      </c>
      <c r="C3324" s="8" t="s">
        <v>1234</v>
      </c>
      <c r="D3324" s="8" t="s">
        <v>1600</v>
      </c>
      <c r="E3324" s="8" t="s">
        <v>12</v>
      </c>
      <c r="F3324" s="8" t="s">
        <v>13</v>
      </c>
      <c r="G3324" s="8" t="s">
        <v>296</v>
      </c>
      <c r="H3324" s="16">
        <v>0.0</v>
      </c>
      <c r="I3324" s="15" t="str">
        <f>SUBSTITUTE(Sheet1!K3324, "Rp", "")</f>
        <v>0</v>
      </c>
    </row>
    <row r="3325">
      <c r="A3325" s="8" t="s">
        <v>4642</v>
      </c>
      <c r="B3325" s="13" t="str">
        <f>HYPERLINK("https://shopee.co.id/Natur-Miracle-Calming-Serum-30-mL-i.65323877.6345448724", "https://shopee.co.id/Natur-Miracle-Calming-Serum-30-mL-i.65323877.6345448724")</f>
        <v>https://shopee.co.id/Natur-Miracle-Calming-Serum-30-mL-i.65323877.6345448724</v>
      </c>
      <c r="C3325" s="8" t="s">
        <v>1234</v>
      </c>
      <c r="D3325" s="8" t="s">
        <v>1600</v>
      </c>
      <c r="E3325" s="8" t="s">
        <v>12</v>
      </c>
      <c r="F3325" s="8" t="s">
        <v>13</v>
      </c>
      <c r="G3325" s="8" t="s">
        <v>296</v>
      </c>
      <c r="H3325" s="16">
        <v>0.0</v>
      </c>
      <c r="I3325" s="15" t="str">
        <f>SUBSTITUTE(Sheet1!K3325, "Rp", "")</f>
        <v>0</v>
      </c>
    </row>
    <row r="3326">
      <c r="A3326" s="8" t="s">
        <v>4643</v>
      </c>
      <c r="B3326" s="13" t="str">
        <f>HYPERLINK("https://shopee.co.id/Natur-Miracle-Renew-Skin-Face-Serum-Ginseng-Probiotic-Natur-Shampoo-i.38631574.3451515603", "https://shopee.co.id/Natur-Miracle-Renew-Skin-Face-Serum-Ginseng-Probiotic-Natur-Shampoo-i.38631574.3451515603")</f>
        <v>https://shopee.co.id/Natur-Miracle-Renew-Skin-Face-Serum-Ginseng-Probiotic-Natur-Shampoo-i.38631574.3451515603</v>
      </c>
      <c r="C3326" s="8" t="s">
        <v>1234</v>
      </c>
      <c r="D3326" s="8" t="s">
        <v>1235</v>
      </c>
      <c r="E3326" s="8" t="s">
        <v>12</v>
      </c>
      <c r="F3326" s="8" t="s">
        <v>13</v>
      </c>
      <c r="G3326" s="8" t="s">
        <v>469</v>
      </c>
      <c r="H3326" s="16">
        <v>0.0</v>
      </c>
      <c r="I3326" s="15" t="str">
        <f>SUBSTITUTE(Sheet1!K3326, "Rp", "")</f>
        <v>0</v>
      </c>
    </row>
    <row r="3327">
      <c r="A3327" s="8" t="s">
        <v>4644</v>
      </c>
      <c r="B3327" s="13" t="str">
        <f>HYPERLINK("https://shopee.co.id/Natur-E-Advanced-Aa-Serum-15ml-i.40341578.5469184309", "https://shopee.co.id/Natur-E-Advanced-Aa-Serum-15ml-i.40341578.5469184309")</f>
        <v>https://shopee.co.id/Natur-E-Advanced-Aa-Serum-15ml-i.40341578.5469184309</v>
      </c>
      <c r="C3327" s="8" t="s">
        <v>849</v>
      </c>
      <c r="D3327" s="8" t="s">
        <v>4645</v>
      </c>
      <c r="E3327" s="8" t="s">
        <v>12</v>
      </c>
      <c r="F3327" s="8" t="s">
        <v>13</v>
      </c>
      <c r="G3327" s="8" t="s">
        <v>469</v>
      </c>
      <c r="H3327" s="16">
        <v>0.0</v>
      </c>
      <c r="I3327" s="15" t="str">
        <f>SUBSTITUTE(Sheet1!K3327, "Rp", "")</f>
        <v>0</v>
      </c>
    </row>
    <row r="3328">
      <c r="A3328" s="8" t="s">
        <v>4646</v>
      </c>
      <c r="B3328" s="13" t="str">
        <f>HYPERLINK("https://shopee.co.id/NATURE-REPUBLIC-Ginseng-Royal-Silk-Ampoule-Effector-7-Days-Program-i.78838801.5043830565", "https://shopee.co.id/NATURE-REPUBLIC-Ginseng-Royal-Silk-Ampoule-Effector-7-Days-Program-i.78838801.5043830565")</f>
        <v>https://shopee.co.id/NATURE-REPUBLIC-Ginseng-Royal-Silk-Ampoule-Effector-7-Days-Program-i.78838801.5043830565</v>
      </c>
      <c r="C3328" s="8" t="s">
        <v>1079</v>
      </c>
      <c r="D3328" s="8" t="s">
        <v>1080</v>
      </c>
      <c r="E3328" s="8" t="s">
        <v>12</v>
      </c>
      <c r="F3328" s="8" t="s">
        <v>13</v>
      </c>
      <c r="G3328" s="8" t="s">
        <v>532</v>
      </c>
      <c r="H3328" s="16">
        <v>0.0</v>
      </c>
      <c r="I3328" s="15" t="str">
        <f>SUBSTITUTE(Sheet1!K3328, "Rp", "")</f>
        <v>0</v>
      </c>
    </row>
    <row r="3329">
      <c r="A3329" s="8" t="s">
        <v>4647</v>
      </c>
      <c r="B3329" s="13" t="str">
        <f>HYPERLINK("https://shopee.co.id/NATURE-REPUBLIC-Ginseng-Royal-Silk-Essence-i.78838801.1397561109", "https://shopee.co.id/NATURE-REPUBLIC-Ginseng-Royal-Silk-Essence-i.78838801.1397561109")</f>
        <v>https://shopee.co.id/NATURE-REPUBLIC-Ginseng-Royal-Silk-Essence-i.78838801.1397561109</v>
      </c>
      <c r="C3329" s="8" t="s">
        <v>1079</v>
      </c>
      <c r="D3329" s="8" t="s">
        <v>1080</v>
      </c>
      <c r="E3329" s="8" t="s">
        <v>12</v>
      </c>
      <c r="F3329" s="8" t="s">
        <v>13</v>
      </c>
      <c r="G3329" s="8" t="s">
        <v>532</v>
      </c>
      <c r="H3329" s="16">
        <v>0.0</v>
      </c>
      <c r="I3329" s="15" t="str">
        <f>SUBSTITUTE(Sheet1!K3329, "Rp", "")</f>
        <v>0</v>
      </c>
    </row>
    <row r="3330">
      <c r="A3330" s="8" t="s">
        <v>4648</v>
      </c>
      <c r="B3330" s="13" t="str">
        <f>HYPERLINK("https://shopee.co.id/NATURE-REPUBLIC-Good-Skin-Ampoule-COLLAGEN-i.78838801.9222471009", "https://shopee.co.id/NATURE-REPUBLIC-Good-Skin-Ampoule-COLLAGEN-i.78838801.9222471009")</f>
        <v>https://shopee.co.id/NATURE-REPUBLIC-Good-Skin-Ampoule-COLLAGEN-i.78838801.9222471009</v>
      </c>
      <c r="C3330" s="8" t="s">
        <v>1079</v>
      </c>
      <c r="D3330" s="8" t="s">
        <v>1080</v>
      </c>
      <c r="E3330" s="8" t="s">
        <v>12</v>
      </c>
      <c r="F3330" s="8" t="s">
        <v>13</v>
      </c>
      <c r="G3330" s="8" t="s">
        <v>532</v>
      </c>
      <c r="H3330" s="16">
        <v>0.0</v>
      </c>
      <c r="I3330" s="15" t="str">
        <f>SUBSTITUTE(Sheet1!K3330, "Rp", "")</f>
        <v>0</v>
      </c>
    </row>
    <row r="3331">
      <c r="A3331" s="8" t="s">
        <v>4649</v>
      </c>
      <c r="B3331" s="13" t="str">
        <f>HYPERLINK("https://shopee.co.id/NATURE-REPUBLIC-Green-Derma-Tea-Tree-Cica-Spot-Serum-i.78838801.9351122275", "https://shopee.co.id/NATURE-REPUBLIC-Green-Derma-Tea-Tree-Cica-Spot-Serum-i.78838801.9351122275")</f>
        <v>https://shopee.co.id/NATURE-REPUBLIC-Green-Derma-Tea-Tree-Cica-Spot-Serum-i.78838801.9351122275</v>
      </c>
      <c r="C3331" s="8" t="s">
        <v>1079</v>
      </c>
      <c r="D3331" s="8" t="s">
        <v>1080</v>
      </c>
      <c r="E3331" s="8" t="s">
        <v>12</v>
      </c>
      <c r="F3331" s="8" t="s">
        <v>13</v>
      </c>
      <c r="G3331" s="8" t="s">
        <v>532</v>
      </c>
      <c r="H3331" s="16">
        <v>0.0</v>
      </c>
      <c r="I3331" s="15" t="str">
        <f>SUBSTITUTE(Sheet1!K3331, "Rp", "")</f>
        <v>0</v>
      </c>
    </row>
    <row r="3332">
      <c r="A3332" s="8" t="s">
        <v>4650</v>
      </c>
      <c r="B3332" s="13" t="str">
        <f>HYPERLINK("https://shopee.co.id/NATURE-REPUBLIC-Polynesia-Lagoon-Water-Hydro-Essence-i.78838801.2511324623", "https://shopee.co.id/NATURE-REPUBLIC-Polynesia-Lagoon-Water-Hydro-Essence-i.78838801.2511324623")</f>
        <v>https://shopee.co.id/NATURE-REPUBLIC-Polynesia-Lagoon-Water-Hydro-Essence-i.78838801.2511324623</v>
      </c>
      <c r="C3332" s="8" t="s">
        <v>1079</v>
      </c>
      <c r="D3332" s="8" t="s">
        <v>1080</v>
      </c>
      <c r="E3332" s="8" t="s">
        <v>12</v>
      </c>
      <c r="F3332" s="8" t="s">
        <v>13</v>
      </c>
      <c r="G3332" s="8" t="s">
        <v>532</v>
      </c>
      <c r="H3332" s="16">
        <v>0.0</v>
      </c>
      <c r="I3332" s="15" t="str">
        <f>SUBSTITUTE(Sheet1!K3332, "Rp", "")</f>
        <v>0</v>
      </c>
    </row>
    <row r="3333">
      <c r="A3333" s="8" t="s">
        <v>3600</v>
      </c>
      <c r="B3333" s="13" t="str">
        <f>HYPERLINK("https://shopee.co.id/NEOGEN-Dermalogy-Real-Vit-C-serum-i.68111.5594491043", "https://shopee.co.id/NEOGEN-Dermalogy-Real-Vit-C-serum-i.68111.5594491043")</f>
        <v>https://shopee.co.id/NEOGEN-Dermalogy-Real-Vit-C-serum-i.68111.5594491043</v>
      </c>
      <c r="C3333" s="8" t="s">
        <v>2093</v>
      </c>
      <c r="D3333" s="8" t="s">
        <v>441</v>
      </c>
      <c r="E3333" s="8" t="s">
        <v>12</v>
      </c>
      <c r="F3333" s="8" t="s">
        <v>13</v>
      </c>
      <c r="G3333" s="8" t="s">
        <v>130</v>
      </c>
      <c r="H3333" s="16">
        <v>0.0</v>
      </c>
      <c r="I3333" s="15" t="str">
        <f>SUBSTITUTE(Sheet1!K3333, "Rp", "")</f>
        <v>0</v>
      </c>
    </row>
    <row r="3334">
      <c r="A3334" s="8" t="s">
        <v>4651</v>
      </c>
      <c r="B3334" s="13" t="str">
        <f>HYPERLINK("https://shopee.co.id/NEOGEN-H2-Dermadeca-Serum-Spray-120ml-i.68111.1608271336", "https://shopee.co.id/NEOGEN-H2-Dermadeca-Serum-Spray-120ml-i.68111.1608271336")</f>
        <v>https://shopee.co.id/NEOGEN-H2-Dermadeca-Serum-Spray-120ml-i.68111.1608271336</v>
      </c>
      <c r="C3334" s="8" t="s">
        <v>2093</v>
      </c>
      <c r="D3334" s="8" t="s">
        <v>441</v>
      </c>
      <c r="E3334" s="8" t="s">
        <v>12</v>
      </c>
      <c r="F3334" s="8" t="s">
        <v>13</v>
      </c>
      <c r="G3334" s="8" t="s">
        <v>130</v>
      </c>
      <c r="H3334" s="16">
        <v>0.0</v>
      </c>
      <c r="I3334" s="15" t="str">
        <f>SUBSTITUTE(Sheet1!K3334, "Rp", "")</f>
        <v>0</v>
      </c>
    </row>
    <row r="3335">
      <c r="A3335" s="8" t="s">
        <v>4652</v>
      </c>
      <c r="B3335" s="13" t="str">
        <f>HYPERLINK("https://shopee.co.id/NEUTROGENA-Bright-Boost-Serum-Perawatan-Wajah-30ml-i.50708029.5263032438", "https://shopee.co.id/NEUTROGENA-Bright-Boost-Serum-Perawatan-Wajah-30ml-i.50708029.5263032438")</f>
        <v>https://shopee.co.id/NEUTROGENA-Bright-Boost-Serum-Perawatan-Wajah-30ml-i.50708029.5263032438</v>
      </c>
      <c r="C3335" s="8" t="s">
        <v>1499</v>
      </c>
      <c r="D3335" s="8" t="s">
        <v>1500</v>
      </c>
      <c r="E3335" s="8" t="s">
        <v>12</v>
      </c>
      <c r="F3335" s="8" t="s">
        <v>13</v>
      </c>
      <c r="G3335" s="8" t="s">
        <v>296</v>
      </c>
      <c r="H3335" s="16">
        <v>0.0</v>
      </c>
      <c r="I3335" s="15" t="str">
        <f>SUBSTITUTE(Sheet1!K3335, "Rp", "")</f>
        <v>0</v>
      </c>
    </row>
    <row r="3336">
      <c r="A3336" s="8" t="s">
        <v>4653</v>
      </c>
      <c r="B3336" s="13" t="str">
        <f>HYPERLINK("https://shopee.co.id/Neutrogena-Bright-Boost-Serum-30-ml-Paket-Isi-2--i.50708029.3171650227", "https://shopee.co.id/Neutrogena-Bright-Boost-Serum-30-ml-Paket-Isi-2--i.50708029.3171650227")</f>
        <v>https://shopee.co.id/Neutrogena-Bright-Boost-Serum-30-ml-Paket-Isi-2--i.50708029.3171650227</v>
      </c>
      <c r="C3336" s="8" t="s">
        <v>1499</v>
      </c>
      <c r="D3336" s="8" t="s">
        <v>1500</v>
      </c>
      <c r="E3336" s="8" t="s">
        <v>12</v>
      </c>
      <c r="F3336" s="8" t="s">
        <v>13</v>
      </c>
      <c r="G3336" s="8" t="s">
        <v>296</v>
      </c>
      <c r="H3336" s="16">
        <v>0.0</v>
      </c>
      <c r="I3336" s="15" t="str">
        <f>SUBSTITUTE(Sheet1!K3336, "Rp", "")</f>
        <v>0</v>
      </c>
    </row>
    <row r="3337">
      <c r="A3337" s="8" t="s">
        <v>4654</v>
      </c>
      <c r="B3337" s="13" t="str">
        <f>HYPERLINK("https://shopee.co.id/Neutrogena-Hydro-Boost-Capsule-in-Serum-30-ml-i.186214521.4145309104", "https://shopee.co.id/Neutrogena-Hydro-Boost-Capsule-in-Serum-30-ml-i.186214521.4145309104")</f>
        <v>https://shopee.co.id/Neutrogena-Hydro-Boost-Capsule-in-Serum-30-ml-i.186214521.4145309104</v>
      </c>
      <c r="C3337" s="8" t="s">
        <v>1499</v>
      </c>
      <c r="D3337" s="8" t="s">
        <v>2293</v>
      </c>
      <c r="E3337" s="8" t="s">
        <v>12</v>
      </c>
      <c r="F3337" s="8" t="s">
        <v>13</v>
      </c>
      <c r="G3337" s="8" t="s">
        <v>61</v>
      </c>
      <c r="H3337" s="16">
        <v>0.0</v>
      </c>
      <c r="I3337" s="15" t="str">
        <f>SUBSTITUTE(Sheet1!K3337, "Rp", "")</f>
        <v>0</v>
      </c>
    </row>
    <row r="3338">
      <c r="A3338" s="8" t="s">
        <v>2922</v>
      </c>
      <c r="B3338" s="13" t="str">
        <f>HYPERLINK("https://shopee.co.id/Neutrogena-Hydroboost-Series-i.50708029.8156538755", "https://shopee.co.id/Neutrogena-Hydroboost-Series-i.50708029.8156538755")</f>
        <v>https://shopee.co.id/Neutrogena-Hydroboost-Series-i.50708029.8156538755</v>
      </c>
      <c r="C3338" s="8" t="s">
        <v>1499</v>
      </c>
      <c r="D3338" s="8" t="s">
        <v>1500</v>
      </c>
      <c r="E3338" s="8" t="s">
        <v>12</v>
      </c>
      <c r="F3338" s="8" t="s">
        <v>13</v>
      </c>
      <c r="G3338" s="8" t="s">
        <v>296</v>
      </c>
      <c r="H3338" s="16">
        <v>0.0</v>
      </c>
      <c r="I3338" s="15" t="str">
        <f>SUBSTITUTE(Sheet1!K3338, "Rp", "")</f>
        <v>0</v>
      </c>
    </row>
    <row r="3339">
      <c r="A3339" s="8" t="s">
        <v>4655</v>
      </c>
      <c r="B3339" s="13" t="str">
        <f>HYPERLINK("https://shopee.co.id/NEW-Chronologiste-Perfume-Huile-100ml-Serum-Anti-Aging-i.252376370.5649667855", "https://shopee.co.id/NEW-Chronologiste-Perfume-Huile-100ml-Serum-Anti-Aging-i.252376370.5649667855")</f>
        <v>https://shopee.co.id/NEW-Chronologiste-Perfume-Huile-100ml-Serum-Anti-Aging-i.252376370.5649667855</v>
      </c>
      <c r="C3339" s="8" t="s">
        <v>2560</v>
      </c>
      <c r="D3339" s="8" t="s">
        <v>2561</v>
      </c>
      <c r="E3339" s="8" t="s">
        <v>12</v>
      </c>
      <c r="F3339" s="8" t="s">
        <v>13</v>
      </c>
      <c r="G3339" s="8" t="s">
        <v>1480</v>
      </c>
      <c r="H3339" s="16">
        <v>0.0</v>
      </c>
      <c r="I3339" s="15" t="str">
        <f>SUBSTITUTE(Sheet1!K3339, "Rp", "")</f>
        <v>0</v>
      </c>
    </row>
    <row r="3340">
      <c r="A3340" s="8" t="s">
        <v>4656</v>
      </c>
      <c r="B3340" s="13" t="str">
        <f>HYPERLINK("https://shopee.co.id/Nivea-Face-Care-Make-Up-Starter-Serum-SPF33-30ml-i.68111.8615824391", "https://shopee.co.id/Nivea-Face-Care-Make-Up-Starter-Serum-SPF33-30ml-i.68111.8615824391")</f>
        <v>https://shopee.co.id/Nivea-Face-Care-Make-Up-Starter-Serum-SPF33-30ml-i.68111.8615824391</v>
      </c>
      <c r="C3340" s="8" t="s">
        <v>1571</v>
      </c>
      <c r="D3340" s="8" t="s">
        <v>441</v>
      </c>
      <c r="E3340" s="8" t="s">
        <v>12</v>
      </c>
      <c r="F3340" s="8" t="s">
        <v>13</v>
      </c>
      <c r="G3340" s="8" t="s">
        <v>130</v>
      </c>
      <c r="H3340" s="16">
        <v>0.0</v>
      </c>
      <c r="I3340" s="15" t="str">
        <f>SUBSTITUTE(Sheet1!K3340, "Rp", "")</f>
        <v>0</v>
      </c>
    </row>
    <row r="3341">
      <c r="A3341" s="8" t="s">
        <v>3257</v>
      </c>
      <c r="B3341" s="13" t="str">
        <f>HYPERLINK("https://shopee.co.id/Nourish-Beauty-Care-Wrinkle-Remover-Serum-Anti-Aging-Series-Anti-Penuaan-i.185943783.4917901949", "https://shopee.co.id/Nourish-Beauty-Care-Wrinkle-Remover-Serum-Anti-Aging-Series-Anti-Penuaan-i.185943783.4917901949")</f>
        <v>https://shopee.co.id/Nourish-Beauty-Care-Wrinkle-Remover-Serum-Anti-Aging-Series-Anti-Penuaan-i.185943783.4917901949</v>
      </c>
      <c r="C3341" s="8" t="s">
        <v>1309</v>
      </c>
      <c r="D3341" s="8" t="s">
        <v>3429</v>
      </c>
      <c r="E3341" s="8" t="s">
        <v>12</v>
      </c>
      <c r="F3341" s="8" t="s">
        <v>13</v>
      </c>
      <c r="G3341" s="8" t="s">
        <v>36</v>
      </c>
      <c r="H3341" s="16">
        <v>0.0</v>
      </c>
      <c r="I3341" s="15" t="str">
        <f>SUBSTITUTE(Sheet1!K3341, "Rp", "")</f>
        <v>0</v>
      </c>
    </row>
    <row r="3342">
      <c r="A3342" s="8" t="s">
        <v>3257</v>
      </c>
      <c r="B3342" s="13" t="str">
        <f>HYPERLINK("https://shopee.co.id/Nourish-Beauty-Care-Wrinkle-Remover-Serum-Anti-Aging-Series-Anti-Penuaan-i.114789399.2626589935", "https://shopee.co.id/Nourish-Beauty-Care-Wrinkle-Remover-Serum-Anti-Aging-Series-Anti-Penuaan-i.114789399.2626589935")</f>
        <v>https://shopee.co.id/Nourish-Beauty-Care-Wrinkle-Remover-Serum-Anti-Aging-Series-Anti-Penuaan-i.114789399.2626589935</v>
      </c>
      <c r="C3342" s="8" t="s">
        <v>1309</v>
      </c>
      <c r="D3342" s="8" t="s">
        <v>2531</v>
      </c>
      <c r="E3342" s="8" t="s">
        <v>12</v>
      </c>
      <c r="F3342" s="8" t="s">
        <v>13</v>
      </c>
      <c r="G3342" s="8" t="s">
        <v>36</v>
      </c>
      <c r="H3342" s="16">
        <v>0.0</v>
      </c>
      <c r="I3342" s="15" t="str">
        <f>SUBSTITUTE(Sheet1!K3342, "Rp", "")</f>
        <v>0</v>
      </c>
    </row>
    <row r="3343">
      <c r="A3343" s="8" t="s">
        <v>4657</v>
      </c>
      <c r="B3343" s="13" t="str">
        <f>HYPERLINK("https://shopee.co.id/Nourish-Skin-Bio-White-Serum-Box-30-mL-Pencerah-Kulit-Wajah-i.18163317.885469824", "https://shopee.co.id/Nourish-Skin-Bio-White-Serum-Box-30-mL-Pencerah-Kulit-Wajah-i.18163317.885469824")</f>
        <v>https://shopee.co.id/Nourish-Skin-Bio-White-Serum-Box-30-mL-Pencerah-Kulit-Wajah-i.18163317.885469824</v>
      </c>
      <c r="C3343" s="8" t="s">
        <v>4658</v>
      </c>
      <c r="D3343" s="8" t="s">
        <v>3715</v>
      </c>
      <c r="E3343" s="8" t="s">
        <v>12</v>
      </c>
      <c r="F3343" s="8" t="s">
        <v>13</v>
      </c>
      <c r="G3343" s="8" t="s">
        <v>98</v>
      </c>
      <c r="H3343" s="16">
        <v>0.0</v>
      </c>
      <c r="I3343" s="15" t="str">
        <f>SUBSTITUTE(Sheet1!K3343, "Rp", "")</f>
        <v>0</v>
      </c>
    </row>
    <row r="3344">
      <c r="A3344" s="8" t="s">
        <v>4659</v>
      </c>
      <c r="B3344" s="13" t="str">
        <f>HYPERLINK("https://shopee.co.id/NOVEXPERT-BOOSTER-SERUM-Hypoallergenic-i.37242565.5148092069", "https://shopee.co.id/NOVEXPERT-BOOSTER-SERUM-Hypoallergenic-i.37242565.5148092069")</f>
        <v>https://shopee.co.id/NOVEXPERT-BOOSTER-SERUM-Hypoallergenic-i.37242565.5148092069</v>
      </c>
      <c r="C3344" s="8" t="s">
        <v>2218</v>
      </c>
      <c r="D3344" s="8" t="s">
        <v>2157</v>
      </c>
      <c r="E3344" s="8" t="s">
        <v>12</v>
      </c>
      <c r="F3344" s="8" t="s">
        <v>13</v>
      </c>
      <c r="G3344" s="8" t="s">
        <v>98</v>
      </c>
      <c r="H3344" s="16">
        <v>0.0</v>
      </c>
      <c r="I3344" s="15" t="str">
        <f>SUBSTITUTE(Sheet1!K3344, "Rp", "")</f>
        <v>0</v>
      </c>
    </row>
    <row r="3345">
      <c r="A3345" s="8" t="s">
        <v>4660</v>
      </c>
      <c r="B3345" s="13" t="str">
        <f>HYPERLINK("https://shopee.co.id/NOVEXPERT-BOOSTER-SERUM-With-5-Omega-30ml-i.37242565.2098833574", "https://shopee.co.id/NOVEXPERT-BOOSTER-SERUM-With-5-Omega-30ml-i.37242565.2098833574")</f>
        <v>https://shopee.co.id/NOVEXPERT-BOOSTER-SERUM-With-5-Omega-30ml-i.37242565.2098833574</v>
      </c>
      <c r="C3345" s="8" t="s">
        <v>2218</v>
      </c>
      <c r="D3345" s="8" t="s">
        <v>2157</v>
      </c>
      <c r="E3345" s="8" t="s">
        <v>12</v>
      </c>
      <c r="F3345" s="8" t="s">
        <v>13</v>
      </c>
      <c r="G3345" s="8" t="s">
        <v>98</v>
      </c>
      <c r="H3345" s="16">
        <v>0.0</v>
      </c>
      <c r="I3345" s="15" t="str">
        <f>SUBSTITUTE(Sheet1!K3345, "Rp", "")</f>
        <v>0</v>
      </c>
    </row>
    <row r="3346">
      <c r="A3346" s="8" t="s">
        <v>4661</v>
      </c>
      <c r="B3346" s="13" t="str">
        <f>HYPERLINK("https://shopee.co.id/NOVEXPERT-Booster-With-Vitamin-C-30ml--i.68111.8442585899", "https://shopee.co.id/NOVEXPERT-Booster-With-Vitamin-C-30ml--i.68111.8442585899")</f>
        <v>https://shopee.co.id/NOVEXPERT-Booster-With-Vitamin-C-30ml--i.68111.8442585899</v>
      </c>
      <c r="C3346" s="8" t="s">
        <v>2218</v>
      </c>
      <c r="D3346" s="8" t="s">
        <v>441</v>
      </c>
      <c r="E3346" s="8" t="s">
        <v>12</v>
      </c>
      <c r="F3346" s="8" t="s">
        <v>13</v>
      </c>
      <c r="G3346" s="8" t="s">
        <v>130</v>
      </c>
      <c r="H3346" s="16">
        <v>0.0</v>
      </c>
      <c r="I3346" s="15" t="str">
        <f>SUBSTITUTE(Sheet1!K3346, "Rp", "")</f>
        <v>0</v>
      </c>
    </row>
    <row r="3347">
      <c r="A3347" s="8" t="s">
        <v>4662</v>
      </c>
      <c r="B3347" s="13" t="str">
        <f>HYPERLINK("https://shopee.co.id/NOVEXPERT-BRIGHT-And-CLEAN-Set-i.37242565.4253783750", "https://shopee.co.id/NOVEXPERT-BRIGHT-And-CLEAN-Set-i.37242565.4253783750")</f>
        <v>https://shopee.co.id/NOVEXPERT-BRIGHT-And-CLEAN-Set-i.37242565.4253783750</v>
      </c>
      <c r="C3347" s="8" t="s">
        <v>2218</v>
      </c>
      <c r="D3347" s="8" t="s">
        <v>2157</v>
      </c>
      <c r="E3347" s="8" t="s">
        <v>12</v>
      </c>
      <c r="F3347" s="8" t="s">
        <v>13</v>
      </c>
      <c r="G3347" s="8" t="s">
        <v>98</v>
      </c>
      <c r="H3347" s="16">
        <v>0.0</v>
      </c>
      <c r="I3347" s="15" t="str">
        <f>SUBSTITUTE(Sheet1!K3347, "Rp", "")</f>
        <v>0</v>
      </c>
    </row>
    <row r="3348">
      <c r="A3348" s="8" t="s">
        <v>4663</v>
      </c>
      <c r="B3348" s="13" t="str">
        <f>HYPERLINK("https://shopee.co.id/Npure-Centella-Asiatica-Serum-15ml-i.10689.2813888853", "https://shopee.co.id/Npure-Centella-Asiatica-Serum-15ml-i.10689.2813888853")</f>
        <v>https://shopee.co.id/Npure-Centella-Asiatica-Serum-15ml-i.10689.2813888853</v>
      </c>
      <c r="C3348" s="8" t="s">
        <v>266</v>
      </c>
      <c r="D3348" s="8" t="s">
        <v>745</v>
      </c>
      <c r="E3348" s="8" t="s">
        <v>12</v>
      </c>
      <c r="F3348" s="8" t="s">
        <v>13</v>
      </c>
      <c r="G3348" s="8" t="s">
        <v>61</v>
      </c>
      <c r="H3348" s="16">
        <v>0.0</v>
      </c>
      <c r="I3348" s="15" t="str">
        <f>SUBSTITUTE(Sheet1!K3348, "Rp", "")</f>
        <v>0</v>
      </c>
    </row>
    <row r="3349">
      <c r="A3349" s="8" t="s">
        <v>4664</v>
      </c>
      <c r="B3349" s="13" t="str">
        <f>HYPERLINK("https://shopee.co.id/Npure-Essence-Centella-20-ml-i.65323877.9579239125", "https://shopee.co.id/Npure-Essence-Centella-20-ml-i.65323877.9579239125")</f>
        <v>https://shopee.co.id/Npure-Essence-Centella-20-ml-i.65323877.9579239125</v>
      </c>
      <c r="C3349" s="8" t="s">
        <v>266</v>
      </c>
      <c r="D3349" s="8" t="s">
        <v>1600</v>
      </c>
      <c r="E3349" s="8" t="s">
        <v>12</v>
      </c>
      <c r="F3349" s="8" t="s">
        <v>13</v>
      </c>
      <c r="G3349" s="8" t="s">
        <v>296</v>
      </c>
      <c r="H3349" s="16">
        <v>0.0</v>
      </c>
      <c r="I3349" s="15" t="str">
        <f>SUBSTITUTE(Sheet1!K3349, "Rp", "")</f>
        <v>0</v>
      </c>
    </row>
    <row r="3350">
      <c r="A3350" s="8" t="s">
        <v>4665</v>
      </c>
      <c r="B3350" s="13" t="str">
        <f>HYPERLINK("https://shopee.co.id/Npure-Essence-Centella-20ml-i.53887195.3016521153", "https://shopee.co.id/Npure-Essence-Centella-20ml-i.53887195.3016521153")</f>
        <v>https://shopee.co.id/Npure-Essence-Centella-20ml-i.53887195.3016521153</v>
      </c>
      <c r="C3350" s="8" t="s">
        <v>266</v>
      </c>
      <c r="D3350" s="8" t="s">
        <v>1026</v>
      </c>
      <c r="E3350" s="8" t="s">
        <v>12</v>
      </c>
      <c r="F3350" s="8" t="s">
        <v>13</v>
      </c>
      <c r="G3350" s="8" t="s">
        <v>80</v>
      </c>
      <c r="H3350" s="16">
        <v>0.0</v>
      </c>
      <c r="I3350" s="15" t="str">
        <f>SUBSTITUTE(Sheet1!K3350, "Rp", "")</f>
        <v>0</v>
      </c>
    </row>
    <row r="3351">
      <c r="A3351" s="8" t="s">
        <v>4666</v>
      </c>
      <c r="B3351" s="13" t="str">
        <f>HYPERLINK("https://shopee.co.id/Npure-Face-Serum-Marigold-Series-15ml-i.110573301.4160836874", "https://shopee.co.id/Npure-Face-Serum-Marigold-Series-15ml-i.110573301.4160836874")</f>
        <v>https://shopee.co.id/Npure-Face-Serum-Marigold-Series-15ml-i.110573301.4160836874</v>
      </c>
      <c r="C3351" s="8" t="s">
        <v>266</v>
      </c>
      <c r="D3351" s="8" t="s">
        <v>227</v>
      </c>
      <c r="E3351" s="8" t="s">
        <v>12</v>
      </c>
      <c r="F3351" s="8" t="s">
        <v>13</v>
      </c>
      <c r="G3351" s="8" t="s">
        <v>61</v>
      </c>
      <c r="H3351" s="16">
        <v>0.0</v>
      </c>
      <c r="I3351" s="15" t="str">
        <f>SUBSTITUTE(Sheet1!K3351, "Rp", "")</f>
        <v>0</v>
      </c>
    </row>
    <row r="3352">
      <c r="A3352" s="8" t="s">
        <v>4667</v>
      </c>
      <c r="B3352" s="13" t="str">
        <f>HYPERLINK("https://shopee.co.id/Npure-Marigold-Face-Serum-15ml-i.10689.7917342585", "https://shopee.co.id/Npure-Marigold-Face-Serum-15ml-i.10689.7917342585")</f>
        <v>https://shopee.co.id/Npure-Marigold-Face-Serum-15ml-i.10689.7917342585</v>
      </c>
      <c r="C3352" s="8" t="s">
        <v>266</v>
      </c>
      <c r="D3352" s="8" t="s">
        <v>745</v>
      </c>
      <c r="E3352" s="8" t="s">
        <v>12</v>
      </c>
      <c r="F3352" s="8" t="s">
        <v>13</v>
      </c>
      <c r="G3352" s="8" t="s">
        <v>61</v>
      </c>
      <c r="H3352" s="16">
        <v>0.0</v>
      </c>
      <c r="I3352" s="15" t="str">
        <f>SUBSTITUTE(Sheet1!K3352, "Rp", "")</f>
        <v>0</v>
      </c>
    </row>
    <row r="3353">
      <c r="A3353" s="8" t="s">
        <v>4668</v>
      </c>
      <c r="B3353" s="13" t="str">
        <f>HYPERLINK("https://shopee.co.id/Npure-Silky-Centella-Asiatica-Face-Serum-15ml-i.53887195.8026604523", "https://shopee.co.id/Npure-Silky-Centella-Asiatica-Face-Serum-15ml-i.53887195.8026604523")</f>
        <v>https://shopee.co.id/Npure-Silky-Centella-Asiatica-Face-Serum-15ml-i.53887195.8026604523</v>
      </c>
      <c r="C3353" s="8" t="s">
        <v>266</v>
      </c>
      <c r="D3353" s="8" t="s">
        <v>1026</v>
      </c>
      <c r="E3353" s="8" t="s">
        <v>12</v>
      </c>
      <c r="F3353" s="8" t="s">
        <v>13</v>
      </c>
      <c r="G3353" s="8" t="s">
        <v>80</v>
      </c>
      <c r="H3353" s="16">
        <v>0.0</v>
      </c>
      <c r="I3353" s="15" t="str">
        <f>SUBSTITUTE(Sheet1!K3353, "Rp", "")</f>
        <v>0</v>
      </c>
    </row>
    <row r="3354">
      <c r="A3354" s="8" t="s">
        <v>4669</v>
      </c>
      <c r="B3354" s="13" t="str">
        <f>HYPERLINK("https://shopee.co.id/Npure-Silky-Face-Primer-Serum-Centella-Asiatica-15ml-N-Pure-i.136011044.11213976120", "https://shopee.co.id/Npure-Silky-Face-Primer-Serum-Centella-Asiatica-15ml-N-Pure-i.136011044.11213976120")</f>
        <v>https://shopee.co.id/Npure-Silky-Face-Primer-Serum-Centella-Asiatica-15ml-N-Pure-i.136011044.11213976120</v>
      </c>
      <c r="C3354" s="8" t="s">
        <v>266</v>
      </c>
      <c r="D3354" s="8" t="s">
        <v>632</v>
      </c>
      <c r="E3354" s="8" t="s">
        <v>12</v>
      </c>
      <c r="F3354" s="8" t="s">
        <v>13</v>
      </c>
      <c r="G3354" s="8" t="s">
        <v>21</v>
      </c>
      <c r="H3354" s="16">
        <v>0.0</v>
      </c>
      <c r="I3354" s="15" t="str">
        <f>SUBSTITUTE(Sheet1!K3354, "Rp", "")</f>
        <v>0</v>
      </c>
    </row>
    <row r="3355">
      <c r="A3355" s="8" t="s">
        <v>4670</v>
      </c>
      <c r="B3355" s="13" t="str">
        <f>HYPERLINK("https://shopee.co.id/Nu-Aroma-Macadamia-Oil-Natural-Serum-Wajah-Serum-Rambut--i.262175945.4157196186", "https://shopee.co.id/Nu-Aroma-Macadamia-Oil-Natural-Serum-Wajah-Serum-Rambut--i.262175945.4157196186")</f>
        <v>https://shopee.co.id/Nu-Aroma-Macadamia-Oil-Natural-Serum-Wajah-Serum-Rambut--i.262175945.4157196186</v>
      </c>
      <c r="C3355" s="8" t="s">
        <v>2863</v>
      </c>
      <c r="D3355" s="8" t="s">
        <v>2864</v>
      </c>
      <c r="E3355" s="8" t="s">
        <v>12</v>
      </c>
      <c r="F3355" s="8" t="s">
        <v>13</v>
      </c>
      <c r="G3355" s="8" t="s">
        <v>945</v>
      </c>
      <c r="H3355" s="16">
        <v>0.0</v>
      </c>
      <c r="I3355" s="15" t="str">
        <f>SUBSTITUTE(Sheet1!K3355, "Rp", "")</f>
        <v>0</v>
      </c>
    </row>
    <row r="3356">
      <c r="A3356" s="8" t="s">
        <v>4671</v>
      </c>
      <c r="B3356" s="13" t="str">
        <f>HYPERLINK("https://shopee.co.id/Nurish-Organiq-24K-Gold-Special-Bundling-Face-Essence-20ml-Night-Cream-40ml-i.238368383.6937542883", "https://shopee.co.id/Nurish-Organiq-24K-Gold-Special-Bundling-Face-Essence-20ml-Night-Cream-40ml-i.238368383.6937542883")</f>
        <v>https://shopee.co.id/Nurish-Organiq-24K-Gold-Special-Bundling-Face-Essence-20ml-Night-Cream-40ml-i.238368383.6937542883</v>
      </c>
      <c r="C3356" s="8" t="s">
        <v>2892</v>
      </c>
      <c r="D3356" s="8" t="s">
        <v>2893</v>
      </c>
      <c r="E3356" s="8" t="s">
        <v>12</v>
      </c>
      <c r="F3356" s="8" t="s">
        <v>13</v>
      </c>
      <c r="G3356" s="8" t="s">
        <v>21</v>
      </c>
      <c r="H3356" s="16">
        <v>0.0</v>
      </c>
      <c r="I3356" s="15" t="str">
        <f>SUBSTITUTE(Sheet1!K3356, "Rp", "")</f>
        <v>0</v>
      </c>
    </row>
    <row r="3357">
      <c r="A3357" s="8" t="s">
        <v>4672</v>
      </c>
      <c r="B3357" s="13" t="str">
        <f>HYPERLINK("https://shopee.co.id/NURISH-ORGANIQ-24K-GOLD-DEEP-C-MILK100ML-i.186214521.4638368643", "https://shopee.co.id/NURISH-ORGANIQ-24K-GOLD-DEEP-C-MILK100ML-i.186214521.4638368643")</f>
        <v>https://shopee.co.id/NURISH-ORGANIQ-24K-GOLD-DEEP-C-MILK100ML-i.186214521.4638368643</v>
      </c>
      <c r="C3357" s="8" t="s">
        <v>2892</v>
      </c>
      <c r="D3357" s="8" t="s">
        <v>2293</v>
      </c>
      <c r="E3357" s="8" t="s">
        <v>12</v>
      </c>
      <c r="F3357" s="8" t="s">
        <v>13</v>
      </c>
      <c r="G3357" s="8" t="s">
        <v>61</v>
      </c>
      <c r="H3357" s="16">
        <v>0.0</v>
      </c>
      <c r="I3357" s="15" t="str">
        <f>SUBSTITUTE(Sheet1!K3357, "Rp", "")</f>
        <v>0</v>
      </c>
    </row>
    <row r="3358">
      <c r="A3358" s="8" t="s">
        <v>4673</v>
      </c>
      <c r="B3358" s="13" t="str">
        <f>HYPERLINK("https://shopee.co.id/NURISH-ORGANIQ-24K-GOLD-FACE-ESSEN-20GR-i.186214521.5638366793", "https://shopee.co.id/NURISH-ORGANIQ-24K-GOLD-FACE-ESSEN-20GR-i.186214521.5638366793")</f>
        <v>https://shopee.co.id/NURISH-ORGANIQ-24K-GOLD-FACE-ESSEN-20GR-i.186214521.5638366793</v>
      </c>
      <c r="C3358" s="8" t="s">
        <v>2892</v>
      </c>
      <c r="D3358" s="8" t="s">
        <v>2293</v>
      </c>
      <c r="E3358" s="8" t="s">
        <v>12</v>
      </c>
      <c r="F3358" s="8" t="s">
        <v>13</v>
      </c>
      <c r="G3358" s="8" t="s">
        <v>61</v>
      </c>
      <c r="H3358" s="16">
        <v>0.0</v>
      </c>
      <c r="I3358" s="15" t="str">
        <f>SUBSTITUTE(Sheet1!K3358, "Rp", "")</f>
        <v>0</v>
      </c>
    </row>
    <row r="3359">
      <c r="A3359" s="8" t="s">
        <v>4674</v>
      </c>
      <c r="B3359" s="13" t="str">
        <f>HYPERLINK("https://shopee.co.id/Nusantics-Biome-Oil-Serum-20g-i.10689.9060221169", "https://shopee.co.id/Nusantics-Biome-Oil-Serum-20g-i.10689.9060221169")</f>
        <v>https://shopee.co.id/Nusantics-Biome-Oil-Serum-20g-i.10689.9060221169</v>
      </c>
      <c r="C3359" s="8" t="s">
        <v>2427</v>
      </c>
      <c r="D3359" s="8" t="s">
        <v>745</v>
      </c>
      <c r="E3359" s="8" t="s">
        <v>12</v>
      </c>
      <c r="F3359" s="8" t="s">
        <v>13</v>
      </c>
      <c r="G3359" s="8" t="s">
        <v>61</v>
      </c>
      <c r="H3359" s="16">
        <v>0.0</v>
      </c>
      <c r="I3359" s="15" t="str">
        <f>SUBSTITUTE(Sheet1!K3359, "Rp", "")</f>
        <v>0</v>
      </c>
    </row>
    <row r="3360">
      <c r="A3360" s="8" t="s">
        <v>4675</v>
      </c>
      <c r="B3360" s="13" t="str">
        <f>HYPERLINK("https://shopee.co.id/Nuxuriance-Ultra-Serum-30-ml-i.296630661.8770513804", "https://shopee.co.id/Nuxuriance-Ultra-Serum-30-ml-i.296630661.8770513804")</f>
        <v>https://shopee.co.id/Nuxuriance-Ultra-Serum-30-ml-i.296630661.8770513804</v>
      </c>
      <c r="C3360" s="8" t="s">
        <v>4676</v>
      </c>
      <c r="D3360" s="8" t="s">
        <v>4677</v>
      </c>
      <c r="E3360" s="8" t="s">
        <v>12</v>
      </c>
      <c r="F3360" s="8" t="s">
        <v>13</v>
      </c>
      <c r="G3360" s="8" t="s">
        <v>61</v>
      </c>
      <c r="H3360" s="16">
        <v>0.0</v>
      </c>
      <c r="I3360" s="15" t="str">
        <f>SUBSTITUTE(Sheet1!K3360, "Rp", "")</f>
        <v>0</v>
      </c>
    </row>
    <row r="3361">
      <c r="A3361" s="8" t="s">
        <v>4678</v>
      </c>
      <c r="B3361" s="13" t="str">
        <f>HYPERLINK("https://shopee.co.id/Ocean-Fresh-Morska-Brightening-Serum-15g-i.10689.6302005443", "https://shopee.co.id/Ocean-Fresh-Morska-Brightening-Serum-15g-i.10689.6302005443")</f>
        <v>https://shopee.co.id/Ocean-Fresh-Morska-Brightening-Serum-15g-i.10689.6302005443</v>
      </c>
      <c r="C3361" s="8" t="s">
        <v>4679</v>
      </c>
      <c r="D3361" s="8" t="s">
        <v>745</v>
      </c>
      <c r="E3361" s="8" t="s">
        <v>12</v>
      </c>
      <c r="F3361" s="8" t="s">
        <v>13</v>
      </c>
      <c r="G3361" s="8" t="s">
        <v>61</v>
      </c>
      <c r="H3361" s="16">
        <v>0.0</v>
      </c>
      <c r="I3361" s="15" t="str">
        <f>SUBSTITUTE(Sheet1!K3361, "Rp", "")</f>
        <v>0</v>
      </c>
    </row>
    <row r="3362">
      <c r="A3362" s="8" t="s">
        <v>4680</v>
      </c>
      <c r="B3362" s="13" t="str">
        <f>HYPERLINK("https://shopee.co.id/Oh-My-Skin-Essence-4in1-60ml-i.136011044.13803354428", "https://shopee.co.id/Oh-My-Skin-Essence-4in1-60ml-i.136011044.13803354428")</f>
        <v>https://shopee.co.id/Oh-My-Skin-Essence-4in1-60ml-i.136011044.13803354428</v>
      </c>
      <c r="C3362" s="8" t="s">
        <v>672</v>
      </c>
      <c r="D3362" s="8" t="s">
        <v>632</v>
      </c>
      <c r="E3362" s="8" t="s">
        <v>12</v>
      </c>
      <c r="F3362" s="8" t="s">
        <v>13</v>
      </c>
      <c r="G3362" s="8" t="s">
        <v>21</v>
      </c>
      <c r="H3362" s="16">
        <v>0.0</v>
      </c>
      <c r="I3362" s="15" t="str">
        <f>SUBSTITUTE(Sheet1!K3362, "Rp", "")</f>
        <v>0</v>
      </c>
    </row>
    <row r="3363">
      <c r="A3363" s="8" t="s">
        <v>4681</v>
      </c>
      <c r="B3363" s="13" t="str">
        <f>HYPERLINK("https://shopee.co.id/Ohmyskin-Bright-Glow-Serum-20ml-i.270965687.9625282815", "https://shopee.co.id/Ohmyskin-Bright-Glow-Serum-20ml-i.270965687.9625282815")</f>
        <v>https://shopee.co.id/Ohmyskin-Bright-Glow-Serum-20ml-i.270965687.9625282815</v>
      </c>
      <c r="C3363" s="8" t="s">
        <v>672</v>
      </c>
      <c r="D3363" s="8" t="s">
        <v>379</v>
      </c>
      <c r="E3363" s="8" t="s">
        <v>12</v>
      </c>
      <c r="F3363" s="8" t="s">
        <v>13</v>
      </c>
      <c r="G3363" s="8" t="s">
        <v>380</v>
      </c>
      <c r="H3363" s="16">
        <v>0.0</v>
      </c>
      <c r="I3363" s="15" t="str">
        <f>SUBSTITUTE(Sheet1!K3363, "Rp", "")</f>
        <v>0</v>
      </c>
    </row>
    <row r="3364">
      <c r="A3364" s="8" t="s">
        <v>4682</v>
      </c>
      <c r="B3364" s="13" t="str">
        <f>HYPERLINK("https://shopee.co.id/Olay-Power-Duo-Krim-Pelembab-Pagi-Serum-Rejuvenating-Sheet-Mask-Anti-Aging-Skincare-i.11487927.6037727615", "https://shopee.co.id/Olay-Power-Duo-Krim-Pelembab-Pagi-Serum-Rejuvenating-Sheet-Mask-Anti-Aging-Skincare-i.11487927.6037727615")</f>
        <v>https://shopee.co.id/Olay-Power-Duo-Krim-Pelembab-Pagi-Serum-Rejuvenating-Sheet-Mask-Anti-Aging-Skincare-i.11487927.6037727615</v>
      </c>
      <c r="C3364" s="8" t="s">
        <v>317</v>
      </c>
      <c r="D3364" s="8" t="s">
        <v>318</v>
      </c>
      <c r="E3364" s="8" t="s">
        <v>12</v>
      </c>
      <c r="F3364" s="8" t="s">
        <v>13</v>
      </c>
      <c r="G3364" s="8" t="s">
        <v>296</v>
      </c>
      <c r="H3364" s="16">
        <v>0.0</v>
      </c>
      <c r="I3364" s="15" t="str">
        <f>SUBSTITUTE(Sheet1!K3364, "Rp", "")</f>
        <v>0</v>
      </c>
    </row>
    <row r="3365">
      <c r="A3365" s="8" t="s">
        <v>4682</v>
      </c>
      <c r="B3365" s="13" t="str">
        <f>HYPERLINK("https://shopee.co.id/Olay-Power-Duo-Krim-Pelembab-Pagi-Serum-Rejuvenating-Sheet-Mask-Anti-Aging-Skincare-i.11487927.3333734354", "https://shopee.co.id/Olay-Power-Duo-Krim-Pelembab-Pagi-Serum-Rejuvenating-Sheet-Mask-Anti-Aging-Skincare-i.11487927.3333734354")</f>
        <v>https://shopee.co.id/Olay-Power-Duo-Krim-Pelembab-Pagi-Serum-Rejuvenating-Sheet-Mask-Anti-Aging-Skincare-i.11487927.3333734354</v>
      </c>
      <c r="C3365" s="8" t="s">
        <v>317</v>
      </c>
      <c r="D3365" s="8" t="s">
        <v>318</v>
      </c>
      <c r="E3365" s="8" t="s">
        <v>12</v>
      </c>
      <c r="F3365" s="8" t="s">
        <v>13</v>
      </c>
      <c r="G3365" s="8" t="s">
        <v>296</v>
      </c>
      <c r="H3365" s="16">
        <v>0.0</v>
      </c>
      <c r="I3365" s="15" t="str">
        <f>SUBSTITUTE(Sheet1!K3365, "Rp", "")</f>
        <v>0</v>
      </c>
    </row>
    <row r="3366">
      <c r="A3366" s="8" t="s">
        <v>4683</v>
      </c>
      <c r="B3366" s="13" t="str">
        <f>HYPERLINK("https://shopee.co.id/OLAY-RETINOL-FACE-SERUM-30ML-i.186214521.6261396506", "https://shopee.co.id/OLAY-RETINOL-FACE-SERUM-30ML-i.186214521.6261396506")</f>
        <v>https://shopee.co.id/OLAY-RETINOL-FACE-SERUM-30ML-i.186214521.6261396506</v>
      </c>
      <c r="C3366" s="8" t="s">
        <v>317</v>
      </c>
      <c r="D3366" s="8" t="s">
        <v>2293</v>
      </c>
      <c r="E3366" s="8" t="s">
        <v>12</v>
      </c>
      <c r="F3366" s="8" t="s">
        <v>13</v>
      </c>
      <c r="G3366" s="8" t="s">
        <v>3901</v>
      </c>
      <c r="H3366" s="16">
        <v>0.0</v>
      </c>
      <c r="I3366" s="15" t="str">
        <f>SUBSTITUTE(Sheet1!K3366, "Rp", "")</f>
        <v>0</v>
      </c>
    </row>
    <row r="3367">
      <c r="A3367" s="8" t="s">
        <v>4684</v>
      </c>
      <c r="B3367" s="13" t="str">
        <f>HYPERLINK("https://shopee.co.id/Olay-Serum-Wajah-Regenerist-Anti-Aging-Skincare-50-mL-i.65323877.11318286953", "https://shopee.co.id/Olay-Serum-Wajah-Regenerist-Anti-Aging-Skincare-50-mL-i.65323877.11318286953")</f>
        <v>https://shopee.co.id/Olay-Serum-Wajah-Regenerist-Anti-Aging-Skincare-50-mL-i.65323877.11318286953</v>
      </c>
      <c r="C3367" s="8" t="s">
        <v>317</v>
      </c>
      <c r="D3367" s="8" t="s">
        <v>1600</v>
      </c>
      <c r="E3367" s="8" t="s">
        <v>12</v>
      </c>
      <c r="F3367" s="8" t="s">
        <v>13</v>
      </c>
      <c r="G3367" s="8" t="s">
        <v>296</v>
      </c>
      <c r="H3367" s="16">
        <v>0.0</v>
      </c>
      <c r="I3367" s="15" t="str">
        <f>SUBSTITUTE(Sheet1!K3367, "Rp", "")</f>
        <v>0</v>
      </c>
    </row>
    <row r="3368">
      <c r="A3368" s="8" t="s">
        <v>4685</v>
      </c>
      <c r="B3368" s="13" t="str">
        <f>HYPERLINK("https://shopee.co.id/Olay-Total-Effect-Anti-Aging-Serum-50g-144339--i.16735262.6683871526", "https://shopee.co.id/Olay-Total-Effect-Anti-Aging-Serum-50g-144339--i.16735262.6683871526")</f>
        <v>https://shopee.co.id/Olay-Total-Effect-Anti-Aging-Serum-50g-144339--i.16735262.6683871526</v>
      </c>
      <c r="C3368" s="8" t="s">
        <v>317</v>
      </c>
      <c r="D3368" s="8" t="s">
        <v>3598</v>
      </c>
      <c r="E3368" s="8" t="s">
        <v>12</v>
      </c>
      <c r="F3368" s="8" t="s">
        <v>13</v>
      </c>
      <c r="G3368" s="8" t="s">
        <v>36</v>
      </c>
      <c r="H3368" s="16">
        <v>0.0</v>
      </c>
      <c r="I3368" s="15" t="str">
        <f>SUBSTITUTE(Sheet1!K3368, "Rp", "")</f>
        <v>0</v>
      </c>
    </row>
    <row r="3369">
      <c r="A3369" s="8" t="s">
        <v>4686</v>
      </c>
      <c r="B3369" s="13" t="str">
        <f>HYPERLINK("https://shopee.co.id/Olay-Total-Effect-Serum-50ml-i.30736001.431557936", "https://shopee.co.id/Olay-Total-Effect-Serum-50ml-i.30736001.431557936")</f>
        <v>https://shopee.co.id/Olay-Total-Effect-Serum-50ml-i.30736001.431557936</v>
      </c>
      <c r="C3369" s="8" t="s">
        <v>317</v>
      </c>
      <c r="D3369" s="8" t="s">
        <v>335</v>
      </c>
      <c r="E3369" s="8" t="s">
        <v>12</v>
      </c>
      <c r="F3369" s="8" t="s">
        <v>13</v>
      </c>
      <c r="G3369" s="8" t="s">
        <v>36</v>
      </c>
      <c r="H3369" s="16">
        <v>0.0</v>
      </c>
      <c r="I3369" s="15" t="str">
        <f>SUBSTITUTE(Sheet1!K3369, "Rp", "")</f>
        <v>0</v>
      </c>
    </row>
    <row r="3370">
      <c r="A3370" s="8" t="s">
        <v>4687</v>
      </c>
      <c r="B3370" s="13" t="str">
        <f>HYPERLINK("https://shopee.co.id/Olay-White-Radiance-Essence-7Ml-i.186214521.3890115803", "https://shopee.co.id/Olay-White-Radiance-Essence-7Ml-i.186214521.3890115803")</f>
        <v>https://shopee.co.id/Olay-White-Radiance-Essence-7Ml-i.186214521.3890115803</v>
      </c>
      <c r="C3370" s="8" t="s">
        <v>317</v>
      </c>
      <c r="D3370" s="8" t="s">
        <v>2293</v>
      </c>
      <c r="E3370" s="8" t="s">
        <v>12</v>
      </c>
      <c r="F3370" s="8" t="s">
        <v>13</v>
      </c>
      <c r="G3370" s="8" t="s">
        <v>3901</v>
      </c>
      <c r="H3370" s="16">
        <v>0.0</v>
      </c>
      <c r="I3370" s="15" t="str">
        <f>SUBSTITUTE(Sheet1!K3370, "Rp", "")</f>
        <v>0</v>
      </c>
    </row>
    <row r="3371">
      <c r="A3371" s="8" t="s">
        <v>4688</v>
      </c>
      <c r="B3371" s="13" t="str">
        <f>HYPERLINK("https://shopee.co.id/Olay-White-Radiance-Light-Perfecting-Essence-7-Ml-i.36998337.6879915150", "https://shopee.co.id/Olay-White-Radiance-Light-Perfecting-Essence-7-Ml-i.36998337.6879915150")</f>
        <v>https://shopee.co.id/Olay-White-Radiance-Light-Perfecting-Essence-7-Ml-i.36998337.6879915150</v>
      </c>
      <c r="C3371" s="8" t="s">
        <v>317</v>
      </c>
      <c r="D3371" s="8" t="s">
        <v>2449</v>
      </c>
      <c r="E3371" s="8" t="s">
        <v>12</v>
      </c>
      <c r="F3371" s="8" t="s">
        <v>13</v>
      </c>
      <c r="G3371" s="8" t="s">
        <v>98</v>
      </c>
      <c r="H3371" s="16">
        <v>0.0</v>
      </c>
      <c r="I3371" s="15" t="str">
        <f>SUBSTITUTE(Sheet1!K3371, "Rp", "")</f>
        <v>0</v>
      </c>
    </row>
    <row r="3372">
      <c r="A3372" s="8" t="s">
        <v>4689</v>
      </c>
      <c r="B3372" s="13" t="str">
        <f>HYPERLINK("https://shopee.co.id/OMNISKIN-Cica-Bakuchiol-6in1-Blemish-Serum-i.68111.10200411102", "https://shopee.co.id/OMNISKIN-Cica-Bakuchiol-6in1-Blemish-Serum-i.68111.10200411102")</f>
        <v>https://shopee.co.id/OMNISKIN-Cica-Bakuchiol-6in1-Blemish-Serum-i.68111.10200411102</v>
      </c>
      <c r="C3372" s="8" t="s">
        <v>2268</v>
      </c>
      <c r="D3372" s="8" t="s">
        <v>441</v>
      </c>
      <c r="E3372" s="8" t="s">
        <v>12</v>
      </c>
      <c r="F3372" s="8" t="s">
        <v>13</v>
      </c>
      <c r="G3372" s="8" t="s">
        <v>130</v>
      </c>
      <c r="H3372" s="16">
        <v>0.0</v>
      </c>
      <c r="I3372" s="15" t="str">
        <f>SUBSTITUTE(Sheet1!K3372, "Rp", "")</f>
        <v>0</v>
      </c>
    </row>
    <row r="3373">
      <c r="A3373" s="8" t="s">
        <v>4690</v>
      </c>
      <c r="B3373" s="13" t="str">
        <f>HYPERLINK("https://shopee.co.id/Omniskin-Cica-Bakuchiol-Blemish-Serum-6in1-16ml-i.136011044.7587352858", "https://shopee.co.id/Omniskin-Cica-Bakuchiol-Blemish-Serum-6in1-16ml-i.136011044.7587352858")</f>
        <v>https://shopee.co.id/Omniskin-Cica-Bakuchiol-Blemish-Serum-6in1-16ml-i.136011044.7587352858</v>
      </c>
      <c r="C3373" s="8" t="s">
        <v>2268</v>
      </c>
      <c r="D3373" s="8" t="s">
        <v>632</v>
      </c>
      <c r="E3373" s="8" t="s">
        <v>12</v>
      </c>
      <c r="F3373" s="8" t="s">
        <v>13</v>
      </c>
      <c r="G3373" s="8" t="s">
        <v>21</v>
      </c>
      <c r="H3373" s="16">
        <v>0.0</v>
      </c>
      <c r="I3373" s="15" t="str">
        <f>SUBSTITUTE(Sheet1!K3373, "Rp", "")</f>
        <v>0</v>
      </c>
    </row>
    <row r="3374">
      <c r="A3374" s="8" t="s">
        <v>4691</v>
      </c>
      <c r="B3374" s="13" t="str">
        <f>HYPERLINK("https://shopee.co.id/Organic-Supply-Co-Acne-Fighter-Bundle-i.12027043.4960362674", "https://shopee.co.id/Organic-Supply-Co-Acne-Fighter-Bundle-i.12027043.4960362674")</f>
        <v>https://shopee.co.id/Organic-Supply-Co-Acne-Fighter-Bundle-i.12027043.4960362674</v>
      </c>
      <c r="C3374" s="8" t="s">
        <v>4692</v>
      </c>
      <c r="D3374" s="8" t="s">
        <v>4693</v>
      </c>
      <c r="E3374" s="8" t="s">
        <v>12</v>
      </c>
      <c r="F3374" s="8" t="s">
        <v>13</v>
      </c>
      <c r="G3374" s="8" t="s">
        <v>98</v>
      </c>
      <c r="H3374" s="16">
        <v>0.0</v>
      </c>
      <c r="I3374" s="15" t="str">
        <f>SUBSTITUTE(Sheet1!K3374, "Rp", "")</f>
        <v>0</v>
      </c>
    </row>
    <row r="3375">
      <c r="A3375" s="8" t="s">
        <v>4694</v>
      </c>
      <c r="B3375" s="13" t="str">
        <f>HYPERLINK("https://shopee.co.id/Organic-Supply-Co-Hydrating-Mask-Bundle-i.12027043.3860460566", "https://shopee.co.id/Organic-Supply-Co-Hydrating-Mask-Bundle-i.12027043.3860460566")</f>
        <v>https://shopee.co.id/Organic-Supply-Co-Hydrating-Mask-Bundle-i.12027043.3860460566</v>
      </c>
      <c r="C3375" s="8" t="s">
        <v>4692</v>
      </c>
      <c r="D3375" s="8" t="s">
        <v>4693</v>
      </c>
      <c r="E3375" s="8" t="s">
        <v>12</v>
      </c>
      <c r="F3375" s="8" t="s">
        <v>13</v>
      </c>
      <c r="G3375" s="8" t="s">
        <v>98</v>
      </c>
      <c r="H3375" s="16">
        <v>0.0</v>
      </c>
      <c r="I3375" s="15" t="str">
        <f>SUBSTITUTE(Sheet1!K3375, "Rp", "")</f>
        <v>0</v>
      </c>
    </row>
    <row r="3376">
      <c r="A3376" s="8" t="s">
        <v>4695</v>
      </c>
      <c r="B3376" s="13" t="str">
        <f>HYPERLINK("https://shopee.co.id/ORIIGNAL-Serum-Nature-Reaction-Pemutih-Wajah-Glowing-i.375565670.11228131282", "https://shopee.co.id/ORIIGNAL-Serum-Nature-Reaction-Pemutih-Wajah-Glowing-i.375565670.11228131282")</f>
        <v>https://shopee.co.id/ORIIGNAL-Serum-Nature-Reaction-Pemutih-Wajah-Glowing-i.375565670.11228131282</v>
      </c>
      <c r="C3376" s="8" t="s">
        <v>530</v>
      </c>
      <c r="D3376" s="8" t="s">
        <v>531</v>
      </c>
      <c r="E3376" s="8" t="s">
        <v>12</v>
      </c>
      <c r="F3376" s="8" t="s">
        <v>13</v>
      </c>
      <c r="G3376" s="8" t="s">
        <v>532</v>
      </c>
      <c r="H3376" s="16">
        <v>0.0</v>
      </c>
      <c r="I3376" s="15" t="str">
        <f>SUBSTITUTE(Sheet1!K3376, "Rp", "")</f>
        <v>0</v>
      </c>
    </row>
    <row r="3377">
      <c r="A3377" s="8" t="s">
        <v>4696</v>
      </c>
      <c r="B3377" s="13" t="str">
        <f>HYPERLINK("https://shopee.co.id/Ottie-Green-Tea-Emulsion-i.76781053.5001971519", "https://shopee.co.id/Ottie-Green-Tea-Emulsion-i.76781053.5001971519")</f>
        <v>https://shopee.co.id/Ottie-Green-Tea-Emulsion-i.76781053.5001971519</v>
      </c>
      <c r="C3377" s="8" t="s">
        <v>4697</v>
      </c>
      <c r="D3377" s="8" t="s">
        <v>4698</v>
      </c>
      <c r="E3377" s="8" t="s">
        <v>12</v>
      </c>
      <c r="F3377" s="8" t="s">
        <v>13</v>
      </c>
      <c r="G3377" s="8" t="s">
        <v>98</v>
      </c>
      <c r="H3377" s="16">
        <v>0.0</v>
      </c>
      <c r="I3377" s="15" t="str">
        <f>SUBSTITUTE(Sheet1!K3377, "Rp", "")</f>
        <v>0</v>
      </c>
    </row>
    <row r="3378">
      <c r="A3378" s="8" t="s">
        <v>4699</v>
      </c>
      <c r="B3378" s="13" t="str">
        <f>HYPERLINK("https://shopee.co.id/Ovale-Essential-Vitamin-Lightening-Jar-30-Kapsul-i.65323877.8079239126", "https://shopee.co.id/Ovale-Essential-Vitamin-Lightening-Jar-30-Kapsul-i.65323877.8079239126")</f>
        <v>https://shopee.co.id/Ovale-Essential-Vitamin-Lightening-Jar-30-Kapsul-i.65323877.8079239126</v>
      </c>
      <c r="C3378" s="8" t="s">
        <v>2791</v>
      </c>
      <c r="D3378" s="8" t="s">
        <v>1600</v>
      </c>
      <c r="E3378" s="8" t="s">
        <v>12</v>
      </c>
      <c r="F3378" s="8" t="s">
        <v>13</v>
      </c>
      <c r="G3378" s="8" t="s">
        <v>296</v>
      </c>
      <c r="H3378" s="16">
        <v>0.0</v>
      </c>
      <c r="I3378" s="15" t="str">
        <f>SUBSTITUTE(Sheet1!K3378, "Rp", "")</f>
        <v>0</v>
      </c>
    </row>
    <row r="3379">
      <c r="A3379" s="8" t="s">
        <v>4700</v>
      </c>
      <c r="B3379" s="13" t="str">
        <f>HYPERLINK("https://shopee.co.id/Ozora-Brightening-Treatment-Essence-i.33050847.6570593695", "https://shopee.co.id/Ozora-Brightening-Treatment-Essence-i.33050847.6570593695")</f>
        <v>https://shopee.co.id/Ozora-Brightening-Treatment-Essence-i.33050847.6570593695</v>
      </c>
      <c r="C3379" s="8" t="s">
        <v>4701</v>
      </c>
      <c r="D3379" s="8" t="s">
        <v>2083</v>
      </c>
      <c r="E3379" s="8" t="s">
        <v>12</v>
      </c>
      <c r="F3379" s="8" t="s">
        <v>13</v>
      </c>
      <c r="G3379" s="8" t="s">
        <v>85</v>
      </c>
      <c r="H3379" s="16">
        <v>0.0</v>
      </c>
      <c r="I3379" s="15" t="str">
        <f>SUBSTITUTE(Sheet1!K3379, "Rp", "")</f>
        <v>0</v>
      </c>
    </row>
    <row r="3380">
      <c r="A3380" s="8" t="s">
        <v>4702</v>
      </c>
      <c r="B3380" s="13" t="str">
        <f>HYPERLINK("https://shopee.co.id/Pemutih-Wajah-Serum-Nature-Reaction-Pencerah-Wajah-Penghilang-Flek-Sudah-BPOM-i.375565670.11928140052", "https://shopee.co.id/Pemutih-Wajah-Serum-Nature-Reaction-Pencerah-Wajah-Penghilang-Flek-Sudah-BPOM-i.375565670.11928140052")</f>
        <v>https://shopee.co.id/Pemutih-Wajah-Serum-Nature-Reaction-Pencerah-Wajah-Penghilang-Flek-Sudah-BPOM-i.375565670.11928140052</v>
      </c>
      <c r="C3380" s="8" t="s">
        <v>530</v>
      </c>
      <c r="D3380" s="8" t="s">
        <v>531</v>
      </c>
      <c r="E3380" s="8" t="s">
        <v>12</v>
      </c>
      <c r="F3380" s="8" t="s">
        <v>13</v>
      </c>
      <c r="G3380" s="8" t="s">
        <v>532</v>
      </c>
      <c r="H3380" s="16">
        <v>0.0</v>
      </c>
      <c r="I3380" s="15" t="str">
        <f>SUBSTITUTE(Sheet1!K3380, "Rp", "")</f>
        <v>0</v>
      </c>
    </row>
    <row r="3381">
      <c r="A3381" s="8" t="s">
        <v>4703</v>
      </c>
      <c r="B3381" s="13" t="str">
        <f>HYPERLINK("https://shopee.co.id/Pencerah-Kulit-Wajah-Dr-Boyke-Wish-Lightening-Emulsion-100-mL-i.18163317.340020279", "https://shopee.co.id/Pencerah-Kulit-Wajah-Dr-Boyke-Wish-Lightening-Emulsion-100-mL-i.18163317.340020279")</f>
        <v>https://shopee.co.id/Pencerah-Kulit-Wajah-Dr-Boyke-Wish-Lightening-Emulsion-100-mL-i.18163317.340020279</v>
      </c>
      <c r="C3381" s="8" t="s">
        <v>4704</v>
      </c>
      <c r="D3381" s="8" t="s">
        <v>3715</v>
      </c>
      <c r="E3381" s="8" t="s">
        <v>12</v>
      </c>
      <c r="F3381" s="8" t="s">
        <v>13</v>
      </c>
      <c r="G3381" s="8" t="s">
        <v>98</v>
      </c>
      <c r="H3381" s="16">
        <v>0.0</v>
      </c>
      <c r="I3381" s="15" t="str">
        <f>SUBSTITUTE(Sheet1!K3381, "Rp", "")</f>
        <v>0</v>
      </c>
    </row>
    <row r="3382">
      <c r="A3382" s="8" t="s">
        <v>4705</v>
      </c>
      <c r="B3382" s="13" t="str">
        <f>HYPERLINK("https://shopee.co.id/Phyto-Niacin-Whitening-Simple-Set-i.238604292.8119371849", "https://shopee.co.id/Phyto-Niacin-Whitening-Simple-Set-i.238604292.8119371849")</f>
        <v>https://shopee.co.id/Phyto-Niacin-Whitening-Simple-Set-i.238604292.8119371849</v>
      </c>
      <c r="C3382" s="8" t="s">
        <v>344</v>
      </c>
      <c r="D3382" s="8" t="s">
        <v>918</v>
      </c>
      <c r="E3382" s="8" t="s">
        <v>12</v>
      </c>
      <c r="F3382" s="8" t="s">
        <v>13</v>
      </c>
      <c r="G3382" s="8" t="s">
        <v>80</v>
      </c>
      <c r="H3382" s="16">
        <v>0.0</v>
      </c>
      <c r="I3382" s="15" t="str">
        <f>SUBSTITUTE(Sheet1!K3382, "Rp", "")</f>
        <v>0</v>
      </c>
    </row>
    <row r="3383">
      <c r="A3383" s="8" t="s">
        <v>4706</v>
      </c>
      <c r="B3383" s="13" t="str">
        <f>HYPERLINK("https://shopee.co.id/PIKA-Serum-Wajah-Face-Serum-Dry-Skin-100-Murni-Alami-20ML-i.279873617.4258373102", "https://shopee.co.id/PIKA-Serum-Wajah-Face-Serum-Dry-Skin-100-Murni-Alami-20ML-i.279873617.4258373102")</f>
        <v>https://shopee.co.id/PIKA-Serum-Wajah-Face-Serum-Dry-Skin-100-Murni-Alami-20ML-i.279873617.4258373102</v>
      </c>
      <c r="C3383" s="8" t="s">
        <v>4707</v>
      </c>
      <c r="D3383" s="8" t="s">
        <v>4708</v>
      </c>
      <c r="E3383" s="8" t="s">
        <v>12</v>
      </c>
      <c r="F3383" s="8" t="s">
        <v>13</v>
      </c>
      <c r="G3383" s="8" t="s">
        <v>21</v>
      </c>
      <c r="H3383" s="16">
        <v>0.0</v>
      </c>
      <c r="I3383" s="15" t="str">
        <f>SUBSTITUTE(Sheet1!K3383, "Rp", "")</f>
        <v>0</v>
      </c>
    </row>
    <row r="3384">
      <c r="A3384" s="8" t="s">
        <v>4709</v>
      </c>
      <c r="B3384" s="13" t="str">
        <f>HYPERLINK("https://shopee.co.id/PIKA-Serum-Wajah-Face-Serum-SD-Scarring-Discoloration-100-Murni-i.279873617.6260267599", "https://shopee.co.id/PIKA-Serum-Wajah-Face-Serum-SD-Scarring-Discoloration-100-Murni-i.279873617.6260267599")</f>
        <v>https://shopee.co.id/PIKA-Serum-Wajah-Face-Serum-SD-Scarring-Discoloration-100-Murni-i.279873617.6260267599</v>
      </c>
      <c r="C3384" s="8" t="s">
        <v>4710</v>
      </c>
      <c r="D3384" s="8" t="s">
        <v>4708</v>
      </c>
      <c r="E3384" s="8" t="s">
        <v>12</v>
      </c>
      <c r="F3384" s="8" t="s">
        <v>13</v>
      </c>
      <c r="G3384" s="8" t="s">
        <v>21</v>
      </c>
      <c r="H3384" s="16">
        <v>0.0</v>
      </c>
      <c r="I3384" s="15" t="str">
        <f>SUBSTITUTE(Sheet1!K3384, "Rp", "")</f>
        <v>0</v>
      </c>
    </row>
    <row r="3385">
      <c r="A3385" s="8" t="s">
        <v>4711</v>
      </c>
      <c r="B3385" s="13" t="str">
        <f>HYPERLINK("https://shopee.co.id/PIKA-Serum-Wajah-Face-Serum-Sensitive-Skin-100-Murni-Alami-20ML-i.279873617.4558368905", "https://shopee.co.id/PIKA-Serum-Wajah-Face-Serum-Sensitive-Skin-100-Murni-Alami-20ML-i.279873617.4558368905")</f>
        <v>https://shopee.co.id/PIKA-Serum-Wajah-Face-Serum-Sensitive-Skin-100-Murni-Alami-20ML-i.279873617.4558368905</v>
      </c>
      <c r="C3385" s="8" t="s">
        <v>4710</v>
      </c>
      <c r="D3385" s="8" t="s">
        <v>4708</v>
      </c>
      <c r="E3385" s="8" t="s">
        <v>12</v>
      </c>
      <c r="F3385" s="8" t="s">
        <v>13</v>
      </c>
      <c r="G3385" s="8" t="s">
        <v>21</v>
      </c>
      <c r="H3385" s="16">
        <v>0.0</v>
      </c>
      <c r="I3385" s="15" t="str">
        <f>SUBSTITUTE(Sheet1!K3385, "Rp", "")</f>
        <v>0</v>
      </c>
    </row>
    <row r="3386">
      <c r="A3386" s="8" t="s">
        <v>4712</v>
      </c>
      <c r="B3386" s="13" t="str">
        <f>HYPERLINK("https://shopee.co.id/Pixy-Aqua-Brightening-Serum-18ml-423577--i.16735262.3362106767", "https://shopee.co.id/Pixy-Aqua-Brightening-Serum-18ml-423577--i.16735262.3362106767")</f>
        <v>https://shopee.co.id/Pixy-Aqua-Brightening-Serum-18ml-423577--i.16735262.3362106767</v>
      </c>
      <c r="C3386" s="8" t="s">
        <v>1398</v>
      </c>
      <c r="D3386" s="8" t="s">
        <v>3598</v>
      </c>
      <c r="E3386" s="8" t="s">
        <v>12</v>
      </c>
      <c r="F3386" s="8" t="s">
        <v>13</v>
      </c>
      <c r="G3386" s="8" t="s">
        <v>36</v>
      </c>
      <c r="H3386" s="16">
        <v>0.0</v>
      </c>
      <c r="I3386" s="15" t="str">
        <f>SUBSTITUTE(Sheet1!K3386, "Rp", "")</f>
        <v>0</v>
      </c>
    </row>
    <row r="3387">
      <c r="A3387" s="8" t="s">
        <v>4713</v>
      </c>
      <c r="B3387" s="13" t="str">
        <f>HYPERLINK("https://shopee.co.id/Pixy-Aqua-Hydra-Moist-Essence-125ml-423576--i.16735262.5762005777", "https://shopee.co.id/Pixy-Aqua-Hydra-Moist-Essence-125ml-423576--i.16735262.5762005777")</f>
        <v>https://shopee.co.id/Pixy-Aqua-Hydra-Moist-Essence-125ml-423576--i.16735262.5762005777</v>
      </c>
      <c r="C3387" s="8" t="s">
        <v>1398</v>
      </c>
      <c r="D3387" s="8" t="s">
        <v>3598</v>
      </c>
      <c r="E3387" s="8" t="s">
        <v>12</v>
      </c>
      <c r="F3387" s="8" t="s">
        <v>13</v>
      </c>
      <c r="G3387" s="8" t="s">
        <v>36</v>
      </c>
      <c r="H3387" s="16">
        <v>0.0</v>
      </c>
      <c r="I3387" s="15" t="str">
        <f>SUBSTITUTE(Sheet1!K3387, "Rp", "")</f>
        <v>0</v>
      </c>
    </row>
    <row r="3388">
      <c r="A3388" s="8" t="s">
        <v>4714</v>
      </c>
      <c r="B3388" s="13" t="str">
        <f>HYPERLINK("https://shopee.co.id/PIXY-White-Aqua-Concentrated-Brightening-Serum-i.68111.7478963058", "https://shopee.co.id/PIXY-White-Aqua-Concentrated-Brightening-Serum-i.68111.7478963058")</f>
        <v>https://shopee.co.id/PIXY-White-Aqua-Concentrated-Brightening-Serum-i.68111.7478963058</v>
      </c>
      <c r="C3388" s="8" t="s">
        <v>1398</v>
      </c>
      <c r="D3388" s="8" t="s">
        <v>441</v>
      </c>
      <c r="E3388" s="8" t="s">
        <v>12</v>
      </c>
      <c r="F3388" s="8" t="s">
        <v>13</v>
      </c>
      <c r="G3388" s="8" t="s">
        <v>130</v>
      </c>
      <c r="H3388" s="16">
        <v>0.0</v>
      </c>
      <c r="I3388" s="15" t="str">
        <f>SUBSTITUTE(Sheet1!K3388, "Rp", "")</f>
        <v>0</v>
      </c>
    </row>
    <row r="3389">
      <c r="A3389" s="8" t="s">
        <v>4715</v>
      </c>
      <c r="B3389" s="13" t="str">
        <f>HYPERLINK("https://shopee.co.id/Pixy-White-Aqua-Hydra-Moist-Essence-i.30736001.3692208122", "https://shopee.co.id/Pixy-White-Aqua-Hydra-Moist-Essence-i.30736001.3692208122")</f>
        <v>https://shopee.co.id/Pixy-White-Aqua-Hydra-Moist-Essence-i.30736001.3692208122</v>
      </c>
      <c r="C3389" s="8" t="s">
        <v>1398</v>
      </c>
      <c r="D3389" s="8" t="s">
        <v>335</v>
      </c>
      <c r="E3389" s="8" t="s">
        <v>12</v>
      </c>
      <c r="F3389" s="8" t="s">
        <v>13</v>
      </c>
      <c r="G3389" s="8" t="s">
        <v>36</v>
      </c>
      <c r="H3389" s="16">
        <v>0.0</v>
      </c>
      <c r="I3389" s="15" t="str">
        <f>SUBSTITUTE(Sheet1!K3389, "Rp", "")</f>
        <v>0</v>
      </c>
    </row>
    <row r="3390">
      <c r="A3390" s="8" t="s">
        <v>4715</v>
      </c>
      <c r="B3390" s="13" t="str">
        <f>HYPERLINK("https://shopee.co.id/Pixy-White-Aqua-Hydra-Moist-Essence-i.65323877.6894819908", "https://shopee.co.id/Pixy-White-Aqua-Hydra-Moist-Essence-i.65323877.6894819908")</f>
        <v>https://shopee.co.id/Pixy-White-Aqua-Hydra-Moist-Essence-i.65323877.6894819908</v>
      </c>
      <c r="C3390" s="8" t="s">
        <v>1398</v>
      </c>
      <c r="D3390" s="8" t="s">
        <v>1600</v>
      </c>
      <c r="E3390" s="8" t="s">
        <v>12</v>
      </c>
      <c r="F3390" s="8" t="s">
        <v>13</v>
      </c>
      <c r="G3390" s="8" t="s">
        <v>296</v>
      </c>
      <c r="H3390" s="16">
        <v>0.0</v>
      </c>
      <c r="I3390" s="15" t="str">
        <f>SUBSTITUTE(Sheet1!K3390, "Rp", "")</f>
        <v>0</v>
      </c>
    </row>
    <row r="3391">
      <c r="A3391" s="8" t="s">
        <v>4716</v>
      </c>
      <c r="B3391" s="13" t="str">
        <f>HYPERLINK("https://shopee.co.id/PIXY-White-Aqua-Hydra-Moist-Essence-125ml-i.68111.4478964974", "https://shopee.co.id/PIXY-White-Aqua-Hydra-Moist-Essence-125ml-i.68111.4478964974")</f>
        <v>https://shopee.co.id/PIXY-White-Aqua-Hydra-Moist-Essence-125ml-i.68111.4478964974</v>
      </c>
      <c r="C3391" s="8" t="s">
        <v>1398</v>
      </c>
      <c r="D3391" s="8" t="s">
        <v>441</v>
      </c>
      <c r="E3391" s="8" t="s">
        <v>12</v>
      </c>
      <c r="F3391" s="8" t="s">
        <v>13</v>
      </c>
      <c r="G3391" s="8" t="s">
        <v>130</v>
      </c>
      <c r="H3391" s="16">
        <v>0.0</v>
      </c>
      <c r="I3391" s="15" t="str">
        <f>SUBSTITUTE(Sheet1!K3391, "Rp", "")</f>
        <v>0</v>
      </c>
    </row>
    <row r="3392">
      <c r="A3392" s="8" t="s">
        <v>4717</v>
      </c>
      <c r="B3392" s="13" t="str">
        <f>HYPERLINK("https://shopee.co.id/Placentor-Serum-30-ml-i.36998337.6278289782", "https://shopee.co.id/Placentor-Serum-30-ml-i.36998337.6278289782")</f>
        <v>https://shopee.co.id/Placentor-Serum-30-ml-i.36998337.6278289782</v>
      </c>
      <c r="C3392" s="8" t="s">
        <v>2346</v>
      </c>
      <c r="D3392" s="8" t="s">
        <v>2449</v>
      </c>
      <c r="E3392" s="8" t="s">
        <v>12</v>
      </c>
      <c r="F3392" s="8" t="s">
        <v>13</v>
      </c>
      <c r="G3392" s="8" t="s">
        <v>98</v>
      </c>
      <c r="H3392" s="16">
        <v>0.0</v>
      </c>
      <c r="I3392" s="15" t="str">
        <f>SUBSTITUTE(Sheet1!K3392, "Rp", "")</f>
        <v>0</v>
      </c>
    </row>
    <row r="3393">
      <c r="A3393" s="8" t="s">
        <v>4718</v>
      </c>
      <c r="B3393" s="13" t="str">
        <f>HYPERLINK("https://shopee.co.id/POND-S-White-Beauty-Perfect-Potion-Essence-50Ml-i.187117294.5548079373", "https://shopee.co.id/POND-S-White-Beauty-Perfect-Potion-Essence-50Ml-i.187117294.5548079373")</f>
        <v>https://shopee.co.id/POND-S-White-Beauty-Perfect-Potion-Essence-50Ml-i.187117294.5548079373</v>
      </c>
      <c r="C3393" s="8" t="s">
        <v>325</v>
      </c>
      <c r="D3393" s="8" t="s">
        <v>2366</v>
      </c>
      <c r="E3393" s="8" t="s">
        <v>12</v>
      </c>
      <c r="F3393" s="8" t="s">
        <v>13</v>
      </c>
      <c r="G3393" s="8" t="s">
        <v>469</v>
      </c>
      <c r="H3393" s="16">
        <v>0.0</v>
      </c>
      <c r="I3393" s="15" t="str">
        <f>SUBSTITUTE(Sheet1!K3393, "Rp", "")</f>
        <v>0</v>
      </c>
    </row>
    <row r="3394">
      <c r="A3394" s="8" t="s">
        <v>4719</v>
      </c>
      <c r="B3394" s="13" t="str">
        <f>HYPERLINK("https://shopee.co.id/Pond-S-Age-Miracle-Youthful-Essence-30-Ml-Free-Sheet-Mask-i.14318452.8432525235", "https://shopee.co.id/Pond-S-Age-Miracle-Youthful-Essence-30-Ml-Free-Sheet-Mask-i.14318452.8432525235")</f>
        <v>https://shopee.co.id/Pond-S-Age-Miracle-Youthful-Essence-30-Ml-Free-Sheet-Mask-i.14318452.8432525235</v>
      </c>
      <c r="C3394" s="8" t="s">
        <v>325</v>
      </c>
      <c r="D3394" s="8" t="s">
        <v>326</v>
      </c>
      <c r="E3394" s="8" t="s">
        <v>12</v>
      </c>
      <c r="F3394" s="8" t="s">
        <v>13</v>
      </c>
      <c r="G3394" s="8" t="s">
        <v>296</v>
      </c>
      <c r="H3394" s="16">
        <v>0.0</v>
      </c>
      <c r="I3394" s="15" t="str">
        <f>SUBSTITUTE(Sheet1!K3394, "Rp", "")</f>
        <v>0</v>
      </c>
    </row>
    <row r="3395">
      <c r="A3395" s="8" t="s">
        <v>4720</v>
      </c>
      <c r="B3395" s="13" t="str">
        <f>HYPERLINK("https://shopee.co.id/Pond-s-White-Beauty-Perfect-Potion-Essence-110ml-i.186214521.5231720114", "https://shopee.co.id/Pond-s-White-Beauty-Perfect-Potion-Essence-110ml-i.186214521.5231720114")</f>
        <v>https://shopee.co.id/Pond-s-White-Beauty-Perfect-Potion-Essence-110ml-i.186214521.5231720114</v>
      </c>
      <c r="C3395" s="8" t="s">
        <v>325</v>
      </c>
      <c r="D3395" s="8" t="s">
        <v>2293</v>
      </c>
      <c r="E3395" s="8" t="s">
        <v>12</v>
      </c>
      <c r="F3395" s="8" t="s">
        <v>13</v>
      </c>
      <c r="G3395" s="8" t="s">
        <v>61</v>
      </c>
      <c r="H3395" s="16">
        <v>0.0</v>
      </c>
      <c r="I3395" s="15" t="str">
        <f>SUBSTITUTE(Sheet1!K3395, "Rp", "")</f>
        <v>0</v>
      </c>
    </row>
    <row r="3396">
      <c r="A3396" s="8" t="s">
        <v>4721</v>
      </c>
      <c r="B3396" s="13" t="str">
        <f>HYPERLINK("https://shopee.co.id/Ponds-Age-Miracle-Serum-Wajah-Retinol-Youthful-Glow-30-mL-i.65323877.6394451600", "https://shopee.co.id/Ponds-Age-Miracle-Serum-Wajah-Retinol-Youthful-Glow-30-mL-i.65323877.6394451600")</f>
        <v>https://shopee.co.id/Ponds-Age-Miracle-Serum-Wajah-Retinol-Youthful-Glow-30-mL-i.65323877.6394451600</v>
      </c>
      <c r="C3396" s="8" t="s">
        <v>325</v>
      </c>
      <c r="D3396" s="8" t="s">
        <v>1600</v>
      </c>
      <c r="E3396" s="8" t="s">
        <v>12</v>
      </c>
      <c r="F3396" s="8" t="s">
        <v>13</v>
      </c>
      <c r="G3396" s="8" t="s">
        <v>296</v>
      </c>
      <c r="H3396" s="16">
        <v>0.0</v>
      </c>
      <c r="I3396" s="15" t="str">
        <f>SUBSTITUTE(Sheet1!K3396, "Rp", "")</f>
        <v>0</v>
      </c>
    </row>
    <row r="3397">
      <c r="A3397" s="8" t="s">
        <v>4722</v>
      </c>
      <c r="B3397" s="13" t="str">
        <f>HYPERLINK("https://shopee.co.id/Ponds-Age-Miracle-Ultimate-Youth-Retinol-Essence-30-G-i.65323877.10218158931", "https://shopee.co.id/Ponds-Age-Miracle-Ultimate-Youth-Retinol-Essence-30-G-i.65323877.10218158931")</f>
        <v>https://shopee.co.id/Ponds-Age-Miracle-Ultimate-Youth-Retinol-Essence-30-G-i.65323877.10218158931</v>
      </c>
      <c r="C3397" s="8" t="s">
        <v>325</v>
      </c>
      <c r="D3397" s="8" t="s">
        <v>1600</v>
      </c>
      <c r="E3397" s="8" t="s">
        <v>12</v>
      </c>
      <c r="F3397" s="8" t="s">
        <v>13</v>
      </c>
      <c r="G3397" s="8" t="s">
        <v>296</v>
      </c>
      <c r="H3397" s="16">
        <v>0.0</v>
      </c>
      <c r="I3397" s="15" t="str">
        <f>SUBSTITUTE(Sheet1!K3397, "Rp", "")</f>
        <v>0</v>
      </c>
    </row>
    <row r="3398">
      <c r="A3398" s="8" t="s">
        <v>4722</v>
      </c>
      <c r="B3398" s="13" t="str">
        <f>HYPERLINK("https://shopee.co.id/Ponds-Age-Miracle-Ultimate-Youth-Retinol-Essence-30-G-i.14318452.4169373163", "https://shopee.co.id/Ponds-Age-Miracle-Ultimate-Youth-Retinol-Essence-30-G-i.14318452.4169373163")</f>
        <v>https://shopee.co.id/Ponds-Age-Miracle-Ultimate-Youth-Retinol-Essence-30-G-i.14318452.4169373163</v>
      </c>
      <c r="C3398" s="8" t="s">
        <v>325</v>
      </c>
      <c r="D3398" s="8" t="s">
        <v>326</v>
      </c>
      <c r="E3398" s="8" t="s">
        <v>12</v>
      </c>
      <c r="F3398" s="8" t="s">
        <v>13</v>
      </c>
      <c r="G3398" s="8" t="s">
        <v>296</v>
      </c>
      <c r="H3398" s="16">
        <v>0.0</v>
      </c>
      <c r="I3398" s="15" t="str">
        <f>SUBSTITUTE(Sheet1!K3398, "Rp", "")</f>
        <v>0</v>
      </c>
    </row>
    <row r="3399">
      <c r="A3399" s="8" t="s">
        <v>4723</v>
      </c>
      <c r="B3399" s="13" t="str">
        <f>HYPERLINK("https://shopee.co.id/Ponds-White-Beauty-Serum-Burst-Cream-20gr-i.186214521.6431339278", "https://shopee.co.id/Ponds-White-Beauty-Serum-Burst-Cream-20gr-i.186214521.6431339278")</f>
        <v>https://shopee.co.id/Ponds-White-Beauty-Serum-Burst-Cream-20gr-i.186214521.6431339278</v>
      </c>
      <c r="C3399" s="8" t="s">
        <v>325</v>
      </c>
      <c r="D3399" s="8" t="s">
        <v>2293</v>
      </c>
      <c r="E3399" s="8" t="s">
        <v>12</v>
      </c>
      <c r="F3399" s="8" t="s">
        <v>13</v>
      </c>
      <c r="G3399" s="8" t="s">
        <v>61</v>
      </c>
      <c r="H3399" s="16">
        <v>0.0</v>
      </c>
      <c r="I3399" s="15" t="str">
        <f>SUBSTITUTE(Sheet1!K3399, "Rp", "")</f>
        <v>0</v>
      </c>
    </row>
    <row r="3400">
      <c r="A3400" s="8" t="s">
        <v>4724</v>
      </c>
      <c r="B3400" s="13" t="str">
        <f>HYPERLINK("https://shopee.co.id/Pratista-Retinol-Renewal-Serum-30ml-i.825870.8675921486", "https://shopee.co.id/Pratista-Retinol-Renewal-Serum-30ml-i.825870.8675921486")</f>
        <v>https://shopee.co.id/Pratista-Retinol-Renewal-Serum-30ml-i.825870.8675921486</v>
      </c>
      <c r="C3400" s="8" t="s">
        <v>4725</v>
      </c>
      <c r="D3400" s="8" t="s">
        <v>1184</v>
      </c>
      <c r="E3400" s="8" t="s">
        <v>12</v>
      </c>
      <c r="F3400" s="8" t="s">
        <v>13</v>
      </c>
      <c r="G3400" s="8" t="s">
        <v>98</v>
      </c>
      <c r="H3400" s="16">
        <v>0.0</v>
      </c>
      <c r="I3400" s="15" t="str">
        <f>SUBSTITUTE(Sheet1!K3400, "Rp", "")</f>
        <v>0</v>
      </c>
    </row>
    <row r="3401">
      <c r="A3401" s="8" t="s">
        <v>4726</v>
      </c>
      <c r="B3401" s="13" t="str">
        <f>HYPERLINK("https://shopee.co.id/Pratista-Vit-C-Serum-30ml-i.825870.3994061066", "https://shopee.co.id/Pratista-Vit-C-Serum-30ml-i.825870.3994061066")</f>
        <v>https://shopee.co.id/Pratista-Vit-C-Serum-30ml-i.825870.3994061066</v>
      </c>
      <c r="C3401" s="8" t="s">
        <v>4725</v>
      </c>
      <c r="D3401" s="8" t="s">
        <v>1184</v>
      </c>
      <c r="E3401" s="8" t="s">
        <v>12</v>
      </c>
      <c r="F3401" s="8" t="s">
        <v>13</v>
      </c>
      <c r="G3401" s="8" t="s">
        <v>21</v>
      </c>
      <c r="H3401" s="16">
        <v>0.0</v>
      </c>
      <c r="I3401" s="15" t="str">
        <f>SUBSTITUTE(Sheet1!K3401, "Rp", "")</f>
        <v>0</v>
      </c>
    </row>
    <row r="3402">
      <c r="A3402" s="8" t="s">
        <v>4727</v>
      </c>
      <c r="B3402" s="13" t="str">
        <f>HYPERLINK("https://shopee.co.id/Probio-C-Spray-50-ML-i.353462148.7269693276", "https://shopee.co.id/Probio-C-Spray-50-ML-i.353462148.7269693276")</f>
        <v>https://shopee.co.id/Probio-C-Spray-50-ML-i.353462148.7269693276</v>
      </c>
      <c r="C3402" s="8" t="s">
        <v>2671</v>
      </c>
      <c r="D3402" s="8" t="s">
        <v>4639</v>
      </c>
      <c r="E3402" s="8" t="s">
        <v>12</v>
      </c>
      <c r="F3402" s="8" t="s">
        <v>13</v>
      </c>
      <c r="G3402" s="8" t="s">
        <v>945</v>
      </c>
      <c r="H3402" s="16">
        <v>0.0</v>
      </c>
      <c r="I3402" s="15" t="str">
        <f>SUBSTITUTE(Sheet1!K3402, "Rp", "")</f>
        <v>0</v>
      </c>
    </row>
    <row r="3403">
      <c r="A3403" s="8" t="s">
        <v>4728</v>
      </c>
      <c r="B3403" s="13" t="str">
        <f>HYPERLINK("https://shopee.co.id/Promo-Dr-Ekles-Skincare-Serum-Vit-C-Kolagen-i.294944553.12004814910", "https://shopee.co.id/Promo-Dr-Ekles-Skincare-Serum-Vit-C-Kolagen-i.294944553.12004814910")</f>
        <v>https://shopee.co.id/Promo-Dr-Ekles-Skincare-Serum-Vit-C-Kolagen-i.294944553.12004814910</v>
      </c>
      <c r="C3403" s="8" t="s">
        <v>1487</v>
      </c>
      <c r="D3403" s="8" t="s">
        <v>1488</v>
      </c>
      <c r="E3403" s="8" t="s">
        <v>12</v>
      </c>
      <c r="F3403" s="8" t="s">
        <v>13</v>
      </c>
      <c r="G3403" s="8" t="s">
        <v>61</v>
      </c>
      <c r="H3403" s="16">
        <v>0.0</v>
      </c>
      <c r="I3403" s="15" t="str">
        <f>SUBSTITUTE(Sheet1!K3403, "Rp", "")</f>
        <v>0</v>
      </c>
    </row>
    <row r="3404">
      <c r="A3404" s="8" t="s">
        <v>4729</v>
      </c>
      <c r="B3404" s="13" t="str">
        <f>HYPERLINK("https://shopee.co.id/PROMO-Vienka-Skin-Care-Skincare-Saffron-Shafron-Safron-Brightening-Serum-2-Pcs-BPOM-Halal-COD-i.332307361.9632168283", "https://shopee.co.id/PROMO-Vienka-Skin-Care-Skincare-Saffron-Shafron-Safron-Brightening-Serum-2-Pcs-BPOM-Halal-COD-i.332307361.9632168283")</f>
        <v>https://shopee.co.id/PROMO-Vienka-Skin-Care-Skincare-Saffron-Shafron-Safron-Brightening-Serum-2-Pcs-BPOM-Halal-COD-i.332307361.9632168283</v>
      </c>
      <c r="C3404" s="8" t="s">
        <v>2620</v>
      </c>
      <c r="D3404" s="8" t="s">
        <v>2621</v>
      </c>
      <c r="E3404" s="8" t="s">
        <v>12</v>
      </c>
      <c r="F3404" s="8" t="s">
        <v>13</v>
      </c>
      <c r="G3404" s="8" t="s">
        <v>296</v>
      </c>
      <c r="H3404" s="16">
        <v>0.0</v>
      </c>
      <c r="I3404" s="15" t="str">
        <f>SUBSTITUTE(Sheet1!K3404, "Rp", "")</f>
        <v>0</v>
      </c>
    </row>
    <row r="3405">
      <c r="A3405" s="8" t="s">
        <v>4730</v>
      </c>
      <c r="B3405" s="13" t="str">
        <f>HYPERLINK("https://shopee.co.id/PURECA-Botanical-Evening-Primrose-Oil-Serum-Oil-Treatment-Pure-Oil-Acne-Serum-Wajah-i.16729119.8881522014", "https://shopee.co.id/PURECA-Botanical-Evening-Primrose-Oil-Serum-Oil-Treatment-Pure-Oil-Acne-Serum-Wajah-i.16729119.8881522014")</f>
        <v>https://shopee.co.id/PURECA-Botanical-Evening-Primrose-Oil-Serum-Oil-Treatment-Pure-Oil-Acne-Serum-Wajah-i.16729119.8881522014</v>
      </c>
      <c r="C3405" s="8" t="s">
        <v>3534</v>
      </c>
      <c r="D3405" s="8" t="s">
        <v>3535</v>
      </c>
      <c r="E3405" s="8" t="s">
        <v>12</v>
      </c>
      <c r="F3405" s="8" t="s">
        <v>13</v>
      </c>
      <c r="G3405" s="8" t="s">
        <v>36</v>
      </c>
      <c r="H3405" s="16">
        <v>0.0</v>
      </c>
      <c r="I3405" s="15" t="str">
        <f>SUBSTITUTE(Sheet1!K3405, "Rp", "")</f>
        <v>0</v>
      </c>
    </row>
    <row r="3406">
      <c r="A3406" s="8" t="s">
        <v>4731</v>
      </c>
      <c r="B3406" s="13" t="str">
        <f>HYPERLINK("https://shopee.co.id/PURITO-Centella-Unscented-Serum-60ml-i.68111.9852395103", "https://shopee.co.id/PURITO-Centella-Unscented-Serum-60ml-i.68111.9852395103")</f>
        <v>https://shopee.co.id/PURITO-Centella-Unscented-Serum-60ml-i.68111.9852395103</v>
      </c>
      <c r="C3406" s="8" t="s">
        <v>1993</v>
      </c>
      <c r="D3406" s="8" t="s">
        <v>441</v>
      </c>
      <c r="E3406" s="8" t="s">
        <v>12</v>
      </c>
      <c r="F3406" s="8" t="s">
        <v>13</v>
      </c>
      <c r="G3406" s="8" t="s">
        <v>130</v>
      </c>
      <c r="H3406" s="16">
        <v>0.0</v>
      </c>
      <c r="I3406" s="15" t="str">
        <f>SUBSTITUTE(Sheet1!K3406, "Rp", "")</f>
        <v>0</v>
      </c>
    </row>
    <row r="3407">
      <c r="A3407" s="8" t="s">
        <v>4732</v>
      </c>
      <c r="B3407" s="13" t="str">
        <f>HYPERLINK("https://shopee.co.id/Purito-Pure-Vitamin-C-Serum-60ml-i.825870.3646111635", "https://shopee.co.id/Purito-Pure-Vitamin-C-Serum-60ml-i.825870.3646111635")</f>
        <v>https://shopee.co.id/Purito-Pure-Vitamin-C-Serum-60ml-i.825870.3646111635</v>
      </c>
      <c r="C3407" s="8" t="s">
        <v>1993</v>
      </c>
      <c r="D3407" s="8" t="s">
        <v>1184</v>
      </c>
      <c r="E3407" s="8" t="s">
        <v>12</v>
      </c>
      <c r="F3407" s="8" t="s">
        <v>13</v>
      </c>
      <c r="G3407" s="8" t="s">
        <v>21</v>
      </c>
      <c r="H3407" s="16">
        <v>0.0</v>
      </c>
      <c r="I3407" s="15" t="str">
        <f>SUBSTITUTE(Sheet1!K3407, "Rp", "")</f>
        <v>0</v>
      </c>
    </row>
    <row r="3408">
      <c r="A3408" s="8" t="s">
        <v>4733</v>
      </c>
      <c r="B3408" s="13" t="str">
        <f>HYPERLINK("https://shopee.co.id/Purivera-Botanicals-Blue-Grapeseed-Serum-Oil-20ml-i.10689.8379153604", "https://shopee.co.id/Purivera-Botanicals-Blue-Grapeseed-Serum-Oil-20ml-i.10689.8379153604")</f>
        <v>https://shopee.co.id/Purivera-Botanicals-Blue-Grapeseed-Serum-Oil-20ml-i.10689.8379153604</v>
      </c>
      <c r="C3408" s="8" t="s">
        <v>428</v>
      </c>
      <c r="D3408" s="8" t="s">
        <v>745</v>
      </c>
      <c r="E3408" s="8" t="s">
        <v>12</v>
      </c>
      <c r="F3408" s="8" t="s">
        <v>13</v>
      </c>
      <c r="G3408" s="8" t="s">
        <v>61</v>
      </c>
      <c r="H3408" s="16">
        <v>0.0</v>
      </c>
      <c r="I3408" s="15" t="str">
        <f>SUBSTITUTE(Sheet1!K3408, "Rp", "")</f>
        <v>0</v>
      </c>
    </row>
    <row r="3409">
      <c r="A3409" s="8" t="s">
        <v>4734</v>
      </c>
      <c r="B3409" s="13" t="str">
        <f>HYPERLINK("https://shopee.co.id/Purivera-Botanicals-Everlasting-Tamanu-Serum-Oil-20ml-i.10689.6494803225", "https://shopee.co.id/Purivera-Botanicals-Everlasting-Tamanu-Serum-Oil-20ml-i.10689.6494803225")</f>
        <v>https://shopee.co.id/Purivera-Botanicals-Everlasting-Tamanu-Serum-Oil-20ml-i.10689.6494803225</v>
      </c>
      <c r="C3409" s="8" t="s">
        <v>940</v>
      </c>
      <c r="D3409" s="8" t="s">
        <v>745</v>
      </c>
      <c r="E3409" s="8" t="s">
        <v>12</v>
      </c>
      <c r="F3409" s="8" t="s">
        <v>13</v>
      </c>
      <c r="G3409" s="8" t="s">
        <v>61</v>
      </c>
      <c r="H3409" s="16">
        <v>0.0</v>
      </c>
      <c r="I3409" s="15" t="str">
        <f>SUBSTITUTE(Sheet1!K3409, "Rp", "")</f>
        <v>0</v>
      </c>
    </row>
    <row r="3410">
      <c r="A3410" s="8" t="s">
        <v>4735</v>
      </c>
      <c r="B3410" s="13" t="str">
        <f>HYPERLINK("https://shopee.co.id/Purivera-Combo-to-Brighten-your-Skindependence-Willow-bark-2-Chromabright-i.43724442.11329781001", "https://shopee.co.id/Purivera-Combo-to-Brighten-your-Skindependence-Willow-bark-2-Chromabright-i.43724442.11329781001")</f>
        <v>https://shopee.co.id/Purivera-Combo-to-Brighten-your-Skindependence-Willow-bark-2-Chromabright-i.43724442.11329781001</v>
      </c>
      <c r="C3410" s="8" t="s">
        <v>428</v>
      </c>
      <c r="D3410" s="8" t="s">
        <v>429</v>
      </c>
      <c r="E3410" s="8" t="s">
        <v>12</v>
      </c>
      <c r="F3410" s="8" t="s">
        <v>13</v>
      </c>
      <c r="G3410" s="8" t="s">
        <v>61</v>
      </c>
      <c r="H3410" s="16">
        <v>0.0</v>
      </c>
      <c r="I3410" s="15" t="str">
        <f>SUBSTITUTE(Sheet1!K3410, "Rp", "")</f>
        <v>0</v>
      </c>
    </row>
    <row r="3411">
      <c r="A3411" s="8" t="s">
        <v>4736</v>
      </c>
      <c r="B3411" s="13" t="str">
        <f>HYPERLINK("https://shopee.co.id/Purivera-Double-Combo-for-Ageless-Sea-Buckthorn-Bakuchiol-Ceramide-3--i.43724442.9085851064", "https://shopee.co.id/Purivera-Double-Combo-for-Ageless-Sea-Buckthorn-Bakuchiol-Ceramide-3--i.43724442.9085851064")</f>
        <v>https://shopee.co.id/Purivera-Double-Combo-for-Ageless-Sea-Buckthorn-Bakuchiol-Ceramide-3--i.43724442.9085851064</v>
      </c>
      <c r="C3411" s="8" t="s">
        <v>428</v>
      </c>
      <c r="D3411" s="8" t="s">
        <v>429</v>
      </c>
      <c r="E3411" s="8" t="s">
        <v>12</v>
      </c>
      <c r="F3411" s="8" t="s">
        <v>13</v>
      </c>
      <c r="G3411" s="8" t="s">
        <v>61</v>
      </c>
      <c r="H3411" s="16">
        <v>0.0</v>
      </c>
      <c r="I3411" s="15" t="str">
        <f>SUBSTITUTE(Sheet1!K3411, "Rp", "")</f>
        <v>0</v>
      </c>
    </row>
    <row r="3412">
      <c r="A3412" s="8" t="s">
        <v>4737</v>
      </c>
      <c r="B3412" s="13" t="str">
        <f>HYPERLINK("https://shopee.co.id/Purivera-Sea-Ceramide-Serum-Anti-Aging-Skin-Barrier-20-ml-i.1774800.9078397833", "https://shopee.co.id/Purivera-Sea-Ceramide-Serum-Anti-Aging-Skin-Barrier-20-ml-i.1774800.9078397833")</f>
        <v>https://shopee.co.id/Purivera-Sea-Ceramide-Serum-Anti-Aging-Skin-Barrier-20-ml-i.1774800.9078397833</v>
      </c>
      <c r="C3412" s="8" t="s">
        <v>428</v>
      </c>
      <c r="D3412" s="8" t="s">
        <v>4738</v>
      </c>
      <c r="E3412" s="8" t="s">
        <v>12</v>
      </c>
      <c r="F3412" s="8" t="s">
        <v>13</v>
      </c>
      <c r="G3412" s="8" t="s">
        <v>61</v>
      </c>
      <c r="H3412" s="16">
        <v>0.0</v>
      </c>
      <c r="I3412" s="15" t="str">
        <f>SUBSTITUTE(Sheet1!K3412, "Rp", "")</f>
        <v>0</v>
      </c>
    </row>
    <row r="3413">
      <c r="A3413" s="8" t="s">
        <v>4739</v>
      </c>
      <c r="B3413" s="13" t="str">
        <f>HYPERLINK("https://shopee.co.id/Pyunkang-Yul-Moisture-Serum-100ml-i.825870.2262685664", "https://shopee.co.id/Pyunkang-Yul-Moisture-Serum-100ml-i.825870.2262685664")</f>
        <v>https://shopee.co.id/Pyunkang-Yul-Moisture-Serum-100ml-i.825870.2262685664</v>
      </c>
      <c r="C3413" s="8" t="s">
        <v>475</v>
      </c>
      <c r="D3413" s="8" t="s">
        <v>1184</v>
      </c>
      <c r="E3413" s="8" t="s">
        <v>12</v>
      </c>
      <c r="F3413" s="8" t="s">
        <v>13</v>
      </c>
      <c r="G3413" s="8" t="s">
        <v>21</v>
      </c>
      <c r="H3413" s="16">
        <v>0.0</v>
      </c>
      <c r="I3413" s="15" t="str">
        <f>SUBSTITUTE(Sheet1!K3413, "Rp", "")</f>
        <v>0</v>
      </c>
    </row>
    <row r="3414">
      <c r="A3414" s="8" t="s">
        <v>4740</v>
      </c>
      <c r="B3414" s="13" t="str">
        <f>HYPERLINK("https://shopee.co.id/PYUNKANG-YUL-Moisture-Serum-100ml--i.68111.1199376084", "https://shopee.co.id/PYUNKANG-YUL-Moisture-Serum-100ml--i.68111.1199376084")</f>
        <v>https://shopee.co.id/PYUNKANG-YUL-Moisture-Serum-100ml--i.68111.1199376084</v>
      </c>
      <c r="C3414" s="8" t="s">
        <v>475</v>
      </c>
      <c r="D3414" s="8" t="s">
        <v>441</v>
      </c>
      <c r="E3414" s="8" t="s">
        <v>12</v>
      </c>
      <c r="F3414" s="8" t="s">
        <v>13</v>
      </c>
      <c r="G3414" s="8" t="s">
        <v>130</v>
      </c>
      <c r="H3414" s="16">
        <v>0.0</v>
      </c>
      <c r="I3414" s="15" t="str">
        <f>SUBSTITUTE(Sheet1!K3414, "Rp", "")</f>
        <v>0</v>
      </c>
    </row>
    <row r="3415">
      <c r="A3415" s="8" t="s">
        <v>3319</v>
      </c>
      <c r="B3415" s="13" t="str">
        <f>HYPERLINK("https://shopee.co.id/Pyunkang-Yul-Moisture-Serum-100ml-i.125116082.2756941002", "https://shopee.co.id/Pyunkang-Yul-Moisture-Serum-100ml-i.125116082.2756941002")</f>
        <v>https://shopee.co.id/Pyunkang-Yul-Moisture-Serum-100ml-i.125116082.2756941002</v>
      </c>
      <c r="C3415" s="8" t="s">
        <v>475</v>
      </c>
      <c r="D3415" s="8" t="s">
        <v>713</v>
      </c>
      <c r="E3415" s="8" t="s">
        <v>12</v>
      </c>
      <c r="F3415" s="8" t="s">
        <v>13</v>
      </c>
      <c r="G3415" s="8" t="s">
        <v>61</v>
      </c>
      <c r="H3415" s="16">
        <v>0.0</v>
      </c>
      <c r="I3415" s="15" t="str">
        <f>SUBSTITUTE(Sheet1!K3415, "Rp", "")</f>
        <v>0</v>
      </c>
    </row>
    <row r="3416">
      <c r="A3416" s="8" t="s">
        <v>4741</v>
      </c>
      <c r="B3416" s="13" t="str">
        <f>HYPERLINK("https://shopee.co.id/QUESELLA-Galactomyces-Treatment-Essence-30ml-i.68111.5411852911", "https://shopee.co.id/QUESELLA-Galactomyces-Treatment-Essence-30ml-i.68111.5411852911")</f>
        <v>https://shopee.co.id/QUESELLA-Galactomyces-Treatment-Essence-30ml-i.68111.5411852911</v>
      </c>
      <c r="C3416" s="8" t="s">
        <v>3305</v>
      </c>
      <c r="D3416" s="8" t="s">
        <v>441</v>
      </c>
      <c r="E3416" s="8" t="s">
        <v>12</v>
      </c>
      <c r="F3416" s="8" t="s">
        <v>13</v>
      </c>
      <c r="G3416" s="8" t="s">
        <v>130</v>
      </c>
      <c r="H3416" s="16">
        <v>0.0</v>
      </c>
      <c r="I3416" s="15" t="str">
        <f>SUBSTITUTE(Sheet1!K3416, "Rp", "")</f>
        <v>0</v>
      </c>
    </row>
    <row r="3417">
      <c r="A3417" s="8" t="s">
        <v>4742</v>
      </c>
      <c r="B3417" s="13" t="str">
        <f>HYPERLINK("https://shopee.co.id/Radi-Skin-Duo-Serum-i.147850476.3539821522", "https://shopee.co.id/Radi-Skin-Duo-Serum-i.147850476.3539821522")</f>
        <v>https://shopee.co.id/Radi-Skin-Duo-Serum-i.147850476.3539821522</v>
      </c>
      <c r="C3417" s="8" t="s">
        <v>1879</v>
      </c>
      <c r="D3417" s="8" t="s">
        <v>1880</v>
      </c>
      <c r="E3417" s="8" t="s">
        <v>12</v>
      </c>
      <c r="F3417" s="8" t="s">
        <v>13</v>
      </c>
      <c r="G3417" s="8" t="s">
        <v>61</v>
      </c>
      <c r="H3417" s="16">
        <v>0.0</v>
      </c>
      <c r="I3417" s="15" t="str">
        <f>SUBSTITUTE(Sheet1!K3417, "Rp", "")</f>
        <v>0</v>
      </c>
    </row>
    <row r="3418">
      <c r="A3418" s="8" t="s">
        <v>4743</v>
      </c>
      <c r="B3418" s="13" t="str">
        <f>HYPERLINK("https://shopee.co.id/Radi-Skin-Niacinamide-Clear-Serum-20ml-i.825870.2712966741", "https://shopee.co.id/Radi-Skin-Niacinamide-Clear-Serum-20ml-i.825870.2712966741")</f>
        <v>https://shopee.co.id/Radi-Skin-Niacinamide-Clear-Serum-20ml-i.825870.2712966741</v>
      </c>
      <c r="C3418" s="8" t="s">
        <v>1879</v>
      </c>
      <c r="D3418" s="8" t="s">
        <v>1184</v>
      </c>
      <c r="E3418" s="8" t="s">
        <v>12</v>
      </c>
      <c r="F3418" s="8" t="s">
        <v>13</v>
      </c>
      <c r="G3418" s="8" t="s">
        <v>21</v>
      </c>
      <c r="H3418" s="16">
        <v>0.0</v>
      </c>
      <c r="I3418" s="15" t="str">
        <f>SUBSTITUTE(Sheet1!K3418, "Rp", "")</f>
        <v>0</v>
      </c>
    </row>
    <row r="3419">
      <c r="A3419" s="8" t="s">
        <v>4744</v>
      </c>
      <c r="B3419" s="13" t="str">
        <f>HYPERLINK("https://shopee.co.id/Radi-Skin-Niacinamide-Clear-Serum-X-Vitamin-C-Glow-Serum-i.147850476.8077031054", "https://shopee.co.id/Radi-Skin-Niacinamide-Clear-Serum-X-Vitamin-C-Glow-Serum-i.147850476.8077031054")</f>
        <v>https://shopee.co.id/Radi-Skin-Niacinamide-Clear-Serum-X-Vitamin-C-Glow-Serum-i.147850476.8077031054</v>
      </c>
      <c r="C3419" s="8" t="s">
        <v>1879</v>
      </c>
      <c r="D3419" s="8" t="s">
        <v>1880</v>
      </c>
      <c r="E3419" s="8" t="s">
        <v>12</v>
      </c>
      <c r="F3419" s="8" t="s">
        <v>13</v>
      </c>
      <c r="G3419" s="8" t="s">
        <v>61</v>
      </c>
      <c r="H3419" s="16">
        <v>0.0</v>
      </c>
      <c r="I3419" s="15" t="str">
        <f>SUBSTITUTE(Sheet1!K3419, "Rp", "")</f>
        <v>0</v>
      </c>
    </row>
    <row r="3420">
      <c r="A3420" s="8" t="s">
        <v>4745</v>
      </c>
      <c r="B3420" s="13" t="str">
        <f>HYPERLINK("https://shopee.co.id/Radi-Skin-Vitamin-C-Glow-Serum-20ml-i.825870.2712979270", "https://shopee.co.id/Radi-Skin-Vitamin-C-Glow-Serum-20ml-i.825870.2712979270")</f>
        <v>https://shopee.co.id/Radi-Skin-Vitamin-C-Glow-Serum-20ml-i.825870.2712979270</v>
      </c>
      <c r="C3420" s="8" t="s">
        <v>1879</v>
      </c>
      <c r="D3420" s="8" t="s">
        <v>1184</v>
      </c>
      <c r="E3420" s="8" t="s">
        <v>12</v>
      </c>
      <c r="F3420" s="8" t="s">
        <v>13</v>
      </c>
      <c r="G3420" s="8" t="s">
        <v>21</v>
      </c>
      <c r="H3420" s="16">
        <v>0.0</v>
      </c>
      <c r="I3420" s="15" t="str">
        <f>SUBSTITUTE(Sheet1!K3420, "Rp", "")</f>
        <v>0</v>
      </c>
    </row>
    <row r="3421">
      <c r="A3421" s="8" t="s">
        <v>4746</v>
      </c>
      <c r="B3421" s="13" t="str">
        <f>HYPERLINK("https://shopee.co.id/Raecca-Glow-It-Up-Serum-20ml-i.136011044.8160749529", "https://shopee.co.id/Raecca-Glow-It-Up-Serum-20ml-i.136011044.8160749529")</f>
        <v>https://shopee.co.id/Raecca-Glow-It-Up-Serum-20ml-i.136011044.8160749529</v>
      </c>
      <c r="C3421" s="8" t="s">
        <v>1630</v>
      </c>
      <c r="D3421" s="8" t="s">
        <v>632</v>
      </c>
      <c r="E3421" s="8" t="s">
        <v>12</v>
      </c>
      <c r="F3421" s="8" t="s">
        <v>13</v>
      </c>
      <c r="G3421" s="8" t="s">
        <v>21</v>
      </c>
      <c r="H3421" s="16">
        <v>0.0</v>
      </c>
      <c r="I3421" s="15" t="str">
        <f>SUBSTITUTE(Sheet1!K3421, "Rp", "")</f>
        <v>0</v>
      </c>
    </row>
    <row r="3422">
      <c r="A3422" s="8" t="s">
        <v>4747</v>
      </c>
      <c r="B3422" s="13" t="str">
        <f>HYPERLINK("https://shopee.co.id/Raecca-Moisturizer-Jelly-Centella-Lippie-Serum-i.41005244.9610572323", "https://shopee.co.id/Raecca-Moisturizer-Jelly-Centella-Lippie-Serum-i.41005244.9610572323")</f>
        <v>https://shopee.co.id/Raecca-Moisturizer-Jelly-Centella-Lippie-Serum-i.41005244.9610572323</v>
      </c>
      <c r="C3422" s="8" t="s">
        <v>1630</v>
      </c>
      <c r="D3422" s="8" t="s">
        <v>1631</v>
      </c>
      <c r="E3422" s="8" t="s">
        <v>12</v>
      </c>
      <c r="F3422" s="8" t="s">
        <v>13</v>
      </c>
      <c r="G3422" s="8" t="s">
        <v>241</v>
      </c>
      <c r="H3422" s="16">
        <v>0.0</v>
      </c>
      <c r="I3422" s="15" t="str">
        <f>SUBSTITUTE(Sheet1!K3422, "Rp", "")</f>
        <v>0</v>
      </c>
    </row>
    <row r="3423">
      <c r="A3423" s="8" t="s">
        <v>4748</v>
      </c>
      <c r="B3423" s="13" t="str">
        <f>HYPERLINK("https://shopee.co.id/Raiku-Water-Essence-30ml-i.79492424.4719077248", "https://shopee.co.id/Raiku-Water-Essence-30ml-i.79492424.4719077248")</f>
        <v>https://shopee.co.id/Raiku-Water-Essence-30ml-i.79492424.4719077248</v>
      </c>
      <c r="C3423" s="8" t="s">
        <v>2281</v>
      </c>
      <c r="D3423" s="8" t="s">
        <v>3456</v>
      </c>
      <c r="E3423" s="8" t="s">
        <v>12</v>
      </c>
      <c r="F3423" s="8" t="s">
        <v>13</v>
      </c>
      <c r="G3423" s="8" t="s">
        <v>469</v>
      </c>
      <c r="H3423" s="16">
        <v>0.0</v>
      </c>
      <c r="I3423" s="15" t="str">
        <f>SUBSTITUTE(Sheet1!K3423, "Rp", "")</f>
        <v>0</v>
      </c>
    </row>
    <row r="3424">
      <c r="A3424" s="8" t="s">
        <v>4749</v>
      </c>
      <c r="B3424" s="13" t="str">
        <f>HYPERLINK("https://shopee.co.id/Raiku-Anti-Aging-Serum-30ml-i.79492424.3807822171", "https://shopee.co.id/Raiku-Anti-Aging-Serum-30ml-i.79492424.3807822171")</f>
        <v>https://shopee.co.id/Raiku-Anti-Aging-Serum-30ml-i.79492424.3807822171</v>
      </c>
      <c r="C3424" s="8" t="s">
        <v>2281</v>
      </c>
      <c r="D3424" s="8" t="s">
        <v>3456</v>
      </c>
      <c r="E3424" s="8" t="s">
        <v>12</v>
      </c>
      <c r="F3424" s="8" t="s">
        <v>13</v>
      </c>
      <c r="G3424" s="8" t="s">
        <v>469</v>
      </c>
      <c r="H3424" s="16">
        <v>0.0</v>
      </c>
      <c r="I3424" s="15" t="str">
        <f>SUBSTITUTE(Sheet1!K3424, "Rp", "")</f>
        <v>0</v>
      </c>
    </row>
    <row r="3425">
      <c r="A3425" s="8" t="s">
        <v>4750</v>
      </c>
      <c r="B3425" s="13" t="str">
        <f>HYPERLINK("https://shopee.co.id/Raiku-Brightening-Serum-30ml-i.79492424.3707823501", "https://shopee.co.id/Raiku-Brightening-Serum-30ml-i.79492424.3707823501")</f>
        <v>https://shopee.co.id/Raiku-Brightening-Serum-30ml-i.79492424.3707823501</v>
      </c>
      <c r="C3425" s="8" t="s">
        <v>2281</v>
      </c>
      <c r="D3425" s="8" t="s">
        <v>3456</v>
      </c>
      <c r="E3425" s="8" t="s">
        <v>12</v>
      </c>
      <c r="F3425" s="8" t="s">
        <v>13</v>
      </c>
      <c r="G3425" s="8" t="s">
        <v>469</v>
      </c>
      <c r="H3425" s="16">
        <v>0.0</v>
      </c>
      <c r="I3425" s="15" t="str">
        <f>SUBSTITUTE(Sheet1!K3425, "Rp", "")</f>
        <v>0</v>
      </c>
    </row>
    <row r="3426">
      <c r="A3426" s="8" t="s">
        <v>4751</v>
      </c>
      <c r="B3426" s="13" t="str">
        <f>HYPERLINK("https://shopee.co.id/Raiku-Anti-Aging-Serum-i.17081863.6763783597", "https://shopee.co.id/Raiku-Anti-Aging-Serum-i.17081863.6763783597")</f>
        <v>https://shopee.co.id/Raiku-Anti-Aging-Serum-i.17081863.6763783597</v>
      </c>
      <c r="C3426" s="8" t="s">
        <v>2281</v>
      </c>
      <c r="D3426" s="8" t="s">
        <v>2497</v>
      </c>
      <c r="E3426" s="8" t="s">
        <v>12</v>
      </c>
      <c r="F3426" s="8" t="s">
        <v>13</v>
      </c>
      <c r="G3426" s="8" t="s">
        <v>21</v>
      </c>
      <c r="H3426" s="16">
        <v>0.0</v>
      </c>
      <c r="I3426" s="15" t="str">
        <f>SUBSTITUTE(Sheet1!K3426, "Rp", "")</f>
        <v>0</v>
      </c>
    </row>
    <row r="3427">
      <c r="A3427" s="8" t="s">
        <v>4752</v>
      </c>
      <c r="B3427" s="13" t="str">
        <f>HYPERLINK("https://shopee.co.id/Raiku-Anti-Aging-Serum-30ml--i.10689.1765917885", "https://shopee.co.id/Raiku-Anti-Aging-Serum-30ml--i.10689.1765917885")</f>
        <v>https://shopee.co.id/Raiku-Anti-Aging-Serum-30ml--i.10689.1765917885</v>
      </c>
      <c r="C3427" s="8" t="s">
        <v>2281</v>
      </c>
      <c r="D3427" s="8" t="s">
        <v>745</v>
      </c>
      <c r="E3427" s="8" t="s">
        <v>12</v>
      </c>
      <c r="F3427" s="8" t="s">
        <v>13</v>
      </c>
      <c r="G3427" s="8" t="s">
        <v>61</v>
      </c>
      <c r="H3427" s="16">
        <v>0.0</v>
      </c>
      <c r="I3427" s="15" t="str">
        <f>SUBSTITUTE(Sheet1!K3427, "Rp", "")</f>
        <v>0</v>
      </c>
    </row>
    <row r="3428">
      <c r="A3428" s="8" t="s">
        <v>4753</v>
      </c>
      <c r="B3428" s="13" t="str">
        <f>HYPERLINK("https://shopee.co.id/Raiku-Anti-Aging-Serum-30ml-i.825870.1981229359", "https://shopee.co.id/Raiku-Anti-Aging-Serum-30ml-i.825870.1981229359")</f>
        <v>https://shopee.co.id/Raiku-Anti-Aging-Serum-30ml-i.825870.1981229359</v>
      </c>
      <c r="C3428" s="8" t="s">
        <v>2281</v>
      </c>
      <c r="D3428" s="8" t="s">
        <v>1184</v>
      </c>
      <c r="E3428" s="8" t="s">
        <v>12</v>
      </c>
      <c r="F3428" s="8" t="s">
        <v>13</v>
      </c>
      <c r="G3428" s="8" t="s">
        <v>21</v>
      </c>
      <c r="H3428" s="16">
        <v>0.0</v>
      </c>
      <c r="I3428" s="15" t="str">
        <f>SUBSTITUTE(Sheet1!K3428, "Rp", "")</f>
        <v>0</v>
      </c>
    </row>
    <row r="3429">
      <c r="A3429" s="8" t="s">
        <v>4754</v>
      </c>
      <c r="B3429" s="13" t="str">
        <f>HYPERLINK("https://shopee.co.id/Raiku-Antioxidant-Serum-i.17081863.6164063700", "https://shopee.co.id/Raiku-Antioxidant-Serum-i.17081863.6164063700")</f>
        <v>https://shopee.co.id/Raiku-Antioxidant-Serum-i.17081863.6164063700</v>
      </c>
      <c r="C3429" s="8" t="s">
        <v>2281</v>
      </c>
      <c r="D3429" s="8" t="s">
        <v>2497</v>
      </c>
      <c r="E3429" s="8" t="s">
        <v>12</v>
      </c>
      <c r="F3429" s="8" t="s">
        <v>13</v>
      </c>
      <c r="G3429" s="8" t="s">
        <v>21</v>
      </c>
      <c r="H3429" s="16">
        <v>0.0</v>
      </c>
      <c r="I3429" s="15" t="str">
        <f>SUBSTITUTE(Sheet1!K3429, "Rp", "")</f>
        <v>0</v>
      </c>
    </row>
    <row r="3430">
      <c r="A3430" s="8" t="s">
        <v>4755</v>
      </c>
      <c r="B3430" s="13" t="str">
        <f>HYPERLINK("https://shopee.co.id/Raiku-Antioxidant-Serum-2pcs--i.82041605.9658423124", "https://shopee.co.id/Raiku-Antioxidant-Serum-2pcs--i.82041605.9658423124")</f>
        <v>https://shopee.co.id/Raiku-Antioxidant-Serum-2pcs--i.82041605.9658423124</v>
      </c>
      <c r="C3430" s="8" t="s">
        <v>2281</v>
      </c>
      <c r="D3430" s="8" t="s">
        <v>2282</v>
      </c>
      <c r="E3430" s="8" t="s">
        <v>12</v>
      </c>
      <c r="F3430" s="8" t="s">
        <v>13</v>
      </c>
      <c r="G3430" s="8" t="s">
        <v>21</v>
      </c>
      <c r="H3430" s="16">
        <v>0.0</v>
      </c>
      <c r="I3430" s="15" t="str">
        <f>SUBSTITUTE(Sheet1!K3430, "Rp", "")</f>
        <v>0</v>
      </c>
    </row>
    <row r="3431">
      <c r="A3431" s="8" t="s">
        <v>4756</v>
      </c>
      <c r="B3431" s="13" t="str">
        <f>HYPERLINK("https://shopee.co.id/Raiku-Antioxidant-Serum-Special-6-Pcs-30ml--i.82041605.4593765677", "https://shopee.co.id/Raiku-Antioxidant-Serum-Special-6-Pcs-30ml--i.82041605.4593765677")</f>
        <v>https://shopee.co.id/Raiku-Antioxidant-Serum-Special-6-Pcs-30ml--i.82041605.4593765677</v>
      </c>
      <c r="C3431" s="8" t="s">
        <v>2281</v>
      </c>
      <c r="D3431" s="8" t="s">
        <v>2282</v>
      </c>
      <c r="E3431" s="8" t="s">
        <v>12</v>
      </c>
      <c r="F3431" s="8" t="s">
        <v>13</v>
      </c>
      <c r="G3431" s="8" t="s">
        <v>21</v>
      </c>
      <c r="H3431" s="16">
        <v>0.0</v>
      </c>
      <c r="I3431" s="15" t="str">
        <f>SUBSTITUTE(Sheet1!K3431, "Rp", "")</f>
        <v>0</v>
      </c>
    </row>
    <row r="3432">
      <c r="A3432" s="8" t="s">
        <v>4757</v>
      </c>
      <c r="B3432" s="13" t="str">
        <f>HYPERLINK("https://shopee.co.id/Raiku-Brightening-Mask-3-pcs--i.82041605.9717307045", "https://shopee.co.id/Raiku-Brightening-Mask-3-pcs--i.82041605.9717307045")</f>
        <v>https://shopee.co.id/Raiku-Brightening-Mask-3-pcs--i.82041605.9717307045</v>
      </c>
      <c r="C3432" s="8" t="s">
        <v>2281</v>
      </c>
      <c r="D3432" s="8" t="s">
        <v>2282</v>
      </c>
      <c r="E3432" s="8" t="s">
        <v>12</v>
      </c>
      <c r="F3432" s="8" t="s">
        <v>13</v>
      </c>
      <c r="G3432" s="8" t="s">
        <v>21</v>
      </c>
      <c r="H3432" s="16">
        <v>0.0</v>
      </c>
      <c r="I3432" s="15" t="str">
        <f>SUBSTITUTE(Sheet1!K3432, "Rp", "")</f>
        <v>0</v>
      </c>
    </row>
    <row r="3433">
      <c r="A3433" s="8" t="s">
        <v>4758</v>
      </c>
      <c r="B3433" s="13" t="str">
        <f>HYPERLINK("https://shopee.co.id/Raiku-Brightening-Serum-30ml-i.825870.1981103782", "https://shopee.co.id/Raiku-Brightening-Serum-30ml-i.825870.1981103782")</f>
        <v>https://shopee.co.id/Raiku-Brightening-Serum-30ml-i.825870.1981103782</v>
      </c>
      <c r="C3433" s="8" t="s">
        <v>2281</v>
      </c>
      <c r="D3433" s="8" t="s">
        <v>1184</v>
      </c>
      <c r="E3433" s="8" t="s">
        <v>12</v>
      </c>
      <c r="F3433" s="8" t="s">
        <v>13</v>
      </c>
      <c r="G3433" s="8" t="s">
        <v>21</v>
      </c>
      <c r="H3433" s="16">
        <v>0.0</v>
      </c>
      <c r="I3433" s="15" t="str">
        <f>SUBSTITUTE(Sheet1!K3433, "Rp", "")</f>
        <v>0</v>
      </c>
    </row>
    <row r="3434">
      <c r="A3434" s="8" t="s">
        <v>4759</v>
      </c>
      <c r="B3434" s="13" t="str">
        <f>HYPERLINK("https://shopee.co.id/Raiku-Brightening-Serum-bundle-2pcs--i.82041605.9364354455", "https://shopee.co.id/Raiku-Brightening-Serum-bundle-2pcs--i.82041605.9364354455")</f>
        <v>https://shopee.co.id/Raiku-Brightening-Serum-bundle-2pcs--i.82041605.9364354455</v>
      </c>
      <c r="C3434" s="8" t="s">
        <v>2281</v>
      </c>
      <c r="D3434" s="8" t="s">
        <v>2282</v>
      </c>
      <c r="E3434" s="8" t="s">
        <v>12</v>
      </c>
      <c r="F3434" s="8" t="s">
        <v>13</v>
      </c>
      <c r="G3434" s="8" t="s">
        <v>21</v>
      </c>
      <c r="H3434" s="16">
        <v>0.0</v>
      </c>
      <c r="I3434" s="15" t="str">
        <f>SUBSTITUTE(Sheet1!K3434, "Rp", "")</f>
        <v>0</v>
      </c>
    </row>
    <row r="3435">
      <c r="A3435" s="8" t="s">
        <v>4760</v>
      </c>
      <c r="B3435" s="13" t="str">
        <f>HYPERLINK("https://shopee.co.id/Raiku-Brightening-Serum-Special-Bundle-3-pcs--i.82041605.3388085157", "https://shopee.co.id/Raiku-Brightening-Serum-Special-Bundle-3-pcs--i.82041605.3388085157")</f>
        <v>https://shopee.co.id/Raiku-Brightening-Serum-Special-Bundle-3-pcs--i.82041605.3388085157</v>
      </c>
      <c r="C3435" s="8" t="s">
        <v>2281</v>
      </c>
      <c r="D3435" s="8" t="s">
        <v>2282</v>
      </c>
      <c r="E3435" s="8" t="s">
        <v>12</v>
      </c>
      <c r="F3435" s="8" t="s">
        <v>13</v>
      </c>
      <c r="G3435" s="8" t="s">
        <v>21</v>
      </c>
      <c r="H3435" s="16">
        <v>0.0</v>
      </c>
      <c r="I3435" s="15" t="str">
        <f>SUBSTITUTE(Sheet1!K3435, "Rp", "")</f>
        <v>0</v>
      </c>
    </row>
    <row r="3436">
      <c r="A3436" s="8" t="s">
        <v>4761</v>
      </c>
      <c r="B3436" s="13" t="str">
        <f>HYPERLINK("https://shopee.co.id/Raiku-Brigthening-Serum-30ml--i.10689.1765917944", "https://shopee.co.id/Raiku-Brigthening-Serum-30ml--i.10689.1765917944")</f>
        <v>https://shopee.co.id/Raiku-Brigthening-Serum-30ml--i.10689.1765917944</v>
      </c>
      <c r="C3436" s="8" t="s">
        <v>2281</v>
      </c>
      <c r="D3436" s="8" t="s">
        <v>745</v>
      </c>
      <c r="E3436" s="8" t="s">
        <v>12</v>
      </c>
      <c r="F3436" s="8" t="s">
        <v>13</v>
      </c>
      <c r="G3436" s="8" t="s">
        <v>61</v>
      </c>
      <c r="H3436" s="16">
        <v>0.0</v>
      </c>
      <c r="I3436" s="15" t="str">
        <f>SUBSTITUTE(Sheet1!K3436, "Rp", "")</f>
        <v>0</v>
      </c>
    </row>
    <row r="3437">
      <c r="A3437" s="8" t="s">
        <v>4762</v>
      </c>
      <c r="B3437" s="13" t="str">
        <f>HYPERLINK("https://shopee.co.id/Raiku-Water-Essence-30ml-i.825870.4033701105", "https://shopee.co.id/Raiku-Water-Essence-30ml-i.825870.4033701105")</f>
        <v>https://shopee.co.id/Raiku-Water-Essence-30ml-i.825870.4033701105</v>
      </c>
      <c r="C3437" s="8" t="s">
        <v>2281</v>
      </c>
      <c r="D3437" s="8" t="s">
        <v>1184</v>
      </c>
      <c r="E3437" s="8" t="s">
        <v>12</v>
      </c>
      <c r="F3437" s="8" t="s">
        <v>13</v>
      </c>
      <c r="G3437" s="8" t="s">
        <v>21</v>
      </c>
      <c r="H3437" s="16">
        <v>0.0</v>
      </c>
      <c r="I3437" s="15" t="str">
        <f>SUBSTITUTE(Sheet1!K3437, "Rp", "")</f>
        <v>0</v>
      </c>
    </row>
    <row r="3438">
      <c r="A3438" s="8" t="s">
        <v>3581</v>
      </c>
      <c r="B3438" s="13" t="str">
        <f>HYPERLINK("https://shopee.co.id/Raiku-Water-Essence-30ml-i.10689.7716938305", "https://shopee.co.id/Raiku-Water-Essence-30ml-i.10689.7716938305")</f>
        <v>https://shopee.co.id/Raiku-Water-Essence-30ml-i.10689.7716938305</v>
      </c>
      <c r="C3438" s="8" t="s">
        <v>2281</v>
      </c>
      <c r="D3438" s="8" t="s">
        <v>745</v>
      </c>
      <c r="E3438" s="8" t="s">
        <v>12</v>
      </c>
      <c r="F3438" s="8" t="s">
        <v>13</v>
      </c>
      <c r="G3438" s="8" t="s">
        <v>61</v>
      </c>
      <c r="H3438" s="16">
        <v>0.0</v>
      </c>
      <c r="I3438" s="15" t="str">
        <f>SUBSTITUTE(Sheet1!K3438, "Rp", "")</f>
        <v>0</v>
      </c>
    </row>
    <row r="3439">
      <c r="A3439" s="8" t="s">
        <v>4763</v>
      </c>
      <c r="B3439" s="13" t="str">
        <f>HYPERLINK("https://shopee.co.id/REAL-BARRIER-Essence-Mist-i.125116082.5929626123", "https://shopee.co.id/REAL-BARRIER-Essence-Mist-i.125116082.5929626123")</f>
        <v>https://shopee.co.id/REAL-BARRIER-Essence-Mist-i.125116082.5929626123</v>
      </c>
      <c r="C3439" s="8" t="s">
        <v>4764</v>
      </c>
      <c r="D3439" s="8" t="s">
        <v>713</v>
      </c>
      <c r="E3439" s="8" t="s">
        <v>12</v>
      </c>
      <c r="F3439" s="8" t="s">
        <v>13</v>
      </c>
      <c r="G3439" s="8" t="s">
        <v>61</v>
      </c>
      <c r="H3439" s="16">
        <v>0.0</v>
      </c>
      <c r="I3439" s="15" t="str">
        <f>SUBSTITUTE(Sheet1!K3439, "Rp", "")</f>
        <v>0</v>
      </c>
    </row>
    <row r="3440">
      <c r="A3440" s="8" t="s">
        <v>4765</v>
      </c>
      <c r="B3440" s="13" t="str">
        <f>HYPERLINK("https://shopee.co.id/Rexona-Dry-Serum-Natural-Whitening-Fresh-Sakura-50-Ml-R-i.175375997.7287885005", "https://shopee.co.id/Rexona-Dry-Serum-Natural-Whitening-Fresh-Sakura-50-Ml-R-i.175375997.7287885005")</f>
        <v>https://shopee.co.id/Rexona-Dry-Serum-Natural-Whitening-Fresh-Sakura-50-Ml-R-i.175375997.7287885005</v>
      </c>
      <c r="C3440" s="8" t="s">
        <v>4766</v>
      </c>
      <c r="D3440" s="8" t="s">
        <v>2123</v>
      </c>
      <c r="E3440" s="8" t="s">
        <v>12</v>
      </c>
      <c r="F3440" s="8" t="s">
        <v>13</v>
      </c>
      <c r="G3440" s="8" t="s">
        <v>36</v>
      </c>
      <c r="H3440" s="16">
        <v>0.0</v>
      </c>
      <c r="I3440" s="15" t="str">
        <f>SUBSTITUTE(Sheet1!K3440, "Rp", "")</f>
        <v>0</v>
      </c>
    </row>
    <row r="3441">
      <c r="A3441" s="8" t="s">
        <v>4767</v>
      </c>
      <c r="B3441" s="13" t="str">
        <f>HYPERLINK("https://shopee.co.id/REXONA-NAT-WHITE-ROSE-DRY-SERUM-50ML-i.319999499.3990877790", "https://shopee.co.id/REXONA-NAT-WHITE-ROSE-DRY-SERUM-50ML-i.319999499.3990877790")</f>
        <v>https://shopee.co.id/REXONA-NAT-WHITE-ROSE-DRY-SERUM-50ML-i.319999499.3990877790</v>
      </c>
      <c r="C3441" s="8" t="s">
        <v>4766</v>
      </c>
      <c r="D3441" s="8" t="s">
        <v>4768</v>
      </c>
      <c r="E3441" s="8" t="s">
        <v>12</v>
      </c>
      <c r="F3441" s="8" t="s">
        <v>13</v>
      </c>
      <c r="G3441" s="8" t="s">
        <v>4769</v>
      </c>
      <c r="H3441" s="16">
        <v>0.0</v>
      </c>
      <c r="I3441" s="15" t="str">
        <f>SUBSTITUTE(Sheet1!K3441, "Rp", "")</f>
        <v>0</v>
      </c>
    </row>
    <row r="3442">
      <c r="A3442" s="8" t="s">
        <v>4767</v>
      </c>
      <c r="B3442" s="13" t="str">
        <f>HYPERLINK("https://shopee.co.id/REXONA-NAT-WHITE-ROSE-DRY-SERUM-50ML-i.295434797.8169423114", "https://shopee.co.id/REXONA-NAT-WHITE-ROSE-DRY-SERUM-50ML-i.295434797.8169423114")</f>
        <v>https://shopee.co.id/REXONA-NAT-WHITE-ROSE-DRY-SERUM-50ML-i.295434797.8169423114</v>
      </c>
      <c r="C3442" s="8" t="s">
        <v>4766</v>
      </c>
      <c r="D3442" s="8" t="s">
        <v>4770</v>
      </c>
      <c r="E3442" s="8" t="s">
        <v>12</v>
      </c>
      <c r="F3442" s="8" t="s">
        <v>13</v>
      </c>
      <c r="G3442" s="8" t="s">
        <v>296</v>
      </c>
      <c r="H3442" s="16">
        <v>0.0</v>
      </c>
      <c r="I3442" s="15" t="str">
        <f>SUBSTITUTE(Sheet1!K3442, "Rp", "")</f>
        <v>0</v>
      </c>
    </row>
    <row r="3443">
      <c r="A3443" s="8" t="s">
        <v>4767</v>
      </c>
      <c r="B3443" s="13" t="str">
        <f>HYPERLINK("https://shopee.co.id/REXONA-NAT-WHITE-ROSE-DRY-SERUM-50ML-i.295425871.9059801624", "https://shopee.co.id/REXONA-NAT-WHITE-ROSE-DRY-SERUM-50ML-i.295425871.9059801624")</f>
        <v>https://shopee.co.id/REXONA-NAT-WHITE-ROSE-DRY-SERUM-50ML-i.295425871.9059801624</v>
      </c>
      <c r="C3443" s="8" t="s">
        <v>4766</v>
      </c>
      <c r="D3443" s="8" t="s">
        <v>4771</v>
      </c>
      <c r="E3443" s="8" t="s">
        <v>12</v>
      </c>
      <c r="F3443" s="8" t="s">
        <v>13</v>
      </c>
      <c r="G3443" s="8" t="s">
        <v>98</v>
      </c>
      <c r="H3443" s="16">
        <v>0.0</v>
      </c>
      <c r="I3443" s="15" t="str">
        <f>SUBSTITUTE(Sheet1!K3443, "Rp", "")</f>
        <v>0</v>
      </c>
    </row>
    <row r="3444">
      <c r="A3444" s="8" t="s">
        <v>4767</v>
      </c>
      <c r="B3444" s="13" t="str">
        <f>HYPERLINK("https://shopee.co.id/REXONA-NAT-WHITE-ROSE-DRY-SERUM-50ML-i.295433394.10210176759", "https://shopee.co.id/REXONA-NAT-WHITE-ROSE-DRY-SERUM-50ML-i.295433394.10210176759")</f>
        <v>https://shopee.co.id/REXONA-NAT-WHITE-ROSE-DRY-SERUM-50ML-i.295433394.10210176759</v>
      </c>
      <c r="C3444" s="8" t="s">
        <v>4766</v>
      </c>
      <c r="D3444" s="8" t="s">
        <v>4772</v>
      </c>
      <c r="E3444" s="8" t="s">
        <v>12</v>
      </c>
      <c r="F3444" s="8" t="s">
        <v>13</v>
      </c>
      <c r="G3444" s="8" t="s">
        <v>130</v>
      </c>
      <c r="H3444" s="16">
        <v>0.0</v>
      </c>
      <c r="I3444" s="15" t="str">
        <f>SUBSTITUTE(Sheet1!K3444, "Rp", "")</f>
        <v>0</v>
      </c>
    </row>
    <row r="3445">
      <c r="A3445" s="8" t="s">
        <v>4773</v>
      </c>
      <c r="B3445" s="13" t="str">
        <f>HYPERLINK("https://shopee.co.id/Safi-Age-Defy-Concentrated-Serum-20-mL-i.65323877.8579237800", "https://shopee.co.id/Safi-Age-Defy-Concentrated-Serum-20-mL-i.65323877.8579237800")</f>
        <v>https://shopee.co.id/Safi-Age-Defy-Concentrated-Serum-20-mL-i.65323877.8579237800</v>
      </c>
      <c r="C3445" s="8" t="s">
        <v>278</v>
      </c>
      <c r="D3445" s="8" t="s">
        <v>1600</v>
      </c>
      <c r="E3445" s="8" t="s">
        <v>12</v>
      </c>
      <c r="F3445" s="8" t="s">
        <v>13</v>
      </c>
      <c r="G3445" s="8" t="s">
        <v>296</v>
      </c>
      <c r="H3445" s="16">
        <v>0.0</v>
      </c>
      <c r="I3445" s="15" t="str">
        <f>SUBSTITUTE(Sheet1!K3445, "Rp", "")</f>
        <v>0</v>
      </c>
    </row>
    <row r="3446">
      <c r="A3446" s="8" t="s">
        <v>4774</v>
      </c>
      <c r="B3446" s="13" t="str">
        <f>HYPERLINK("https://shopee.co.id/Safi-Age-Defy-Concentrated-Serum-20-Ml-Serum-Pemelihara-Kolagen-Pencerah-Peremajaan-Kulit-Wajah-i.50972887.5805428790", "https://shopee.co.id/Safi-Age-Defy-Concentrated-Serum-20-Ml-Serum-Pemelihara-Kolagen-Pencerah-Peremajaan-Kulit-Wajah-i.50972887.5805428790")</f>
        <v>https://shopee.co.id/Safi-Age-Defy-Concentrated-Serum-20-Ml-Serum-Pemelihara-Kolagen-Pencerah-Peremajaan-Kulit-Wajah-i.50972887.5805428790</v>
      </c>
      <c r="C3446" s="8" t="s">
        <v>278</v>
      </c>
      <c r="D3446" s="8" t="s">
        <v>552</v>
      </c>
      <c r="E3446" s="8" t="s">
        <v>12</v>
      </c>
      <c r="F3446" s="8" t="s">
        <v>13</v>
      </c>
      <c r="G3446" s="8" t="s">
        <v>61</v>
      </c>
      <c r="H3446" s="16">
        <v>0.0</v>
      </c>
      <c r="I3446" s="15" t="str">
        <f>SUBSTITUTE(Sheet1!K3446, "Rp", "")</f>
        <v>0</v>
      </c>
    </row>
    <row r="3447">
      <c r="A3447" s="8" t="s">
        <v>4775</v>
      </c>
      <c r="B3447" s="13" t="str">
        <f>HYPERLINK("https://shopee.co.id/Safi-Age-Defy-Concetrated-Serum-20g-i.10689.1537514918", "https://shopee.co.id/Safi-Age-Defy-Concetrated-Serum-20g-i.10689.1537514918")</f>
        <v>https://shopee.co.id/Safi-Age-Defy-Concetrated-Serum-20g-i.10689.1537514918</v>
      </c>
      <c r="C3447" s="8" t="s">
        <v>278</v>
      </c>
      <c r="D3447" s="8" t="s">
        <v>745</v>
      </c>
      <c r="E3447" s="8" t="s">
        <v>12</v>
      </c>
      <c r="F3447" s="8" t="s">
        <v>13</v>
      </c>
      <c r="G3447" s="8" t="s">
        <v>61</v>
      </c>
      <c r="H3447" s="16">
        <v>0.0</v>
      </c>
      <c r="I3447" s="15" t="str">
        <f>SUBSTITUTE(Sheet1!K3447, "Rp", "")</f>
        <v>0</v>
      </c>
    </row>
    <row r="3448">
      <c r="A3448" s="8" t="s">
        <v>4776</v>
      </c>
      <c r="B3448" s="13" t="str">
        <f>HYPERLINK("https://shopee.co.id/Safi-Age-Defy-Gold-Water-Essence-30ml-i.63682929.5436686675", "https://shopee.co.id/Safi-Age-Defy-Gold-Water-Essence-30ml-i.63682929.5436686675")</f>
        <v>https://shopee.co.id/Safi-Age-Defy-Gold-Water-Essence-30ml-i.63682929.5436686675</v>
      </c>
      <c r="C3448" s="8" t="s">
        <v>278</v>
      </c>
      <c r="D3448" s="8" t="s">
        <v>4777</v>
      </c>
      <c r="E3448" s="8" t="s">
        <v>12</v>
      </c>
      <c r="F3448" s="8" t="s">
        <v>13</v>
      </c>
      <c r="G3448" s="8" t="s">
        <v>61</v>
      </c>
      <c r="H3448" s="16">
        <v>0.0</v>
      </c>
      <c r="I3448" s="15" t="str">
        <f>SUBSTITUTE(Sheet1!K3448, "Rp", "")</f>
        <v>0</v>
      </c>
    </row>
    <row r="3449">
      <c r="A3449" s="8" t="s">
        <v>4778</v>
      </c>
      <c r="B3449" s="13" t="str">
        <f>HYPERLINK("https://shopee.co.id/Safi-Age-Defy-Skin-Booster-75ml-i.186214521.5419193953", "https://shopee.co.id/Safi-Age-Defy-Skin-Booster-75ml-i.186214521.5419193953")</f>
        <v>https://shopee.co.id/Safi-Age-Defy-Skin-Booster-75ml-i.186214521.5419193953</v>
      </c>
      <c r="C3449" s="8" t="s">
        <v>278</v>
      </c>
      <c r="D3449" s="8" t="s">
        <v>2293</v>
      </c>
      <c r="E3449" s="8" t="s">
        <v>12</v>
      </c>
      <c r="F3449" s="8" t="s">
        <v>13</v>
      </c>
      <c r="G3449" s="8" t="s">
        <v>61</v>
      </c>
      <c r="H3449" s="16">
        <v>0.0</v>
      </c>
      <c r="I3449" s="15" t="str">
        <f>SUBSTITUTE(Sheet1!K3449, "Rp", "")</f>
        <v>0</v>
      </c>
    </row>
    <row r="3450">
      <c r="A3450" s="8" t="s">
        <v>4779</v>
      </c>
      <c r="B3450" s="13" t="str">
        <f>HYPERLINK("https://shopee.co.id/SAFI-Age-Defy-Skin-Booster-75ml-i.68111.3113619755", "https://shopee.co.id/SAFI-Age-Defy-Skin-Booster-75ml-i.68111.3113619755")</f>
        <v>https://shopee.co.id/SAFI-Age-Defy-Skin-Booster-75ml-i.68111.3113619755</v>
      </c>
      <c r="C3450" s="8" t="s">
        <v>278</v>
      </c>
      <c r="D3450" s="8" t="s">
        <v>441</v>
      </c>
      <c r="E3450" s="8" t="s">
        <v>12</v>
      </c>
      <c r="F3450" s="8" t="s">
        <v>13</v>
      </c>
      <c r="G3450" s="8" t="s">
        <v>130</v>
      </c>
      <c r="H3450" s="16">
        <v>0.0</v>
      </c>
      <c r="I3450" s="15" t="str">
        <f>SUBSTITUTE(Sheet1!K3450, "Rp", "")</f>
        <v>0</v>
      </c>
    </row>
    <row r="3451">
      <c r="A3451" s="8" t="s">
        <v>4780</v>
      </c>
      <c r="B3451" s="13" t="str">
        <f>HYPERLINK("https://shopee.co.id/Safi-Age-Defy-Youth-Elixir-29-gr-i.65323877.8579237524", "https://shopee.co.id/Safi-Age-Defy-Youth-Elixir-29-gr-i.65323877.8579237524")</f>
        <v>https://shopee.co.id/Safi-Age-Defy-Youth-Elixir-29-gr-i.65323877.8579237524</v>
      </c>
      <c r="C3451" s="8" t="s">
        <v>278</v>
      </c>
      <c r="D3451" s="8" t="s">
        <v>1600</v>
      </c>
      <c r="E3451" s="8" t="s">
        <v>12</v>
      </c>
      <c r="F3451" s="8" t="s">
        <v>13</v>
      </c>
      <c r="G3451" s="8" t="s">
        <v>296</v>
      </c>
      <c r="H3451" s="16">
        <v>0.0</v>
      </c>
      <c r="I3451" s="15" t="str">
        <f>SUBSTITUTE(Sheet1!K3451, "Rp", "")</f>
        <v>0</v>
      </c>
    </row>
    <row r="3452">
      <c r="A3452" s="8" t="s">
        <v>4781</v>
      </c>
      <c r="B3452" s="13" t="str">
        <f>HYPERLINK("https://shopee.co.id/SAFI-Age-Defy-Youth-Elixir-29g-i.68111.7490881161", "https://shopee.co.id/SAFI-Age-Defy-Youth-Elixir-29g-i.68111.7490881161")</f>
        <v>https://shopee.co.id/SAFI-Age-Defy-Youth-Elixir-29g-i.68111.7490881161</v>
      </c>
      <c r="C3452" s="8" t="s">
        <v>278</v>
      </c>
      <c r="D3452" s="8" t="s">
        <v>441</v>
      </c>
      <c r="E3452" s="8" t="s">
        <v>12</v>
      </c>
      <c r="F3452" s="8" t="s">
        <v>13</v>
      </c>
      <c r="G3452" s="8" t="s">
        <v>130</v>
      </c>
      <c r="H3452" s="16">
        <v>0.0</v>
      </c>
      <c r="I3452" s="15" t="str">
        <f>SUBSTITUTE(Sheet1!K3452, "Rp", "")</f>
        <v>0</v>
      </c>
    </row>
    <row r="3453">
      <c r="A3453" s="8" t="s">
        <v>4782</v>
      </c>
      <c r="B3453" s="13" t="str">
        <f>HYPERLINK("https://shopee.co.id/Safi-Serum-Age-Defy-Concentrated-Twinpack-2-x-20-mL-i.65323877.8179914304", "https://shopee.co.id/Safi-Serum-Age-Defy-Concentrated-Twinpack-2-x-20-mL-i.65323877.8179914304")</f>
        <v>https://shopee.co.id/Safi-Serum-Age-Defy-Concentrated-Twinpack-2-x-20-mL-i.65323877.8179914304</v>
      </c>
      <c r="C3453" s="8" t="s">
        <v>278</v>
      </c>
      <c r="D3453" s="8" t="s">
        <v>1600</v>
      </c>
      <c r="E3453" s="8" t="s">
        <v>12</v>
      </c>
      <c r="F3453" s="8" t="s">
        <v>13</v>
      </c>
      <c r="G3453" s="8" t="s">
        <v>296</v>
      </c>
      <c r="H3453" s="16">
        <v>0.0</v>
      </c>
      <c r="I3453" s="15" t="str">
        <f>SUBSTITUTE(Sheet1!K3453, "Rp", "")</f>
        <v>0</v>
      </c>
    </row>
    <row r="3454">
      <c r="A3454" s="8" t="s">
        <v>4783</v>
      </c>
      <c r="B3454" s="13" t="str">
        <f>HYPERLINK("https://shopee.co.id/Safi-Whitening-Expert-Ultimate-Essence-20ml-i.10689.1537514911", "https://shopee.co.id/Safi-Whitening-Expert-Ultimate-Essence-20ml-i.10689.1537514911")</f>
        <v>https://shopee.co.id/Safi-Whitening-Expert-Ultimate-Essence-20ml-i.10689.1537514911</v>
      </c>
      <c r="C3454" s="8" t="s">
        <v>278</v>
      </c>
      <c r="D3454" s="8" t="s">
        <v>745</v>
      </c>
      <c r="E3454" s="8" t="s">
        <v>12</v>
      </c>
      <c r="F3454" s="8" t="s">
        <v>13</v>
      </c>
      <c r="G3454" s="8" t="s">
        <v>61</v>
      </c>
      <c r="H3454" s="16">
        <v>0.0</v>
      </c>
      <c r="I3454" s="15" t="str">
        <f>SUBSTITUTE(Sheet1!K3454, "Rp", "")</f>
        <v>0</v>
      </c>
    </row>
    <row r="3455">
      <c r="A3455" s="8" t="s">
        <v>4784</v>
      </c>
      <c r="B3455" s="13" t="str">
        <f>HYPERLINK("https://shopee.co.id/Sakura-Collagen-10gr-2-Kolagen-Sodium-Hyaluronate-Anti-Age-Glowing-Booster-Skincare-i.55053110.7745980869", "https://shopee.co.id/Sakura-Collagen-10gr-2-Kolagen-Sodium-Hyaluronate-Anti-Age-Glowing-Booster-Skincare-i.55053110.7745980869")</f>
        <v>https://shopee.co.id/Sakura-Collagen-10gr-2-Kolagen-Sodium-Hyaluronate-Anti-Age-Glowing-Booster-Skincare-i.55053110.7745980869</v>
      </c>
      <c r="C3455" s="8" t="s">
        <v>4785</v>
      </c>
      <c r="D3455" s="8" t="s">
        <v>4786</v>
      </c>
      <c r="E3455" s="8" t="s">
        <v>12</v>
      </c>
      <c r="F3455" s="8" t="s">
        <v>13</v>
      </c>
      <c r="G3455" s="8" t="s">
        <v>98</v>
      </c>
      <c r="H3455" s="16">
        <v>0.0</v>
      </c>
      <c r="I3455" s="15" t="str">
        <f>SUBSTITUTE(Sheet1!K3455, "Rp", "")</f>
        <v>0</v>
      </c>
    </row>
    <row r="3456">
      <c r="A3456" s="8" t="s">
        <v>4787</v>
      </c>
      <c r="B3456" s="13" t="str">
        <f>HYPERLINK("https://shopee.co.id/Sarae-Glowing-Serum-Niacinamide-with-CICA-Centella-Asiatica-20-ml-x-2-pcs-i.20723335.13401676141", "https://shopee.co.id/Sarae-Glowing-Serum-Niacinamide-with-CICA-Centella-Asiatica-20-ml-x-2-pcs-i.20723335.13401676141")</f>
        <v>https://shopee.co.id/Sarae-Glowing-Serum-Niacinamide-with-CICA-Centella-Asiatica-20-ml-x-2-pcs-i.20723335.13401676141</v>
      </c>
      <c r="C3456" s="8" t="s">
        <v>2042</v>
      </c>
      <c r="D3456" s="8" t="s">
        <v>2043</v>
      </c>
      <c r="E3456" s="8" t="s">
        <v>12</v>
      </c>
      <c r="F3456" s="8" t="s">
        <v>13</v>
      </c>
      <c r="G3456" s="8" t="s">
        <v>241</v>
      </c>
      <c r="H3456" s="16">
        <v>0.0</v>
      </c>
      <c r="I3456" s="15" t="str">
        <f>SUBSTITUTE(Sheet1!K3456, "Rp", "")</f>
        <v>0</v>
      </c>
    </row>
    <row r="3457">
      <c r="A3457" s="8" t="s">
        <v>4788</v>
      </c>
      <c r="B3457" s="13" t="str">
        <f>HYPERLINK("https://shopee.co.id/Sariayu-Econature-Nutreage-Face-Serum-24-15-i.138164542.2090304159", "https://shopee.co.id/Sariayu-Econature-Nutreage-Face-Serum-24-15-i.138164542.2090304159")</f>
        <v>https://shopee.co.id/Sariayu-Econature-Nutreage-Face-Serum-24-15-i.138164542.2090304159</v>
      </c>
      <c r="C3457" s="8" t="s">
        <v>4789</v>
      </c>
      <c r="D3457" s="8" t="s">
        <v>4790</v>
      </c>
      <c r="E3457" s="8" t="s">
        <v>12</v>
      </c>
      <c r="F3457" s="8" t="s">
        <v>13</v>
      </c>
      <c r="G3457" s="8" t="s">
        <v>469</v>
      </c>
      <c r="H3457" s="16">
        <v>0.0</v>
      </c>
      <c r="I3457" s="15" t="str">
        <f>SUBSTITUTE(Sheet1!K3457, "Rp", "")</f>
        <v>0</v>
      </c>
    </row>
    <row r="3458">
      <c r="A3458" s="8" t="s">
        <v>4791</v>
      </c>
      <c r="B3458" s="13" t="str">
        <f>HYPERLINK("https://shopee.co.id/SBC-Skin-Retinol-Renewal-Serum-20ml-i.825870.4857101416", "https://shopee.co.id/SBC-Skin-Retinol-Renewal-Serum-20ml-i.825870.4857101416")</f>
        <v>https://shopee.co.id/SBC-Skin-Retinol-Renewal-Serum-20ml-i.825870.4857101416</v>
      </c>
      <c r="C3458" s="8" t="s">
        <v>1775</v>
      </c>
      <c r="D3458" s="8" t="s">
        <v>1184</v>
      </c>
      <c r="E3458" s="8" t="s">
        <v>12</v>
      </c>
      <c r="F3458" s="8" t="s">
        <v>13</v>
      </c>
      <c r="G3458" s="8" t="s">
        <v>21</v>
      </c>
      <c r="H3458" s="16">
        <v>0.0</v>
      </c>
      <c r="I3458" s="15" t="str">
        <f>SUBSTITUTE(Sheet1!K3458, "Rp", "")</f>
        <v>0</v>
      </c>
    </row>
    <row r="3459">
      <c r="A3459" s="8" t="s">
        <v>4792</v>
      </c>
      <c r="B3459" s="13" t="str">
        <f>HYPERLINK("https://shopee.co.id/SBC-Skin-Vit-C-15-Skin-Booster-Antioxidant-Serum-20ml-i.825870.6950218522", "https://shopee.co.id/SBC-Skin-Vit-C-15-Skin-Booster-Antioxidant-Serum-20ml-i.825870.6950218522")</f>
        <v>https://shopee.co.id/SBC-Skin-Vit-C-15-Skin-Booster-Antioxidant-Serum-20ml-i.825870.6950218522</v>
      </c>
      <c r="C3459" s="8" t="s">
        <v>1775</v>
      </c>
      <c r="D3459" s="8" t="s">
        <v>1184</v>
      </c>
      <c r="E3459" s="8" t="s">
        <v>12</v>
      </c>
      <c r="F3459" s="8" t="s">
        <v>13</v>
      </c>
      <c r="G3459" s="8" t="s">
        <v>21</v>
      </c>
      <c r="H3459" s="16">
        <v>0.0</v>
      </c>
      <c r="I3459" s="15" t="str">
        <f>SUBSTITUTE(Sheet1!K3459, "Rp", "")</f>
        <v>0</v>
      </c>
    </row>
    <row r="3460">
      <c r="A3460" s="8" t="s">
        <v>4793</v>
      </c>
      <c r="B3460" s="13" t="str">
        <f>HYPERLINK("https://shopee.co.id/Sbcskin-Vit-C-15-Skin-Booster-And-Antioxidant-Serum-20ml-i.10689.9184728177", "https://shopee.co.id/Sbcskin-Vit-C-15-Skin-Booster-And-Antioxidant-Serum-20ml-i.10689.9184728177")</f>
        <v>https://shopee.co.id/Sbcskin-Vit-C-15-Skin-Booster-And-Antioxidant-Serum-20ml-i.10689.9184728177</v>
      </c>
      <c r="C3460" s="8" t="s">
        <v>1775</v>
      </c>
      <c r="D3460" s="8" t="s">
        <v>745</v>
      </c>
      <c r="E3460" s="8" t="s">
        <v>12</v>
      </c>
      <c r="F3460" s="8" t="s">
        <v>13</v>
      </c>
      <c r="G3460" s="8" t="s">
        <v>61</v>
      </c>
      <c r="H3460" s="16">
        <v>0.0</v>
      </c>
      <c r="I3460" s="15" t="str">
        <f>SUBSTITUTE(Sheet1!K3460, "Rp", "")</f>
        <v>0</v>
      </c>
    </row>
    <row r="3461">
      <c r="A3461" s="8" t="s">
        <v>4794</v>
      </c>
      <c r="B3461" s="13" t="str">
        <f>HYPERLINK("https://shopee.co.id/SCARLETT-Whitening-Acne-Serum-i.187117294.6048082225", "https://shopee.co.id/SCARLETT-Whitening-Acne-Serum-i.187117294.6048082225")</f>
        <v>https://shopee.co.id/SCARLETT-Whitening-Acne-Serum-i.187117294.6048082225</v>
      </c>
      <c r="C3461" s="8" t="s">
        <v>19</v>
      </c>
      <c r="D3461" s="8" t="s">
        <v>2366</v>
      </c>
      <c r="E3461" s="8" t="s">
        <v>12</v>
      </c>
      <c r="F3461" s="8" t="s">
        <v>13</v>
      </c>
      <c r="G3461" s="8" t="s">
        <v>469</v>
      </c>
      <c r="H3461" s="16">
        <v>0.0</v>
      </c>
      <c r="I3461" s="15" t="str">
        <f>SUBSTITUTE(Sheet1!K3461, "Rp", "")</f>
        <v>0</v>
      </c>
    </row>
    <row r="3462">
      <c r="A3462" s="8" t="s">
        <v>4795</v>
      </c>
      <c r="B3462" s="13" t="str">
        <f>HYPERLINK("https://shopee.co.id/SCARLETT-Whitening-Acne-Serum-Tea-Tree-Anti-Jerawat-15-ml-i.332732864.5879841614", "https://shopee.co.id/SCARLETT-Whitening-Acne-Serum-Tea-Tree-Anti-Jerawat-15-ml-i.332732864.5879841614")</f>
        <v>https://shopee.co.id/SCARLETT-Whitening-Acne-Serum-Tea-Tree-Anti-Jerawat-15-ml-i.332732864.5879841614</v>
      </c>
      <c r="C3462" s="8" t="s">
        <v>19</v>
      </c>
      <c r="D3462" s="8" t="s">
        <v>3780</v>
      </c>
      <c r="E3462" s="8" t="s">
        <v>12</v>
      </c>
      <c r="F3462" s="8" t="s">
        <v>13</v>
      </c>
      <c r="G3462" s="8" t="s">
        <v>21</v>
      </c>
      <c r="H3462" s="16">
        <v>0.0</v>
      </c>
      <c r="I3462" s="15" t="str">
        <f>SUBSTITUTE(Sheet1!K3462, "Rp", "")</f>
        <v>0</v>
      </c>
    </row>
    <row r="3463">
      <c r="A3463" s="8" t="s">
        <v>4796</v>
      </c>
      <c r="B3463" s="13" t="str">
        <f>HYPERLINK("https://shopee.co.id/SCARLETT-WHITENING-Acne-to-Glow-Mini-Series-5ml-i.68111.11935384609", "https://shopee.co.id/SCARLETT-WHITENING-Acne-to-Glow-Mini-Series-5ml-i.68111.11935384609")</f>
        <v>https://shopee.co.id/SCARLETT-WHITENING-Acne-to-Glow-Mini-Series-5ml-i.68111.11935384609</v>
      </c>
      <c r="C3463" s="8" t="s">
        <v>19</v>
      </c>
      <c r="D3463" s="8" t="s">
        <v>441</v>
      </c>
      <c r="E3463" s="8" t="s">
        <v>12</v>
      </c>
      <c r="F3463" s="8" t="s">
        <v>13</v>
      </c>
      <c r="G3463" s="8" t="s">
        <v>130</v>
      </c>
      <c r="H3463" s="16">
        <v>0.0</v>
      </c>
      <c r="I3463" s="15" t="str">
        <f>SUBSTITUTE(Sheet1!K3463, "Rp", "")</f>
        <v>0</v>
      </c>
    </row>
    <row r="3464">
      <c r="A3464" s="8" t="s">
        <v>4797</v>
      </c>
      <c r="B3464" s="13" t="str">
        <f>HYPERLINK("https://shopee.co.id/SECA-Bye-Dark-Spot-Bundle-AHA-Alpha-Arbutin--i.373749700.10724035815", "https://shopee.co.id/SECA-Bye-Dark-Spot-Bundle-AHA-Alpha-Arbutin--i.373749700.10724035815")</f>
        <v>https://shopee.co.id/SECA-Bye-Dark-Spot-Bundle-AHA-Alpha-Arbutin--i.373749700.10724035815</v>
      </c>
      <c r="C3464" s="8" t="s">
        <v>1359</v>
      </c>
      <c r="D3464" s="8" t="s">
        <v>986</v>
      </c>
      <c r="E3464" s="8" t="s">
        <v>12</v>
      </c>
      <c r="F3464" s="8" t="s">
        <v>13</v>
      </c>
      <c r="G3464" s="8" t="s">
        <v>36</v>
      </c>
      <c r="H3464" s="16">
        <v>0.0</v>
      </c>
      <c r="I3464" s="15" t="str">
        <f>SUBSTITUTE(Sheet1!K3464, "Rp", "")</f>
        <v>0</v>
      </c>
    </row>
    <row r="3465">
      <c r="A3465" s="8" t="s">
        <v>4798</v>
      </c>
      <c r="B3465" s="13" t="str">
        <f>HYPERLINK("https://shopee.co.id/SECA-Intense-Hydration-Bundle-HA-Ceramide--i.373749700.8987234599", "https://shopee.co.id/SECA-Intense-Hydration-Bundle-HA-Ceramide--i.373749700.8987234599")</f>
        <v>https://shopee.co.id/SECA-Intense-Hydration-Bundle-HA-Ceramide--i.373749700.8987234599</v>
      </c>
      <c r="C3465" s="8" t="s">
        <v>985</v>
      </c>
      <c r="D3465" s="8" t="s">
        <v>986</v>
      </c>
      <c r="E3465" s="8" t="s">
        <v>12</v>
      </c>
      <c r="F3465" s="8" t="s">
        <v>13</v>
      </c>
      <c r="G3465" s="8" t="s">
        <v>36</v>
      </c>
      <c r="H3465" s="16">
        <v>0.0</v>
      </c>
      <c r="I3465" s="15" t="str">
        <f>SUBSTITUTE(Sheet1!K3465, "Rp", "")</f>
        <v>0</v>
      </c>
    </row>
    <row r="3466">
      <c r="A3466" s="8" t="s">
        <v>4799</v>
      </c>
      <c r="B3466" s="13" t="str">
        <f>HYPERLINK("https://shopee.co.id/Secret-Key-Starting-Treatment-Essence-Rose-Edition-BATIK-i.30736001.9051700737", "https://shopee.co.id/Secret-Key-Starting-Treatment-Essence-Rose-Edition-BATIK-i.30736001.9051700737")</f>
        <v>https://shopee.co.id/Secret-Key-Starting-Treatment-Essence-Rose-Edition-BATIK-i.30736001.9051700737</v>
      </c>
      <c r="C3466" s="8" t="s">
        <v>1340</v>
      </c>
      <c r="D3466" s="8" t="s">
        <v>335</v>
      </c>
      <c r="E3466" s="8" t="s">
        <v>12</v>
      </c>
      <c r="F3466" s="8" t="s">
        <v>13</v>
      </c>
      <c r="G3466" s="8" t="s">
        <v>36</v>
      </c>
      <c r="H3466" s="16">
        <v>0.0</v>
      </c>
      <c r="I3466" s="15" t="str">
        <f>SUBSTITUTE(Sheet1!K3466, "Rp", "")</f>
        <v>0</v>
      </c>
    </row>
    <row r="3467">
      <c r="A3467" s="8" t="s">
        <v>4800</v>
      </c>
      <c r="B3467" s="13" t="str">
        <f>HYPERLINK("https://shopee.co.id/Seger-Snow-Moisturizing-Serum-15ml-x-2pcs-Melembabkan-Wajah-Hingga-8-Jam-Minyak-Kemiri-30ml-x-3-i.221165466.6490775565", "https://shopee.co.id/Seger-Snow-Moisturizing-Serum-15ml-x-2pcs-Melembabkan-Wajah-Hingga-8-Jam-Minyak-Kemiri-30ml-x-3-i.221165466.6490775565")</f>
        <v>https://shopee.co.id/Seger-Snow-Moisturizing-Serum-15ml-x-2pcs-Melembabkan-Wajah-Hingga-8-Jam-Minyak-Kemiri-30ml-x-3-i.221165466.6490775565</v>
      </c>
      <c r="C3467" s="8" t="s">
        <v>2005</v>
      </c>
      <c r="D3467" s="8" t="s">
        <v>2006</v>
      </c>
      <c r="E3467" s="8" t="s">
        <v>12</v>
      </c>
      <c r="F3467" s="8" t="s">
        <v>13</v>
      </c>
      <c r="G3467" s="8" t="s">
        <v>241</v>
      </c>
      <c r="H3467" s="16">
        <v>0.0</v>
      </c>
      <c r="I3467" s="15" t="str">
        <f>SUBSTITUTE(Sheet1!K3467, "Rp", "")</f>
        <v>0</v>
      </c>
    </row>
    <row r="3468">
      <c r="A3468" s="8" t="s">
        <v>4801</v>
      </c>
      <c r="B3468" s="13" t="str">
        <f>HYPERLINK("https://shopee.co.id/SERUM-DOUBLE-GLOWING-SERUM-JERAWAT-MENCERAHKAN-OBAT-JERAWAT-AMPUH-KULIT-BERMINYAK-i.3990192.2631769950", "https://shopee.co.id/SERUM-DOUBLE-GLOWING-SERUM-JERAWAT-MENCERAHKAN-OBAT-JERAWAT-AMPUH-KULIT-BERMINYAK-i.3990192.2631769950")</f>
        <v>https://shopee.co.id/SERUM-DOUBLE-GLOWING-SERUM-JERAWAT-MENCERAHKAN-OBAT-JERAWAT-AMPUH-KULIT-BERMINYAK-i.3990192.2631769950</v>
      </c>
      <c r="C3468" s="8" t="s">
        <v>2579</v>
      </c>
      <c r="D3468" s="8" t="s">
        <v>2580</v>
      </c>
      <c r="E3468" s="8" t="s">
        <v>12</v>
      </c>
      <c r="F3468" s="8" t="s">
        <v>13</v>
      </c>
      <c r="G3468" s="8" t="s">
        <v>1085</v>
      </c>
      <c r="H3468" s="16">
        <v>0.0</v>
      </c>
      <c r="I3468" s="15" t="str">
        <f>SUBSTITUTE(Sheet1!K3468, "Rp", "")</f>
        <v>0</v>
      </c>
    </row>
    <row r="3469">
      <c r="A3469" s="8" t="s">
        <v>4802</v>
      </c>
      <c r="B3469" s="13" t="str">
        <f>HYPERLINK("https://shopee.co.id/Serum-Gel-Moisturizer-BUNDLE-PR-KIT-i.59474489.6095169817", "https://shopee.co.id/Serum-Gel-Moisturizer-BUNDLE-PR-KIT-i.59474489.6095169817")</f>
        <v>https://shopee.co.id/Serum-Gel-Moisturizer-BUNDLE-PR-KIT-i.59474489.6095169817</v>
      </c>
      <c r="C3469" s="8" t="s">
        <v>627</v>
      </c>
      <c r="D3469" s="8" t="s">
        <v>627</v>
      </c>
      <c r="E3469" s="8" t="s">
        <v>12</v>
      </c>
      <c r="F3469" s="8" t="s">
        <v>13</v>
      </c>
      <c r="G3469" s="8" t="s">
        <v>21</v>
      </c>
      <c r="H3469" s="16">
        <v>0.0</v>
      </c>
      <c r="I3469" s="15" t="str">
        <f>SUBSTITUTE(Sheet1!K3469, "Rp", "")</f>
        <v>0</v>
      </c>
    </row>
    <row r="3470">
      <c r="A3470" s="8" t="s">
        <v>4803</v>
      </c>
      <c r="B3470" s="13" t="str">
        <f>HYPERLINK("https://shopee.co.id/Serum-Kecantikan-Korea-Terbaik-Aish-Acne-Serum-Penghilang-Jerawat-Beserta-Bekasnya-Mengatasi-Bruntusan-Dengan-Cepat-Tanpa-Efek-Samping-i.270327756.11849465342", "https://shopee.co.id/Serum-Kecantikan-Korea-Terbaik-Aish-Acne-Serum-Penghilang-Jerawat-Beserta-Bekasnya-Mengatasi-Bruntusan-Dengan-Cepat-Tanpa-Efek-Samping-i.270327756.11849465342")</f>
        <v>https://shopee.co.id/Serum-Kecantikan-Korea-Terbaik-Aish-Acne-Serum-Penghilang-Jerawat-Beserta-Bekasnya-Mengatasi-Bruntusan-Dengan-Cepat-Tanpa-Efek-Samping-i.270327756.11849465342</v>
      </c>
      <c r="C3470" s="8" t="s">
        <v>348</v>
      </c>
      <c r="D3470" s="8" t="s">
        <v>3813</v>
      </c>
      <c r="E3470" s="8" t="s">
        <v>12</v>
      </c>
      <c r="F3470" s="8" t="s">
        <v>13</v>
      </c>
      <c r="G3470" s="8" t="s">
        <v>350</v>
      </c>
      <c r="H3470" s="16">
        <v>0.0</v>
      </c>
      <c r="I3470" s="15" t="str">
        <f>SUBSTITUTE(Sheet1!K3470, "Rp", "")</f>
        <v>0</v>
      </c>
    </row>
    <row r="3471">
      <c r="A3471" s="8" t="s">
        <v>4804</v>
      </c>
      <c r="B3471" s="13" t="str">
        <f>HYPERLINK("https://shopee.co.id/Serum-Wajah-Eucalie-Argan-Oil-Anti-Aging-Serum-20-mL-i.18163317.9659249973", "https://shopee.co.id/Serum-Wajah-Eucalie-Argan-Oil-Anti-Aging-Serum-20-mL-i.18163317.9659249973")</f>
        <v>https://shopee.co.id/Serum-Wajah-Eucalie-Argan-Oil-Anti-Aging-Serum-20-mL-i.18163317.9659249973</v>
      </c>
      <c r="C3471" s="8" t="s">
        <v>4805</v>
      </c>
      <c r="D3471" s="8" t="s">
        <v>3715</v>
      </c>
      <c r="E3471" s="8" t="s">
        <v>12</v>
      </c>
      <c r="F3471" s="8" t="s">
        <v>13</v>
      </c>
      <c r="G3471" s="8" t="s">
        <v>98</v>
      </c>
      <c r="H3471" s="16">
        <v>0.0</v>
      </c>
      <c r="I3471" s="15" t="str">
        <f>SUBSTITUTE(Sheet1!K3471, "Rp", "")</f>
        <v>0</v>
      </c>
    </row>
    <row r="3472">
      <c r="A3472" s="8" t="s">
        <v>4806</v>
      </c>
      <c r="B3472" s="13" t="str">
        <f>HYPERLINK("https://shopee.co.id/Serum-Wajah-Uriage-Eau-Thermal-Water-Serum-30-mL-i.18163317.5349913029", "https://shopee.co.id/Serum-Wajah-Uriage-Eau-Thermal-Water-Serum-30-mL-i.18163317.5349913029")</f>
        <v>https://shopee.co.id/Serum-Wajah-Uriage-Eau-Thermal-Water-Serum-30-mL-i.18163317.5349913029</v>
      </c>
      <c r="C3472" s="8" t="s">
        <v>4807</v>
      </c>
      <c r="D3472" s="8" t="s">
        <v>3715</v>
      </c>
      <c r="E3472" s="8" t="s">
        <v>12</v>
      </c>
      <c r="F3472" s="8" t="s">
        <v>13</v>
      </c>
      <c r="G3472" s="8" t="s">
        <v>98</v>
      </c>
      <c r="H3472" s="16">
        <v>0.0</v>
      </c>
      <c r="I3472" s="15" t="str">
        <f>SUBSTITUTE(Sheet1!K3472, "Rp", "")</f>
        <v>0</v>
      </c>
    </row>
    <row r="3473">
      <c r="A3473" s="8" t="s">
        <v>4808</v>
      </c>
      <c r="B3473" s="13" t="str">
        <f>HYPERLINK("https://shopee.co.id/Serum-White-4ml-Safe-For-Bumil-Busui-Promo-Special-Buy-1-Get-1-Free--i.108311902.3129683630", "https://shopee.co.id/Serum-White-4ml-Safe-For-Bumil-Busui-Promo-Special-Buy-1-Get-1-Free--i.108311902.3129683630")</f>
        <v>https://shopee.co.id/Serum-White-4ml-Safe-For-Bumil-Busui-Promo-Special-Buy-1-Get-1-Free--i.108311902.3129683630</v>
      </c>
      <c r="C3473" s="8" t="s">
        <v>3473</v>
      </c>
      <c r="D3473" s="8" t="s">
        <v>3474</v>
      </c>
      <c r="E3473" s="8" t="s">
        <v>12</v>
      </c>
      <c r="F3473" s="8" t="s">
        <v>13</v>
      </c>
      <c r="G3473" s="8" t="s">
        <v>350</v>
      </c>
      <c r="H3473" s="16">
        <v>0.0</v>
      </c>
      <c r="I3473" s="15" t="str">
        <f>SUBSTITUTE(Sheet1!K3473, "Rp", "")</f>
        <v>0</v>
      </c>
    </row>
    <row r="3474">
      <c r="A3474" s="8" t="s">
        <v>4809</v>
      </c>
      <c r="B3474" s="13" t="str">
        <f>HYPERLINK("https://shopee.co.id/Serum-White-4ml-Acne-Skin-Promo-Special-Buy-1-Get-1-Free--i.108311902.3719992618", "https://shopee.co.id/Serum-White-4ml-Acne-Skin-Promo-Special-Buy-1-Get-1-Free--i.108311902.3719992618")</f>
        <v>https://shopee.co.id/Serum-White-4ml-Acne-Skin-Promo-Special-Buy-1-Get-1-Free--i.108311902.3719992618</v>
      </c>
      <c r="C3474" s="8" t="s">
        <v>3473</v>
      </c>
      <c r="D3474" s="8" t="s">
        <v>3474</v>
      </c>
      <c r="E3474" s="8" t="s">
        <v>12</v>
      </c>
      <c r="F3474" s="8" t="s">
        <v>13</v>
      </c>
      <c r="G3474" s="8" t="s">
        <v>350</v>
      </c>
      <c r="H3474" s="16">
        <v>0.0</v>
      </c>
      <c r="I3474" s="15" t="str">
        <f>SUBSTITUTE(Sheet1!K3474, "Rp", "")</f>
        <v>0</v>
      </c>
    </row>
    <row r="3475">
      <c r="A3475" s="8" t="s">
        <v>4810</v>
      </c>
      <c r="B3475" s="13" t="str">
        <f>HYPERLINK("https://shopee.co.id/Serum-You-Need-Me-Mengatasi-Jerawat-dan-Bruntusan-TERLARIS-15-ml-i.8093738.8172151194", "https://shopee.co.id/Serum-You-Need-Me-Mengatasi-Jerawat-dan-Bruntusan-TERLARIS-15-ml-i.8093738.8172151194")</f>
        <v>https://shopee.co.id/Serum-You-Need-Me-Mengatasi-Jerawat-dan-Bruntusan-TERLARIS-15-ml-i.8093738.8172151194</v>
      </c>
      <c r="C3475" s="8" t="s">
        <v>4811</v>
      </c>
      <c r="D3475" s="8" t="s">
        <v>4812</v>
      </c>
      <c r="E3475" s="8" t="s">
        <v>12</v>
      </c>
      <c r="F3475" s="8" t="s">
        <v>13</v>
      </c>
      <c r="G3475" s="8" t="s">
        <v>350</v>
      </c>
      <c r="H3475" s="16">
        <v>0.0</v>
      </c>
      <c r="I3475" s="15" t="str">
        <f>SUBSTITUTE(Sheet1!K3475, "Rp", "")</f>
        <v>0</v>
      </c>
    </row>
    <row r="3476">
      <c r="A3476" s="8" t="s">
        <v>4813</v>
      </c>
      <c r="B3476" s="13" t="str">
        <f>HYPERLINK("https://shopee.co.id/Shiseido-Future-Solution-LX-Radiance-Serum-30ml-i.345419471.5070599358", "https://shopee.co.id/Shiseido-Future-Solution-LX-Radiance-Serum-30ml-i.345419471.5070599358")</f>
        <v>https://shopee.co.id/Shiseido-Future-Solution-LX-Radiance-Serum-30ml-i.345419471.5070599358</v>
      </c>
      <c r="C3476" s="8" t="s">
        <v>868</v>
      </c>
      <c r="D3476" s="8" t="s">
        <v>869</v>
      </c>
      <c r="E3476" s="8" t="s">
        <v>12</v>
      </c>
      <c r="F3476" s="8" t="s">
        <v>13</v>
      </c>
      <c r="G3476" s="8" t="s">
        <v>130</v>
      </c>
      <c r="H3476" s="16">
        <v>0.0</v>
      </c>
      <c r="I3476" s="15" t="str">
        <f>SUBSTITUTE(Sheet1!K3476, "Rp", "")</f>
        <v>0</v>
      </c>
    </row>
    <row r="3477">
      <c r="A3477" s="8" t="s">
        <v>4814</v>
      </c>
      <c r="B3477" s="13" t="str">
        <f>HYPERLINK("https://shopee.co.id/Shiseido-New-Ultimune-Infusing-Concentrate-Serum-30-ML-i.345419471.8803832617", "https://shopee.co.id/Shiseido-New-Ultimune-Infusing-Concentrate-Serum-30-ML-i.345419471.8803832617")</f>
        <v>https://shopee.co.id/Shiseido-New-Ultimune-Infusing-Concentrate-Serum-30-ML-i.345419471.8803832617</v>
      </c>
      <c r="C3477" s="8" t="s">
        <v>868</v>
      </c>
      <c r="D3477" s="8" t="s">
        <v>869</v>
      </c>
      <c r="E3477" s="8" t="s">
        <v>12</v>
      </c>
      <c r="F3477" s="8" t="s">
        <v>13</v>
      </c>
      <c r="G3477" s="8" t="s">
        <v>130</v>
      </c>
      <c r="H3477" s="16">
        <v>0.0</v>
      </c>
      <c r="I3477" s="15" t="str">
        <f>SUBSTITUTE(Sheet1!K3477, "Rp", "")</f>
        <v>0</v>
      </c>
    </row>
    <row r="3478">
      <c r="A3478" s="8" t="s">
        <v>4815</v>
      </c>
      <c r="B3478" s="13" t="str">
        <f>HYPERLINK("https://shopee.co.id/Shiseido-Ultimune-Power-Infusing-Concentrate-Serum-Duo-Set-50ml-50ml-Refill-i.345419471.5269554446", "https://shopee.co.id/Shiseido-Ultimune-Power-Infusing-Concentrate-Serum-Duo-Set-50ml-50ml-Refill-i.345419471.5269554446")</f>
        <v>https://shopee.co.id/Shiseido-Ultimune-Power-Infusing-Concentrate-Serum-Duo-Set-50ml-50ml-Refill-i.345419471.5269554446</v>
      </c>
      <c r="C3478" s="8" t="s">
        <v>868</v>
      </c>
      <c r="D3478" s="8" t="s">
        <v>869</v>
      </c>
      <c r="E3478" s="8" t="s">
        <v>12</v>
      </c>
      <c r="F3478" s="8" t="s">
        <v>13</v>
      </c>
      <c r="G3478" s="8" t="s">
        <v>130</v>
      </c>
      <c r="H3478" s="16">
        <v>0.0</v>
      </c>
      <c r="I3478" s="15" t="str">
        <f>SUBSTITUTE(Sheet1!K3478, "Rp", "")</f>
        <v>0</v>
      </c>
    </row>
    <row r="3479">
      <c r="A3479" s="8" t="s">
        <v>4816</v>
      </c>
      <c r="B3479" s="13" t="str">
        <f>HYPERLINK("https://shopee.co.id/Shopee-Best-Seller-Smooto-Tomato-Perfect-White-Body-Serum-i.97148691.9602420206", "https://shopee.co.id/Shopee-Best-Seller-Smooto-Tomato-Perfect-White-Body-Serum-i.97148691.9602420206")</f>
        <v>https://shopee.co.id/Shopee-Best-Seller-Smooto-Tomato-Perfect-White-Body-Serum-i.97148691.9602420206</v>
      </c>
      <c r="C3479" s="8" t="s">
        <v>2779</v>
      </c>
      <c r="D3479" s="8" t="s">
        <v>2855</v>
      </c>
      <c r="E3479" s="8" t="s">
        <v>12</v>
      </c>
      <c r="F3479" s="8" t="s">
        <v>13</v>
      </c>
      <c r="G3479" s="8" t="s">
        <v>85</v>
      </c>
      <c r="H3479" s="16">
        <v>0.0</v>
      </c>
      <c r="I3479" s="15" t="str">
        <f>SUBSTITUTE(Sheet1!K3479, "Rp", "")</f>
        <v>0</v>
      </c>
    </row>
    <row r="3480">
      <c r="A3480" s="8" t="s">
        <v>4817</v>
      </c>
      <c r="B3480" s="13" t="str">
        <f>HYPERLINK("https://shopee.co.id/SIMPLISTIC-Essence-Wonder-150ml-i.109981258.6952065536", "https://shopee.co.id/SIMPLISTIC-Essence-Wonder-150ml-i.109981258.6952065536")</f>
        <v>https://shopee.co.id/SIMPLISTIC-Essence-Wonder-150ml-i.109981258.6952065536</v>
      </c>
      <c r="C3480" s="8" t="s">
        <v>4818</v>
      </c>
      <c r="D3480" s="8" t="s">
        <v>2576</v>
      </c>
      <c r="E3480" s="8" t="s">
        <v>12</v>
      </c>
      <c r="F3480" s="8" t="s">
        <v>13</v>
      </c>
      <c r="G3480" s="8" t="s">
        <v>21</v>
      </c>
      <c r="H3480" s="16">
        <v>0.0</v>
      </c>
      <c r="I3480" s="15" t="str">
        <f>SUBSTITUTE(Sheet1!K3480, "Rp", "")</f>
        <v>0</v>
      </c>
    </row>
    <row r="3481">
      <c r="A3481" s="8" t="s">
        <v>4819</v>
      </c>
      <c r="B3481" s="13" t="str">
        <f>HYPERLINK("https://shopee.co.id/SIMPLISTIC-Simplistic-Essence-Wonder-i.68111.8813569424", "https://shopee.co.id/SIMPLISTIC-Simplistic-Essence-Wonder-i.68111.8813569424")</f>
        <v>https://shopee.co.id/SIMPLISTIC-Simplistic-Essence-Wonder-i.68111.8813569424</v>
      </c>
      <c r="C3481" s="8" t="s">
        <v>4818</v>
      </c>
      <c r="D3481" s="8" t="s">
        <v>441</v>
      </c>
      <c r="E3481" s="8" t="s">
        <v>12</v>
      </c>
      <c r="F3481" s="8" t="s">
        <v>13</v>
      </c>
      <c r="G3481" s="8" t="s">
        <v>130</v>
      </c>
      <c r="H3481" s="16">
        <v>0.0</v>
      </c>
      <c r="I3481" s="15" t="str">
        <f>SUBSTITUTE(Sheet1!K3481, "Rp", "")</f>
        <v>0</v>
      </c>
    </row>
    <row r="3482">
      <c r="A3482" s="8" t="s">
        <v>4820</v>
      </c>
      <c r="B3482" s="13" t="str">
        <f>HYPERLINK("https://shopee.co.id/SimplySiti-New-Age-Regenerating-Serum-i.106933399.1679828231", "https://shopee.co.id/SimplySiti-New-Age-Regenerating-Serum-i.106933399.1679828231")</f>
        <v>https://shopee.co.id/SimplySiti-New-Age-Regenerating-Serum-i.106933399.1679828231</v>
      </c>
      <c r="C3482" s="8" t="s">
        <v>4821</v>
      </c>
      <c r="D3482" s="8" t="s">
        <v>4822</v>
      </c>
      <c r="E3482" s="8" t="s">
        <v>12</v>
      </c>
      <c r="F3482" s="8" t="s">
        <v>13</v>
      </c>
      <c r="G3482" s="8" t="s">
        <v>1085</v>
      </c>
      <c r="H3482" s="16">
        <v>0.0</v>
      </c>
      <c r="I3482" s="15" t="str">
        <f>SUBSTITUTE(Sheet1!K3482, "Rp", "")</f>
        <v>0</v>
      </c>
    </row>
    <row r="3483">
      <c r="A3483" s="8" t="s">
        <v>4823</v>
      </c>
      <c r="B3483" s="13" t="str">
        <f>HYPERLINK("https://shopee.co.id/SK-II-Facial-Treatment-Essence-230-ml-i.110573301.9807526875", "https://shopee.co.id/SK-II-Facial-Treatment-Essence-230-ml-i.110573301.9807526875")</f>
        <v>https://shopee.co.id/SK-II-Facial-Treatment-Essence-230-ml-i.110573301.9807526875</v>
      </c>
      <c r="C3483" s="8" t="s">
        <v>1372</v>
      </c>
      <c r="D3483" s="8" t="s">
        <v>227</v>
      </c>
      <c r="E3483" s="8" t="s">
        <v>12</v>
      </c>
      <c r="F3483" s="8" t="s">
        <v>13</v>
      </c>
      <c r="G3483" s="8" t="s">
        <v>61</v>
      </c>
      <c r="H3483" s="16">
        <v>0.0</v>
      </c>
      <c r="I3483" s="15" t="str">
        <f>SUBSTITUTE(Sheet1!K3483, "Rp", "")</f>
        <v>0</v>
      </c>
    </row>
    <row r="3484">
      <c r="A3484" s="8" t="s">
        <v>4824</v>
      </c>
      <c r="B3484" s="13" t="str">
        <f>HYPERLINK("https://shopee.co.id/SK-II-RNA-Essence-50-ml-i.110573301.8907532081", "https://shopee.co.id/SK-II-RNA-Essence-50-ml-i.110573301.8907532081")</f>
        <v>https://shopee.co.id/SK-II-RNA-Essence-50-ml-i.110573301.8907532081</v>
      </c>
      <c r="C3484" s="8" t="s">
        <v>1372</v>
      </c>
      <c r="D3484" s="8" t="s">
        <v>227</v>
      </c>
      <c r="E3484" s="8" t="s">
        <v>12</v>
      </c>
      <c r="F3484" s="8" t="s">
        <v>13</v>
      </c>
      <c r="G3484" s="8" t="s">
        <v>61</v>
      </c>
      <c r="H3484" s="16">
        <v>0.0</v>
      </c>
      <c r="I3484" s="15" t="str">
        <f>SUBSTITUTE(Sheet1!K3484, "Rp", "")</f>
        <v>0</v>
      </c>
    </row>
    <row r="3485">
      <c r="A3485" s="8" t="s">
        <v>4825</v>
      </c>
      <c r="B3485" s="13" t="str">
        <f>HYPERLINK("https://shopee.co.id/SK-II-R-N-A-Power-Radical-New-Age-Essence-i.187117294.4790747223", "https://shopee.co.id/SK-II-R-N-A-Power-Radical-New-Age-Essence-i.187117294.4790747223")</f>
        <v>https://shopee.co.id/SK-II-R-N-A-Power-Radical-New-Age-Essence-i.187117294.4790747223</v>
      </c>
      <c r="C3485" s="8" t="s">
        <v>1372</v>
      </c>
      <c r="D3485" s="8" t="s">
        <v>2366</v>
      </c>
      <c r="E3485" s="8" t="s">
        <v>12</v>
      </c>
      <c r="F3485" s="8" t="s">
        <v>13</v>
      </c>
      <c r="G3485" s="8" t="s">
        <v>469</v>
      </c>
      <c r="H3485" s="16">
        <v>0.0</v>
      </c>
      <c r="I3485" s="15" t="str">
        <f>SUBSTITUTE(Sheet1!K3485, "Rp", "")</f>
        <v>0</v>
      </c>
    </row>
    <row r="3486">
      <c r="A3486" s="8" t="s">
        <v>4826</v>
      </c>
      <c r="B3486" s="13" t="str">
        <f>HYPERLINK("https://shopee.co.id/SKEYNDOR-Eternal-Intensive-Serum-i.241089883.7447932436", "https://shopee.co.id/SKEYNDOR-Eternal-Intensive-Serum-i.241089883.7447932436")</f>
        <v>https://shopee.co.id/SKEYNDOR-Eternal-Intensive-Serum-i.241089883.7447932436</v>
      </c>
      <c r="C3486" s="8" t="s">
        <v>2215</v>
      </c>
      <c r="D3486" s="8" t="s">
        <v>2216</v>
      </c>
      <c r="E3486" s="8" t="s">
        <v>12</v>
      </c>
      <c r="F3486" s="8" t="s">
        <v>13</v>
      </c>
      <c r="G3486" s="8" t="s">
        <v>21</v>
      </c>
      <c r="H3486" s="16">
        <v>0.0</v>
      </c>
      <c r="I3486" s="15" t="str">
        <f>SUBSTITUTE(Sheet1!K3486, "Rp", "")</f>
        <v>0</v>
      </c>
    </row>
    <row r="3487">
      <c r="A3487" s="8" t="s">
        <v>4827</v>
      </c>
      <c r="B3487" s="13" t="str">
        <f>HYPERLINK("https://shopee.co.id/SKEYNDOR-Overnight-Serum-i.241089883.3327298687", "https://shopee.co.id/SKEYNDOR-Overnight-Serum-i.241089883.3327298687")</f>
        <v>https://shopee.co.id/SKEYNDOR-Overnight-Serum-i.241089883.3327298687</v>
      </c>
      <c r="C3487" s="8" t="s">
        <v>2215</v>
      </c>
      <c r="D3487" s="8" t="s">
        <v>2216</v>
      </c>
      <c r="E3487" s="8" t="s">
        <v>12</v>
      </c>
      <c r="F3487" s="8" t="s">
        <v>13</v>
      </c>
      <c r="G3487" s="8" t="s">
        <v>21</v>
      </c>
      <c r="H3487" s="16">
        <v>0.0</v>
      </c>
      <c r="I3487" s="15" t="str">
        <f>SUBSTITUTE(Sheet1!K3487, "Rp", "")</f>
        <v>0</v>
      </c>
    </row>
    <row r="3488">
      <c r="A3488" s="8" t="s">
        <v>4828</v>
      </c>
      <c r="B3488" s="13" t="str">
        <f>HYPERLINK("https://shopee.co.id/SKEYNDOR-Power-Retinol-Intensive-Repairing-Emulsion-i.241089883.5126342094", "https://shopee.co.id/SKEYNDOR-Power-Retinol-Intensive-Repairing-Emulsion-i.241089883.5126342094")</f>
        <v>https://shopee.co.id/SKEYNDOR-Power-Retinol-Intensive-Repairing-Emulsion-i.241089883.5126342094</v>
      </c>
      <c r="C3488" s="8" t="s">
        <v>2215</v>
      </c>
      <c r="D3488" s="8" t="s">
        <v>2216</v>
      </c>
      <c r="E3488" s="8" t="s">
        <v>12</v>
      </c>
      <c r="F3488" s="8" t="s">
        <v>13</v>
      </c>
      <c r="G3488" s="8" t="s">
        <v>21</v>
      </c>
      <c r="H3488" s="16">
        <v>0.0</v>
      </c>
      <c r="I3488" s="15" t="str">
        <f>SUBSTITUTE(Sheet1!K3488, "Rp", "")</f>
        <v>0</v>
      </c>
    </row>
    <row r="3489">
      <c r="A3489" s="8" t="s">
        <v>4829</v>
      </c>
      <c r="B3489" s="13" t="str">
        <f>HYPERLINK("https://shopee.co.id/SKEYNDOR-Power-Retinol-Intensive-Serum-In-Cream-i.68111.9238287394", "https://shopee.co.id/SKEYNDOR-Power-Retinol-Intensive-Serum-In-Cream-i.68111.9238287394")</f>
        <v>https://shopee.co.id/SKEYNDOR-Power-Retinol-Intensive-Serum-In-Cream-i.68111.9238287394</v>
      </c>
      <c r="C3489" s="8" t="s">
        <v>2215</v>
      </c>
      <c r="D3489" s="8" t="s">
        <v>441</v>
      </c>
      <c r="E3489" s="8" t="s">
        <v>12</v>
      </c>
      <c r="F3489" s="8" t="s">
        <v>13</v>
      </c>
      <c r="G3489" s="8" t="s">
        <v>130</v>
      </c>
      <c r="H3489" s="16">
        <v>0.0</v>
      </c>
      <c r="I3489" s="15" t="str">
        <f>SUBSTITUTE(Sheet1!K3489, "Rp", "")</f>
        <v>0</v>
      </c>
    </row>
    <row r="3490">
      <c r="A3490" s="8" t="s">
        <v>4830</v>
      </c>
      <c r="B3490" s="13" t="str">
        <f>HYPERLINK("https://shopee.co.id/Skin-Aqua-Tone-Up-Skin-Aqua-Moisture-Milk-SPF-50-PA-FREE-POUCH-SKIN-AQUA--i.78713320.8641447887", "https://shopee.co.id/Skin-Aqua-Tone-Up-Skin-Aqua-Moisture-Milk-SPF-50-PA-FREE-POUCH-SKIN-AQUA--i.78713320.8641447887")</f>
        <v>https://shopee.co.id/Skin-Aqua-Tone-Up-Skin-Aqua-Moisture-Milk-SPF-50-PA-FREE-POUCH-SKIN-AQUA--i.78713320.8641447887</v>
      </c>
      <c r="C3490" s="8" t="s">
        <v>830</v>
      </c>
      <c r="D3490" s="8" t="s">
        <v>831</v>
      </c>
      <c r="E3490" s="8" t="s">
        <v>12</v>
      </c>
      <c r="F3490" s="8" t="s">
        <v>13</v>
      </c>
      <c r="G3490" s="8" t="s">
        <v>61</v>
      </c>
      <c r="H3490" s="16">
        <v>0.0</v>
      </c>
      <c r="I3490" s="15" t="str">
        <f>SUBSTITUTE(Sheet1!K3490, "Rp", "")</f>
        <v>0</v>
      </c>
    </row>
    <row r="3491">
      <c r="A3491" s="8" t="s">
        <v>4831</v>
      </c>
      <c r="B3491" s="13" t="str">
        <f>HYPERLINK("https://shopee.co.id/Skin-Dewi-Helichrysum-Brightening-Vitamin-C-Treatment-i.339725786.4382402466", "https://shopee.co.id/Skin-Dewi-Helichrysum-Brightening-Vitamin-C-Treatment-i.339725786.4382402466")</f>
        <v>https://shopee.co.id/Skin-Dewi-Helichrysum-Brightening-Vitamin-C-Treatment-i.339725786.4382402466</v>
      </c>
      <c r="C3491" s="8" t="s">
        <v>4832</v>
      </c>
      <c r="D3491" s="8" t="s">
        <v>1373</v>
      </c>
      <c r="E3491" s="8" t="s">
        <v>12</v>
      </c>
      <c r="F3491" s="8" t="s">
        <v>13</v>
      </c>
      <c r="G3491" s="8" t="s">
        <v>98</v>
      </c>
      <c r="H3491" s="16">
        <v>0.0</v>
      </c>
      <c r="I3491" s="15" t="str">
        <f>SUBSTITUTE(Sheet1!K3491, "Rp", "")</f>
        <v>0</v>
      </c>
    </row>
    <row r="3492">
      <c r="A3492" s="8" t="s">
        <v>4833</v>
      </c>
      <c r="B3492" s="13" t="str">
        <f>HYPERLINK("https://shopee.co.id/Skin-Dewi-Helichrysum-Brightening-Vit-C-30gr-i.825870.2841350069", "https://shopee.co.id/Skin-Dewi-Helichrysum-Brightening-Vit-C-30gr-i.825870.2841350069")</f>
        <v>https://shopee.co.id/Skin-Dewi-Helichrysum-Brightening-Vit-C-30gr-i.825870.2841350069</v>
      </c>
      <c r="C3492" s="8" t="s">
        <v>4832</v>
      </c>
      <c r="D3492" s="8" t="s">
        <v>1184</v>
      </c>
      <c r="E3492" s="8" t="s">
        <v>12</v>
      </c>
      <c r="F3492" s="8" t="s">
        <v>13</v>
      </c>
      <c r="G3492" s="8" t="s">
        <v>21</v>
      </c>
      <c r="H3492" s="16">
        <v>0.0</v>
      </c>
      <c r="I3492" s="15" t="str">
        <f>SUBSTITUTE(Sheet1!K3492, "Rp", "")</f>
        <v>0</v>
      </c>
    </row>
    <row r="3493">
      <c r="A3493" s="8" t="s">
        <v>4834</v>
      </c>
      <c r="B3493" s="13" t="str">
        <f>HYPERLINK("https://shopee.co.id/Skin-Dewi-Sea-Bucktorn-Reviving-Elixir-30ml-i.825870.6101216193", "https://shopee.co.id/Skin-Dewi-Sea-Bucktorn-Reviving-Elixir-30ml-i.825870.6101216193")</f>
        <v>https://shopee.co.id/Skin-Dewi-Sea-Bucktorn-Reviving-Elixir-30ml-i.825870.6101216193</v>
      </c>
      <c r="C3493" s="8" t="s">
        <v>4832</v>
      </c>
      <c r="D3493" s="8" t="s">
        <v>1184</v>
      </c>
      <c r="E3493" s="8" t="s">
        <v>12</v>
      </c>
      <c r="F3493" s="8" t="s">
        <v>13</v>
      </c>
      <c r="G3493" s="8" t="s">
        <v>21</v>
      </c>
      <c r="H3493" s="16">
        <v>0.0</v>
      </c>
      <c r="I3493" s="15" t="str">
        <f>SUBSTITUTE(Sheet1!K3493, "Rp", "")</f>
        <v>0</v>
      </c>
    </row>
    <row r="3494">
      <c r="A3494" s="8" t="s">
        <v>4835</v>
      </c>
      <c r="B3494" s="13" t="str">
        <f>HYPERLINK("https://shopee.co.id/Skin-Dewi-Tamanu-Green-Serum-30ml-i.825870.4218538162", "https://shopee.co.id/Skin-Dewi-Tamanu-Green-Serum-30ml-i.825870.4218538162")</f>
        <v>https://shopee.co.id/Skin-Dewi-Tamanu-Green-Serum-30ml-i.825870.4218538162</v>
      </c>
      <c r="C3494" s="8" t="s">
        <v>940</v>
      </c>
      <c r="D3494" s="8" t="s">
        <v>1184</v>
      </c>
      <c r="E3494" s="8" t="s">
        <v>12</v>
      </c>
      <c r="F3494" s="8" t="s">
        <v>13</v>
      </c>
      <c r="G3494" s="8" t="s">
        <v>21</v>
      </c>
      <c r="H3494" s="16">
        <v>0.0</v>
      </c>
      <c r="I3494" s="15" t="str">
        <f>SUBSTITUTE(Sheet1!K3494, "Rp", "")</f>
        <v>0</v>
      </c>
    </row>
    <row r="3495">
      <c r="A3495" s="8" t="s">
        <v>4836</v>
      </c>
      <c r="B3495" s="13" t="str">
        <f>HYPERLINK("https://shopee.co.id/SKIN-DEWI-Tamanu-Green-Serum-30ML-i.68111.9125225140", "https://shopee.co.id/SKIN-DEWI-Tamanu-Green-Serum-30ML-i.68111.9125225140")</f>
        <v>https://shopee.co.id/SKIN-DEWI-Tamanu-Green-Serum-30ML-i.68111.9125225140</v>
      </c>
      <c r="C3495" s="8" t="s">
        <v>940</v>
      </c>
      <c r="D3495" s="8" t="s">
        <v>441</v>
      </c>
      <c r="E3495" s="8" t="s">
        <v>12</v>
      </c>
      <c r="F3495" s="8" t="s">
        <v>13</v>
      </c>
      <c r="G3495" s="8" t="s">
        <v>130</v>
      </c>
      <c r="H3495" s="16">
        <v>0.0</v>
      </c>
      <c r="I3495" s="15" t="str">
        <f>SUBSTITUTE(Sheet1!K3495, "Rp", "")</f>
        <v>0</v>
      </c>
    </row>
    <row r="3496">
      <c r="A3496" s="8" t="s">
        <v>4837</v>
      </c>
      <c r="B3496" s="13" t="str">
        <f>HYPERLINK("https://shopee.co.id/Skin-Game-Barricade-Serum-30ml-i.136011044.7085962150", "https://shopee.co.id/Skin-Game-Barricade-Serum-30ml-i.136011044.7085962150")</f>
        <v>https://shopee.co.id/Skin-Game-Barricade-Serum-30ml-i.136011044.7085962150</v>
      </c>
      <c r="C3496" s="8" t="s">
        <v>523</v>
      </c>
      <c r="D3496" s="8" t="s">
        <v>632</v>
      </c>
      <c r="E3496" s="8" t="s">
        <v>12</v>
      </c>
      <c r="F3496" s="8" t="s">
        <v>13</v>
      </c>
      <c r="G3496" s="8" t="s">
        <v>21</v>
      </c>
      <c r="H3496" s="16">
        <v>0.0</v>
      </c>
      <c r="I3496" s="15" t="str">
        <f>SUBSTITUTE(Sheet1!K3496, "Rp", "")</f>
        <v>0</v>
      </c>
    </row>
    <row r="3497">
      <c r="A3497" s="8" t="s">
        <v>4838</v>
      </c>
      <c r="B3497" s="13" t="str">
        <f>HYPERLINK("https://shopee.co.id/Skin-Game-Skin-Barricade-Serum-30ml-i.825870.7586765676", "https://shopee.co.id/Skin-Game-Skin-Barricade-Serum-30ml-i.825870.7586765676")</f>
        <v>https://shopee.co.id/Skin-Game-Skin-Barricade-Serum-30ml-i.825870.7586765676</v>
      </c>
      <c r="C3497" s="8" t="s">
        <v>523</v>
      </c>
      <c r="D3497" s="8" t="s">
        <v>1184</v>
      </c>
      <c r="E3497" s="8" t="s">
        <v>12</v>
      </c>
      <c r="F3497" s="8" t="s">
        <v>13</v>
      </c>
      <c r="G3497" s="8" t="s">
        <v>21</v>
      </c>
      <c r="H3497" s="16">
        <v>0.0</v>
      </c>
      <c r="I3497" s="15" t="str">
        <f>SUBSTITUTE(Sheet1!K3497, "Rp", "")</f>
        <v>0</v>
      </c>
    </row>
    <row r="3498">
      <c r="A3498" s="8" t="s">
        <v>4839</v>
      </c>
      <c r="B3498" s="13" t="str">
        <f>HYPERLINK("https://shopee.co.id/Skincare-japan-halal-skincare-Momohime-White-Essence-i.72605759.1228258321", "https://shopee.co.id/Skincare-japan-halal-skincare-Momohime-White-Essence-i.72605759.1228258321")</f>
        <v>https://shopee.co.id/Skincare-japan-halal-skincare-Momohime-White-Essence-i.72605759.1228258321</v>
      </c>
      <c r="C3498" s="8" t="s">
        <v>4840</v>
      </c>
      <c r="D3498" s="8" t="s">
        <v>4841</v>
      </c>
      <c r="E3498" s="8" t="s">
        <v>12</v>
      </c>
      <c r="F3498" s="8" t="s">
        <v>13</v>
      </c>
      <c r="G3498" s="8" t="s">
        <v>1777</v>
      </c>
      <c r="H3498" s="16">
        <v>0.0</v>
      </c>
      <c r="I3498" s="15" t="str">
        <f>SUBSTITUTE(Sheet1!K3498, "Rp", "")</f>
        <v>0</v>
      </c>
    </row>
    <row r="3499">
      <c r="A3499" s="8" t="s">
        <v>4842</v>
      </c>
      <c r="B3499" s="13" t="str">
        <f>HYPERLINK("https://shopee.co.id/Skind-Aesthetic-Rose-Drip-Crystal-Clear-Serum-Skind-Aesthetic-Gotu-Kola-Power-Toner-i.168325789.9378897103", "https://shopee.co.id/Skind-Aesthetic-Rose-Drip-Crystal-Clear-Serum-Skind-Aesthetic-Gotu-Kola-Power-Toner-i.168325789.9378897103")</f>
        <v>https://shopee.co.id/Skind-Aesthetic-Rose-Drip-Crystal-Clear-Serum-Skind-Aesthetic-Gotu-Kola-Power-Toner-i.168325789.9378897103</v>
      </c>
      <c r="C3499" s="8" t="s">
        <v>2921</v>
      </c>
      <c r="D3499" s="8" t="s">
        <v>3282</v>
      </c>
      <c r="E3499" s="8" t="s">
        <v>12</v>
      </c>
      <c r="F3499" s="8" t="s">
        <v>13</v>
      </c>
      <c r="G3499" s="8" t="s">
        <v>241</v>
      </c>
      <c r="H3499" s="16">
        <v>0.0</v>
      </c>
      <c r="I3499" s="15" t="str">
        <f>SUBSTITUTE(Sheet1!K3499, "Rp", "")</f>
        <v>0</v>
      </c>
    </row>
    <row r="3500">
      <c r="A3500" s="8" t="s">
        <v>4843</v>
      </c>
      <c r="B3500" s="13" t="str">
        <f>HYPERLINK("https://shopee.co.id/Skind-Aesthetic-Twins-Gluthacell-Advance-Treatment-Bundle-i.168325789.6361197617", "https://shopee.co.id/Skind-Aesthetic-Twins-Gluthacell-Advance-Treatment-Bundle-i.168325789.6361197617")</f>
        <v>https://shopee.co.id/Skind-Aesthetic-Twins-Gluthacell-Advance-Treatment-Bundle-i.168325789.6361197617</v>
      </c>
      <c r="C3500" s="8" t="s">
        <v>2921</v>
      </c>
      <c r="D3500" s="8" t="s">
        <v>3282</v>
      </c>
      <c r="E3500" s="8" t="s">
        <v>12</v>
      </c>
      <c r="F3500" s="8" t="s">
        <v>13</v>
      </c>
      <c r="G3500" s="8" t="s">
        <v>241</v>
      </c>
      <c r="H3500" s="16">
        <v>0.0</v>
      </c>
      <c r="I3500" s="15" t="str">
        <f>SUBSTITUTE(Sheet1!K3500, "Rp", "")</f>
        <v>0</v>
      </c>
    </row>
    <row r="3501">
      <c r="A3501" s="8" t="s">
        <v>4844</v>
      </c>
      <c r="B3501" s="13" t="str">
        <f>HYPERLINK("https://shopee.co.id/SKINOIA-Gentle-Acne-Care-Duo-Serum-Moisturizer--i.57794454.8363877946", "https://shopee.co.id/SKINOIA-Gentle-Acne-Care-Duo-Serum-Moisturizer--i.57794454.8363877946")</f>
        <v>https://shopee.co.id/SKINOIA-Gentle-Acne-Care-Duo-Serum-Moisturizer--i.57794454.8363877946</v>
      </c>
      <c r="C3501" s="8" t="s">
        <v>3232</v>
      </c>
      <c r="D3501" s="8" t="s">
        <v>3233</v>
      </c>
      <c r="E3501" s="8" t="s">
        <v>12</v>
      </c>
      <c r="F3501" s="8" t="s">
        <v>13</v>
      </c>
      <c r="G3501" s="8" t="s">
        <v>350</v>
      </c>
      <c r="H3501" s="16">
        <v>0.0</v>
      </c>
      <c r="I3501" s="15" t="str">
        <f>SUBSTITUTE(Sheet1!K3501, "Rp", "")</f>
        <v>0</v>
      </c>
    </row>
    <row r="3502">
      <c r="A3502" s="8" t="s">
        <v>4845</v>
      </c>
      <c r="B3502" s="13" t="str">
        <f>HYPERLINK("https://shopee.co.id/Smooto-Egg-Collagen-White-Serum-Mencerahkan-i.98124209.13904194011", "https://shopee.co.id/Smooto-Egg-Collagen-White-Serum-Mencerahkan-i.98124209.13904194011")</f>
        <v>https://shopee.co.id/Smooto-Egg-Collagen-White-Serum-Mencerahkan-i.98124209.13904194011</v>
      </c>
      <c r="C3502" s="8" t="s">
        <v>2779</v>
      </c>
      <c r="D3502" s="8" t="s">
        <v>791</v>
      </c>
      <c r="E3502" s="8" t="s">
        <v>12</v>
      </c>
      <c r="F3502" s="8" t="s">
        <v>13</v>
      </c>
      <c r="G3502" s="8" t="s">
        <v>85</v>
      </c>
      <c r="H3502" s="16">
        <v>0.0</v>
      </c>
      <c r="I3502" s="15" t="str">
        <f>SUBSTITUTE(Sheet1!K3502, "Rp", "")</f>
        <v>0</v>
      </c>
    </row>
    <row r="3503">
      <c r="A3503" s="8" t="s">
        <v>4846</v>
      </c>
      <c r="B3503" s="13" t="str">
        <f>HYPERLINK("https://shopee.co.id/Smooto-Egg-Collagen-White-Serum-Mencerahkan-Melembabkan-Mengecilkan-Pori-i.359274839.13304215398", "https://shopee.co.id/Smooto-Egg-Collagen-White-Serum-Mencerahkan-Melembabkan-Mengecilkan-Pori-i.359274839.13304215398")</f>
        <v>https://shopee.co.id/Smooto-Egg-Collagen-White-Serum-Mencerahkan-Melembabkan-Mengecilkan-Pori-i.359274839.13304215398</v>
      </c>
      <c r="C3503" s="8" t="s">
        <v>2779</v>
      </c>
      <c r="D3503" s="8" t="s">
        <v>4847</v>
      </c>
      <c r="E3503" s="8" t="s">
        <v>12</v>
      </c>
      <c r="F3503" s="8" t="s">
        <v>13</v>
      </c>
      <c r="G3503" s="8" t="s">
        <v>85</v>
      </c>
      <c r="H3503" s="16">
        <v>0.0</v>
      </c>
      <c r="I3503" s="15" t="str">
        <f>SUBSTITUTE(Sheet1!K3503, "Rp", "")</f>
        <v>0</v>
      </c>
    </row>
    <row r="3504">
      <c r="A3504" s="8" t="s">
        <v>4848</v>
      </c>
      <c r="B3504" s="13" t="str">
        <f>HYPERLINK("https://shopee.co.id/Smooto-Lemon-C-Acne-Plus-White-Serum-i.65619901.2047524665", "https://shopee.co.id/Smooto-Lemon-C-Acne-Plus-White-Serum-i.65619901.2047524665")</f>
        <v>https://shopee.co.id/Smooto-Lemon-C-Acne-Plus-White-Serum-i.65619901.2047524665</v>
      </c>
      <c r="C3504" s="8" t="s">
        <v>2779</v>
      </c>
      <c r="D3504" s="8" t="s">
        <v>2780</v>
      </c>
      <c r="E3504" s="8" t="s">
        <v>12</v>
      </c>
      <c r="F3504" s="8" t="s">
        <v>13</v>
      </c>
      <c r="G3504" s="8" t="s">
        <v>85</v>
      </c>
      <c r="H3504" s="16">
        <v>0.0</v>
      </c>
      <c r="I3504" s="15" t="str">
        <f>SUBSTITUTE(Sheet1!K3504, "Rp", "")</f>
        <v>0</v>
      </c>
    </row>
    <row r="3505">
      <c r="A3505" s="8" t="s">
        <v>4849</v>
      </c>
      <c r="B3505" s="13" t="str">
        <f>HYPERLINK("https://shopee.co.id/Smooto-Tomato-Collagen-White-Serum-1-Box-isi-6pcs-i.65619901.6775411997", "https://shopee.co.id/Smooto-Tomato-Collagen-White-Serum-1-Box-isi-6pcs-i.65619901.6775411997")</f>
        <v>https://shopee.co.id/Smooto-Tomato-Collagen-White-Serum-1-Box-isi-6pcs-i.65619901.6775411997</v>
      </c>
      <c r="C3505" s="8" t="s">
        <v>2779</v>
      </c>
      <c r="D3505" s="8" t="s">
        <v>2780</v>
      </c>
      <c r="E3505" s="8" t="s">
        <v>12</v>
      </c>
      <c r="F3505" s="8" t="s">
        <v>13</v>
      </c>
      <c r="G3505" s="8" t="s">
        <v>85</v>
      </c>
      <c r="H3505" s="16">
        <v>0.0</v>
      </c>
      <c r="I3505" s="15" t="str">
        <f>SUBSTITUTE(Sheet1!K3505, "Rp", "")</f>
        <v>0</v>
      </c>
    </row>
    <row r="3506">
      <c r="A3506" s="8" t="s">
        <v>4850</v>
      </c>
      <c r="B3506" s="13" t="str">
        <f>HYPERLINK("https://shopee.co.id/SNP-Cicaronil-SOS-Ampoule-i.270965687.4379143594", "https://shopee.co.id/SNP-Cicaronil-SOS-Ampoule-i.270965687.4379143594")</f>
        <v>https://shopee.co.id/SNP-Cicaronil-SOS-Ampoule-i.270965687.4379143594</v>
      </c>
      <c r="C3506" s="8" t="s">
        <v>565</v>
      </c>
      <c r="D3506" s="8" t="s">
        <v>379</v>
      </c>
      <c r="E3506" s="8" t="s">
        <v>12</v>
      </c>
      <c r="F3506" s="8" t="s">
        <v>13</v>
      </c>
      <c r="G3506" s="8" t="s">
        <v>380</v>
      </c>
      <c r="H3506" s="16">
        <v>0.0</v>
      </c>
      <c r="I3506" s="15" t="str">
        <f>SUBSTITUTE(Sheet1!K3506, "Rp", "")</f>
        <v>0</v>
      </c>
    </row>
    <row r="3507">
      <c r="A3507" s="8" t="s">
        <v>4851</v>
      </c>
      <c r="B3507" s="13" t="str">
        <f>HYPERLINK("https://shopee.co.id/SNP-HDDN-Lab-Open-Your-Ice-Serum-i.88399725.1894803295", "https://shopee.co.id/SNP-HDDN-Lab-Open-Your-Ice-Serum-i.88399725.1894803295")</f>
        <v>https://shopee.co.id/SNP-HDDN-Lab-Open-Your-Ice-Serum-i.88399725.1894803295</v>
      </c>
      <c r="C3507" s="8" t="s">
        <v>565</v>
      </c>
      <c r="D3507" s="8" t="s">
        <v>566</v>
      </c>
      <c r="E3507" s="8" t="s">
        <v>12</v>
      </c>
      <c r="F3507" s="8" t="s">
        <v>13</v>
      </c>
      <c r="G3507" s="8" t="s">
        <v>98</v>
      </c>
      <c r="H3507" s="16">
        <v>0.0</v>
      </c>
      <c r="I3507" s="15" t="str">
        <f>SUBSTITUTE(Sheet1!K3507, "Rp", "")</f>
        <v>0</v>
      </c>
    </row>
    <row r="3508">
      <c r="A3508" s="8" t="s">
        <v>4852</v>
      </c>
      <c r="B3508" s="13" t="str">
        <f>HYPERLINK("https://shopee.co.id/SNP-HDDN-Lab-Skin-Savior-Youth-Essence-Nearly-Expired--i.88399725.1895858892", "https://shopee.co.id/SNP-HDDN-Lab-Skin-Savior-Youth-Essence-Nearly-Expired--i.88399725.1895858892")</f>
        <v>https://shopee.co.id/SNP-HDDN-Lab-Skin-Savior-Youth-Essence-Nearly-Expired--i.88399725.1895858892</v>
      </c>
      <c r="C3508" s="8" t="s">
        <v>565</v>
      </c>
      <c r="D3508" s="8" t="s">
        <v>566</v>
      </c>
      <c r="E3508" s="8" t="s">
        <v>12</v>
      </c>
      <c r="F3508" s="8" t="s">
        <v>13</v>
      </c>
      <c r="G3508" s="8" t="s">
        <v>98</v>
      </c>
      <c r="H3508" s="16">
        <v>0.0</v>
      </c>
      <c r="I3508" s="15" t="str">
        <f>SUBSTITUTE(Sheet1!K3508, "Rp", "")</f>
        <v>0</v>
      </c>
    </row>
    <row r="3509">
      <c r="A3509" s="8" t="s">
        <v>4853</v>
      </c>
      <c r="B3509" s="13" t="str">
        <f>HYPERLINK("https://shopee.co.id/SNP-LAB-Triple-Water-Aqua-Serum-EXPIRED-DESEMBER-2021-i.88399725.1827622825", "https://shopee.co.id/SNP-LAB-Triple-Water-Aqua-Serum-EXPIRED-DESEMBER-2021-i.88399725.1827622825")</f>
        <v>https://shopee.co.id/SNP-LAB-Triple-Water-Aqua-Serum-EXPIRED-DESEMBER-2021-i.88399725.1827622825</v>
      </c>
      <c r="C3509" s="8" t="s">
        <v>565</v>
      </c>
      <c r="D3509" s="8" t="s">
        <v>566</v>
      </c>
      <c r="E3509" s="8" t="s">
        <v>12</v>
      </c>
      <c r="F3509" s="8" t="s">
        <v>13</v>
      </c>
      <c r="G3509" s="8" t="s">
        <v>98</v>
      </c>
      <c r="H3509" s="16">
        <v>0.0</v>
      </c>
      <c r="I3509" s="15" t="str">
        <f>SUBSTITUTE(Sheet1!K3509, "Rp", "")</f>
        <v>0</v>
      </c>
    </row>
    <row r="3510">
      <c r="A3510" s="8" t="s">
        <v>4854</v>
      </c>
      <c r="B3510" s="13" t="str">
        <f>HYPERLINK("https://shopee.co.id/Snp-Mini-Royal-Honey-Essence-i.30736001.9051683980", "https://shopee.co.id/Snp-Mini-Royal-Honey-Essence-i.30736001.9051683980")</f>
        <v>https://shopee.co.id/Snp-Mini-Royal-Honey-Essence-i.30736001.9051683980</v>
      </c>
      <c r="C3510" s="8" t="s">
        <v>565</v>
      </c>
      <c r="D3510" s="8" t="s">
        <v>335</v>
      </c>
      <c r="E3510" s="8" t="s">
        <v>12</v>
      </c>
      <c r="F3510" s="8" t="s">
        <v>13</v>
      </c>
      <c r="G3510" s="8" t="s">
        <v>36</v>
      </c>
      <c r="H3510" s="16">
        <v>0.0</v>
      </c>
      <c r="I3510" s="15" t="str">
        <f>SUBSTITUTE(Sheet1!K3510, "Rp", "")</f>
        <v>0</v>
      </c>
    </row>
    <row r="3511">
      <c r="A3511" s="8" t="s">
        <v>4855</v>
      </c>
      <c r="B3511" s="13" t="str">
        <f>HYPERLINK("https://shopee.co.id/Snp-Mini-Shea-Butter-Moisture-Serum-i.30736001.5587527662", "https://shopee.co.id/Snp-Mini-Shea-Butter-Moisture-Serum-i.30736001.5587527662")</f>
        <v>https://shopee.co.id/Snp-Mini-Shea-Butter-Moisture-Serum-i.30736001.5587527662</v>
      </c>
      <c r="C3511" s="8" t="s">
        <v>565</v>
      </c>
      <c r="D3511" s="8" t="s">
        <v>335</v>
      </c>
      <c r="E3511" s="8" t="s">
        <v>12</v>
      </c>
      <c r="F3511" s="8" t="s">
        <v>13</v>
      </c>
      <c r="G3511" s="8" t="s">
        <v>36</v>
      </c>
      <c r="H3511" s="16">
        <v>0.0</v>
      </c>
      <c r="I3511" s="15" t="str">
        <f>SUBSTITUTE(Sheet1!K3511, "Rp", "")</f>
        <v>0</v>
      </c>
    </row>
    <row r="3512">
      <c r="A3512" s="8" t="s">
        <v>4856</v>
      </c>
      <c r="B3512" s="13" t="str">
        <f>HYPERLINK("https://shopee.co.id/SNP-PREP-Cicaronic-Toning-Essence-FREE-FRUITS-GELATO-BRIGHTENING-MASK-i.187117294.3659175856", "https://shopee.co.id/SNP-PREP-Cicaronic-Toning-Essence-FREE-FRUITS-GELATO-BRIGHTENING-MASK-i.187117294.3659175856")</f>
        <v>https://shopee.co.id/SNP-PREP-Cicaronic-Toning-Essence-FREE-FRUITS-GELATO-BRIGHTENING-MASK-i.187117294.3659175856</v>
      </c>
      <c r="C3512" s="8" t="s">
        <v>565</v>
      </c>
      <c r="D3512" s="8" t="s">
        <v>2366</v>
      </c>
      <c r="E3512" s="8" t="s">
        <v>12</v>
      </c>
      <c r="F3512" s="8" t="s">
        <v>13</v>
      </c>
      <c r="G3512" s="8" t="s">
        <v>469</v>
      </c>
      <c r="H3512" s="16">
        <v>0.0</v>
      </c>
      <c r="I3512" s="15" t="str">
        <f>SUBSTITUTE(Sheet1!K3512, "Rp", "")</f>
        <v>0</v>
      </c>
    </row>
    <row r="3513">
      <c r="A3513" s="8" t="s">
        <v>4857</v>
      </c>
      <c r="B3513" s="13" t="str">
        <f>HYPERLINK("https://shopee.co.id/SNP-Prep-Peptaronic-Serum-220ml-i.825870.9663130275", "https://shopee.co.id/SNP-Prep-Peptaronic-Serum-220ml-i.825870.9663130275")</f>
        <v>https://shopee.co.id/SNP-Prep-Peptaronic-Serum-220ml-i.825870.9663130275</v>
      </c>
      <c r="C3513" s="8" t="s">
        <v>565</v>
      </c>
      <c r="D3513" s="8" t="s">
        <v>1184</v>
      </c>
      <c r="E3513" s="8" t="s">
        <v>12</v>
      </c>
      <c r="F3513" s="8" t="s">
        <v>13</v>
      </c>
      <c r="G3513" s="8" t="s">
        <v>21</v>
      </c>
      <c r="H3513" s="16">
        <v>0.0</v>
      </c>
      <c r="I3513" s="15" t="str">
        <f>SUBSTITUTE(Sheet1!K3513, "Rp", "")</f>
        <v>0</v>
      </c>
    </row>
    <row r="3514">
      <c r="A3514" s="8" t="s">
        <v>4858</v>
      </c>
      <c r="B3514" s="13" t="str">
        <f>HYPERLINK("https://shopee.co.id/SNP-Prep-Peptaronik-Serum-220ml-FREE-JEJU-CACTUS-MASK-i.187117294.5240200954", "https://shopee.co.id/SNP-Prep-Peptaronik-Serum-220ml-FREE-JEJU-CACTUS-MASK-i.187117294.5240200954")</f>
        <v>https://shopee.co.id/SNP-Prep-Peptaronik-Serum-220ml-FREE-JEJU-CACTUS-MASK-i.187117294.5240200954</v>
      </c>
      <c r="C3514" s="8" t="s">
        <v>565</v>
      </c>
      <c r="D3514" s="8" t="s">
        <v>2366</v>
      </c>
      <c r="E3514" s="8" t="s">
        <v>12</v>
      </c>
      <c r="F3514" s="8" t="s">
        <v>13</v>
      </c>
      <c r="G3514" s="8" t="s">
        <v>469</v>
      </c>
      <c r="H3514" s="16">
        <v>0.0</v>
      </c>
      <c r="I3514" s="15" t="str">
        <f>SUBSTITUTE(Sheet1!K3514, "Rp", "")</f>
        <v>0</v>
      </c>
    </row>
    <row r="3515">
      <c r="A3515" s="8" t="s">
        <v>4859</v>
      </c>
      <c r="B3515" s="13" t="str">
        <f>HYPERLINK("https://shopee.co.id/So-Natural-Red-Peel-Tingle-Serum-i.17081863.7351458204", "https://shopee.co.id/So-Natural-Red-Peel-Tingle-Serum-i.17081863.7351458204")</f>
        <v>https://shopee.co.id/So-Natural-Red-Peel-Tingle-Serum-i.17081863.7351458204</v>
      </c>
      <c r="C3515" s="8" t="s">
        <v>2115</v>
      </c>
      <c r="D3515" s="8" t="s">
        <v>2497</v>
      </c>
      <c r="E3515" s="8" t="s">
        <v>12</v>
      </c>
      <c r="F3515" s="8" t="s">
        <v>13</v>
      </c>
      <c r="G3515" s="8" t="s">
        <v>21</v>
      </c>
      <c r="H3515" s="16">
        <v>0.0</v>
      </c>
      <c r="I3515" s="15" t="str">
        <f>SUBSTITUTE(Sheet1!K3515, "Rp", "")</f>
        <v>0</v>
      </c>
    </row>
    <row r="3516">
      <c r="A3516" s="8" t="s">
        <v>4859</v>
      </c>
      <c r="B3516" s="13" t="str">
        <f>HYPERLINK("https://shopee.co.id/So-Natural-Red-Peel-Tingle-Serum-i.10689.5555861647", "https://shopee.co.id/So-Natural-Red-Peel-Tingle-Serum-i.10689.5555861647")</f>
        <v>https://shopee.co.id/So-Natural-Red-Peel-Tingle-Serum-i.10689.5555861647</v>
      </c>
      <c r="C3516" s="8" t="s">
        <v>2115</v>
      </c>
      <c r="D3516" s="8" t="s">
        <v>745</v>
      </c>
      <c r="E3516" s="8" t="s">
        <v>12</v>
      </c>
      <c r="F3516" s="8" t="s">
        <v>13</v>
      </c>
      <c r="G3516" s="8" t="s">
        <v>61</v>
      </c>
      <c r="H3516" s="16">
        <v>0.0</v>
      </c>
      <c r="I3516" s="15" t="str">
        <f>SUBSTITUTE(Sheet1!K3516, "Rp", "")</f>
        <v>0</v>
      </c>
    </row>
    <row r="3517">
      <c r="A3517" s="8" t="s">
        <v>4860</v>
      </c>
      <c r="B3517" s="13" t="str">
        <f>HYPERLINK("https://shopee.co.id/Solcare-Bundling-Extra-White-Serum-Glowing-Peeling-i.266902345.7977629868", "https://shopee.co.id/Solcare-Bundling-Extra-White-Serum-Glowing-Peeling-i.266902345.7977629868")</f>
        <v>https://shopee.co.id/Solcare-Bundling-Extra-White-Serum-Glowing-Peeling-i.266902345.7977629868</v>
      </c>
      <c r="C3517" s="8" t="s">
        <v>910</v>
      </c>
      <c r="D3517" s="8" t="s">
        <v>911</v>
      </c>
      <c r="E3517" s="8" t="s">
        <v>12</v>
      </c>
      <c r="F3517" s="8" t="s">
        <v>13</v>
      </c>
      <c r="G3517" s="8" t="s">
        <v>241</v>
      </c>
      <c r="H3517" s="16">
        <v>0.0</v>
      </c>
      <c r="I3517" s="15" t="str">
        <f>SUBSTITUTE(Sheet1!K3517, "Rp", "")</f>
        <v>0</v>
      </c>
    </row>
    <row r="3518">
      <c r="A3518" s="8" t="s">
        <v>4861</v>
      </c>
      <c r="B3518" s="13" t="str">
        <f>HYPERLINK("https://shopee.co.id/Solusi-Organic-Renewage-Face-Serum-30-ml-i.34904037.7680270828", "https://shopee.co.id/Solusi-Organic-Renewage-Face-Serum-30-ml-i.34904037.7680270828")</f>
        <v>https://shopee.co.id/Solusi-Organic-Renewage-Face-Serum-30-ml-i.34904037.7680270828</v>
      </c>
      <c r="C3518" s="8" t="s">
        <v>4862</v>
      </c>
      <c r="D3518" s="8" t="s">
        <v>1874</v>
      </c>
      <c r="E3518" s="8" t="s">
        <v>12</v>
      </c>
      <c r="F3518" s="8" t="s">
        <v>13</v>
      </c>
      <c r="G3518" s="8" t="s">
        <v>469</v>
      </c>
      <c r="H3518" s="16">
        <v>0.0</v>
      </c>
      <c r="I3518" s="15" t="str">
        <f>SUBSTITUTE(Sheet1!K3518, "Rp", "")</f>
        <v>0</v>
      </c>
    </row>
    <row r="3519">
      <c r="A3519" s="8" t="s">
        <v>4863</v>
      </c>
      <c r="B3519" s="13" t="str">
        <f>HYPERLINK("https://shopee.co.id/Some-By-Mi-AHA-BHA-PHA-30-Days-Miracle-Serum-50ml-i.10689.4792923613", "https://shopee.co.id/Some-By-Mi-AHA-BHA-PHA-30-Days-Miracle-Serum-50ml-i.10689.4792923613")</f>
        <v>https://shopee.co.id/Some-By-Mi-AHA-BHA-PHA-30-Days-Miracle-Serum-50ml-i.10689.4792923613</v>
      </c>
      <c r="C3519" s="8" t="s">
        <v>213</v>
      </c>
      <c r="D3519" s="8" t="s">
        <v>745</v>
      </c>
      <c r="E3519" s="8" t="s">
        <v>12</v>
      </c>
      <c r="F3519" s="8" t="s">
        <v>13</v>
      </c>
      <c r="G3519" s="8" t="s">
        <v>61</v>
      </c>
      <c r="H3519" s="16">
        <v>0.0</v>
      </c>
      <c r="I3519" s="15" t="str">
        <f>SUBSTITUTE(Sheet1!K3519, "Rp", "")</f>
        <v>0</v>
      </c>
    </row>
    <row r="3520">
      <c r="A3520" s="8" t="s">
        <v>4864</v>
      </c>
      <c r="B3520" s="13" t="str">
        <f>HYPERLINK("https://shopee.co.id/Some-By-Mi-Galactomyces-Pure-Vit-C-Glow-Serum-30ml-i.825870.9786245107", "https://shopee.co.id/Some-By-Mi-Galactomyces-Pure-Vit-C-Glow-Serum-30ml-i.825870.9786245107")</f>
        <v>https://shopee.co.id/Some-By-Mi-Galactomyces-Pure-Vit-C-Glow-Serum-30ml-i.825870.9786245107</v>
      </c>
      <c r="C3520" s="8" t="s">
        <v>213</v>
      </c>
      <c r="D3520" s="8" t="s">
        <v>1184</v>
      </c>
      <c r="E3520" s="8" t="s">
        <v>12</v>
      </c>
      <c r="F3520" s="8" t="s">
        <v>13</v>
      </c>
      <c r="G3520" s="8" t="s">
        <v>21</v>
      </c>
      <c r="H3520" s="16">
        <v>0.0</v>
      </c>
      <c r="I3520" s="15" t="str">
        <f>SUBSTITUTE(Sheet1!K3520, "Rp", "")</f>
        <v>0</v>
      </c>
    </row>
    <row r="3521">
      <c r="A3521" s="8" t="s">
        <v>4865</v>
      </c>
      <c r="B3521" s="13" t="str">
        <f>HYPERLINK("https://shopee.co.id/Some-By-Mi-Super-Matcha-Pore-Tightening-Serum-50ml-i.825870.3594319052", "https://shopee.co.id/Some-By-Mi-Super-Matcha-Pore-Tightening-Serum-50ml-i.825870.3594319052")</f>
        <v>https://shopee.co.id/Some-By-Mi-Super-Matcha-Pore-Tightening-Serum-50ml-i.825870.3594319052</v>
      </c>
      <c r="C3521" s="8" t="s">
        <v>213</v>
      </c>
      <c r="D3521" s="8" t="s">
        <v>1184</v>
      </c>
      <c r="E3521" s="8" t="s">
        <v>12</v>
      </c>
      <c r="F3521" s="8" t="s">
        <v>13</v>
      </c>
      <c r="G3521" s="8" t="s">
        <v>21</v>
      </c>
      <c r="H3521" s="16">
        <v>0.0</v>
      </c>
      <c r="I3521" s="15" t="str">
        <f>SUBSTITUTE(Sheet1!K3521, "Rp", "")</f>
        <v>0</v>
      </c>
    </row>
    <row r="3522">
      <c r="A3522" s="8" t="s">
        <v>4866</v>
      </c>
      <c r="B3522" s="13" t="str">
        <f>HYPERLINK("https://shopee.co.id/SOME-BY-MI-Super-Matcha-Pore-Tightening-Serum-50ml-i.68111.4791206540", "https://shopee.co.id/SOME-BY-MI-Super-Matcha-Pore-Tightening-Serum-50ml-i.68111.4791206540")</f>
        <v>https://shopee.co.id/SOME-BY-MI-Super-Matcha-Pore-Tightening-Serum-50ml-i.68111.4791206540</v>
      </c>
      <c r="C3522" s="8" t="s">
        <v>213</v>
      </c>
      <c r="D3522" s="8" t="s">
        <v>441</v>
      </c>
      <c r="E3522" s="8" t="s">
        <v>12</v>
      </c>
      <c r="F3522" s="8" t="s">
        <v>13</v>
      </c>
      <c r="G3522" s="8" t="s">
        <v>130</v>
      </c>
      <c r="H3522" s="16">
        <v>0.0</v>
      </c>
      <c r="I3522" s="15" t="str">
        <f>SUBSTITUTE(Sheet1!K3522, "Rp", "")</f>
        <v>0</v>
      </c>
    </row>
    <row r="3523">
      <c r="A3523" s="8" t="s">
        <v>4867</v>
      </c>
      <c r="B3523" s="13" t="str">
        <f>HYPERLINK("https://shopee.co.id/SOMETHINC-10-Niacinamide-Moisture-Sabi-Beet-Max-Brightening-Serum-i.79492424.11146723213", "https://shopee.co.id/SOMETHINC-10-Niacinamide-Moisture-Sabi-Beet-Max-Brightening-Serum-i.79492424.11146723213")</f>
        <v>https://shopee.co.id/SOMETHINC-10-Niacinamide-Moisture-Sabi-Beet-Max-Brightening-Serum-i.79492424.11146723213</v>
      </c>
      <c r="C3523" s="8" t="s">
        <v>45</v>
      </c>
      <c r="D3523" s="8" t="s">
        <v>3456</v>
      </c>
      <c r="E3523" s="8" t="s">
        <v>12</v>
      </c>
      <c r="F3523" s="8" t="s">
        <v>13</v>
      </c>
      <c r="G3523" s="8" t="s">
        <v>469</v>
      </c>
      <c r="H3523" s="16">
        <v>0.0</v>
      </c>
      <c r="I3523" s="15" t="str">
        <f>SUBSTITUTE(Sheet1!K3523, "Rp", "")</f>
        <v>0</v>
      </c>
    </row>
    <row r="3524">
      <c r="A3524" s="8" t="s">
        <v>4868</v>
      </c>
      <c r="B3524" s="13" t="str">
        <f>HYPERLINK("https://shopee.co.id/SOMETHINC-10-Niacinamide-Barrier-Serum-i.79492424.11746541696", "https://shopee.co.id/SOMETHINC-10-Niacinamide-Barrier-Serum-i.79492424.11746541696")</f>
        <v>https://shopee.co.id/SOMETHINC-10-Niacinamide-Barrier-Serum-i.79492424.11746541696</v>
      </c>
      <c r="C3524" s="8" t="s">
        <v>45</v>
      </c>
      <c r="D3524" s="8" t="s">
        <v>3456</v>
      </c>
      <c r="E3524" s="8" t="s">
        <v>12</v>
      </c>
      <c r="F3524" s="8" t="s">
        <v>13</v>
      </c>
      <c r="G3524" s="8" t="s">
        <v>469</v>
      </c>
      <c r="H3524" s="16">
        <v>0.0</v>
      </c>
      <c r="I3524" s="15" t="str">
        <f>SUBSTITUTE(Sheet1!K3524, "Rp", "")</f>
        <v>0</v>
      </c>
    </row>
    <row r="3525">
      <c r="A3525" s="8" t="s">
        <v>4869</v>
      </c>
      <c r="B3525" s="13" t="str">
        <f>HYPERLINK("https://shopee.co.id/SOMETHINC-10-Niacinamide-Moisture-Sabi-Beet-Serum-i.217272417.8512899812", "https://shopee.co.id/SOMETHINC-10-Niacinamide-Moisture-Sabi-Beet-Serum-i.217272417.8512899812")</f>
        <v>https://shopee.co.id/SOMETHINC-10-Niacinamide-Moisture-Sabi-Beet-Serum-i.217272417.8512899812</v>
      </c>
      <c r="C3525" s="8" t="s">
        <v>45</v>
      </c>
      <c r="D3525" s="8" t="s">
        <v>3793</v>
      </c>
      <c r="E3525" s="8" t="s">
        <v>12</v>
      </c>
      <c r="F3525" s="8" t="s">
        <v>13</v>
      </c>
      <c r="G3525" s="8" t="s">
        <v>98</v>
      </c>
      <c r="H3525" s="16">
        <v>0.0</v>
      </c>
      <c r="I3525" s="15" t="str">
        <f>SUBSTITUTE(Sheet1!K3525, "Rp", "")</f>
        <v>0</v>
      </c>
    </row>
    <row r="3526">
      <c r="A3526" s="8" t="s">
        <v>4870</v>
      </c>
      <c r="B3526" s="13" t="str">
        <f>HYPERLINK("https://shopee.co.id/SOMETHINC-5-Niacinamide-Moisture-Sabi-Beet-Serum-i.79492424.12605727248", "https://shopee.co.id/SOMETHINC-5-Niacinamide-Moisture-Sabi-Beet-Serum-i.79492424.12605727248")</f>
        <v>https://shopee.co.id/SOMETHINC-5-Niacinamide-Moisture-Sabi-Beet-Serum-i.79492424.12605727248</v>
      </c>
      <c r="C3526" s="8" t="s">
        <v>45</v>
      </c>
      <c r="D3526" s="8" t="s">
        <v>3456</v>
      </c>
      <c r="E3526" s="8" t="s">
        <v>12</v>
      </c>
      <c r="F3526" s="8" t="s">
        <v>13</v>
      </c>
      <c r="G3526" s="8" t="s">
        <v>469</v>
      </c>
      <c r="H3526" s="16">
        <v>0.0</v>
      </c>
      <c r="I3526" s="15" t="str">
        <f>SUBSTITUTE(Sheet1!K3526, "Rp", "")</f>
        <v>0</v>
      </c>
    </row>
    <row r="3527">
      <c r="A3527" s="8" t="s">
        <v>4871</v>
      </c>
      <c r="B3527" s="13" t="str">
        <f>HYPERLINK("https://shopee.co.id/SOMETHINC-5-Niacinamide-Barrier-Serum-i.79492424.10146534017", "https://shopee.co.id/SOMETHINC-5-Niacinamide-Barrier-Serum-i.79492424.10146534017")</f>
        <v>https://shopee.co.id/SOMETHINC-5-Niacinamide-Barrier-Serum-i.79492424.10146534017</v>
      </c>
      <c r="C3527" s="8" t="s">
        <v>45</v>
      </c>
      <c r="D3527" s="8" t="s">
        <v>3456</v>
      </c>
      <c r="E3527" s="8" t="s">
        <v>12</v>
      </c>
      <c r="F3527" s="8" t="s">
        <v>13</v>
      </c>
      <c r="G3527" s="8" t="s">
        <v>469</v>
      </c>
      <c r="H3527" s="16">
        <v>0.0</v>
      </c>
      <c r="I3527" s="15" t="str">
        <f>SUBSTITUTE(Sheet1!K3527, "Rp", "")</f>
        <v>0</v>
      </c>
    </row>
    <row r="3528">
      <c r="A3528" s="8" t="s">
        <v>4872</v>
      </c>
      <c r="B3528" s="13" t="str">
        <f>HYPERLINK("https://shopee.co.id/SOMETHINC-5-Niacinamide-Moisture-Sabi-Beet-Serum-i.217272417.8212903438", "https://shopee.co.id/SOMETHINC-5-Niacinamide-Moisture-Sabi-Beet-Serum-i.217272417.8212903438")</f>
        <v>https://shopee.co.id/SOMETHINC-5-Niacinamide-Moisture-Sabi-Beet-Serum-i.217272417.8212903438</v>
      </c>
      <c r="C3528" s="8" t="s">
        <v>45</v>
      </c>
      <c r="D3528" s="8" t="s">
        <v>3793</v>
      </c>
      <c r="E3528" s="8" t="s">
        <v>12</v>
      </c>
      <c r="F3528" s="8" t="s">
        <v>13</v>
      </c>
      <c r="G3528" s="8" t="s">
        <v>98</v>
      </c>
      <c r="H3528" s="16">
        <v>0.0</v>
      </c>
      <c r="I3528" s="15" t="str">
        <f>SUBSTITUTE(Sheet1!K3528, "Rp", "")</f>
        <v>0</v>
      </c>
    </row>
    <row r="3529">
      <c r="A3529" s="8" t="s">
        <v>1453</v>
      </c>
      <c r="B3529" s="13" t="str">
        <f>HYPERLINK("https://shopee.co.id/SOMETHINC-10-Niacinamide-Moisture-Sabi-Beet-Max-Brightening-Serum-20ml-i.187117294.3013804861", "https://shopee.co.id/SOMETHINC-10-Niacinamide-Moisture-Sabi-Beet-Max-Brightening-Serum-20ml-i.187117294.3013804861")</f>
        <v>https://shopee.co.id/SOMETHINC-10-Niacinamide-Moisture-Sabi-Beet-Max-Brightening-Serum-20ml-i.187117294.3013804861</v>
      </c>
      <c r="C3529" s="8" t="s">
        <v>45</v>
      </c>
      <c r="D3529" s="8" t="s">
        <v>2366</v>
      </c>
      <c r="E3529" s="8" t="s">
        <v>12</v>
      </c>
      <c r="F3529" s="8" t="s">
        <v>13</v>
      </c>
      <c r="G3529" s="8" t="s">
        <v>469</v>
      </c>
      <c r="H3529" s="16">
        <v>0.0</v>
      </c>
      <c r="I3529" s="15" t="str">
        <f>SUBSTITUTE(Sheet1!K3529, "Rp", "")</f>
        <v>0</v>
      </c>
    </row>
    <row r="3530">
      <c r="A3530" s="8" t="s">
        <v>1516</v>
      </c>
      <c r="B3530" s="13" t="str">
        <f>HYPERLINK("https://shopee.co.id/SOMETHINC-10-Niacinamide-Moisture-Sabi-Beet-Max-Brightening-Serum-40ml-i.187117294.9924230795", "https://shopee.co.id/SOMETHINC-10-Niacinamide-Moisture-Sabi-Beet-Max-Brightening-Serum-40ml-i.187117294.9924230795")</f>
        <v>https://shopee.co.id/SOMETHINC-10-Niacinamide-Moisture-Sabi-Beet-Max-Brightening-Serum-40ml-i.187117294.9924230795</v>
      </c>
      <c r="C3530" s="8" t="s">
        <v>45</v>
      </c>
      <c r="D3530" s="8" t="s">
        <v>2366</v>
      </c>
      <c r="E3530" s="8" t="s">
        <v>12</v>
      </c>
      <c r="F3530" s="8" t="s">
        <v>13</v>
      </c>
      <c r="G3530" s="8" t="s">
        <v>469</v>
      </c>
      <c r="H3530" s="16">
        <v>0.0</v>
      </c>
      <c r="I3530" s="15" t="str">
        <f>SUBSTITUTE(Sheet1!K3530, "Rp", "")</f>
        <v>0</v>
      </c>
    </row>
    <row r="3531">
      <c r="A3531" s="8" t="s">
        <v>1720</v>
      </c>
      <c r="B3531" s="13" t="str">
        <f>HYPERLINK("https://shopee.co.id/SOMETHINC-5-Niacinamide-Moisture-Sabi-Beet-Serum-40ml-i.187117294.8624226149", "https://shopee.co.id/SOMETHINC-5-Niacinamide-Moisture-Sabi-Beet-Serum-40ml-i.187117294.8624226149")</f>
        <v>https://shopee.co.id/SOMETHINC-5-Niacinamide-Moisture-Sabi-Beet-Serum-40ml-i.187117294.8624226149</v>
      </c>
      <c r="C3531" s="8" t="s">
        <v>45</v>
      </c>
      <c r="D3531" s="8" t="s">
        <v>2366</v>
      </c>
      <c r="E3531" s="8" t="s">
        <v>12</v>
      </c>
      <c r="F3531" s="8" t="s">
        <v>13</v>
      </c>
      <c r="G3531" s="8" t="s">
        <v>469</v>
      </c>
      <c r="H3531" s="16">
        <v>0.0</v>
      </c>
      <c r="I3531" s="15" t="str">
        <f>SUBSTITUTE(Sheet1!K3531, "Rp", "")</f>
        <v>0</v>
      </c>
    </row>
    <row r="3532">
      <c r="A3532" s="8" t="s">
        <v>4873</v>
      </c>
      <c r="B3532" s="13" t="str">
        <f>HYPERLINK("https://shopee.co.id/SOMETHINC-AHA-7-BHA-1-PHA-3-Weekly-Peeling-Solution-20ml-i.187117294.9081182240", "https://shopee.co.id/SOMETHINC-AHA-7-BHA-1-PHA-3-Weekly-Peeling-Solution-20ml-i.187117294.9081182240")</f>
        <v>https://shopee.co.id/SOMETHINC-AHA-7-BHA-1-PHA-3-Weekly-Peeling-Solution-20ml-i.187117294.9081182240</v>
      </c>
      <c r="C3532" s="8" t="s">
        <v>45</v>
      </c>
      <c r="D3532" s="8" t="s">
        <v>2366</v>
      </c>
      <c r="E3532" s="8" t="s">
        <v>12</v>
      </c>
      <c r="F3532" s="8" t="s">
        <v>13</v>
      </c>
      <c r="G3532" s="8" t="s">
        <v>469</v>
      </c>
      <c r="H3532" s="16">
        <v>0.0</v>
      </c>
      <c r="I3532" s="15" t="str">
        <f>SUBSTITUTE(Sheet1!K3532, "Rp", "")</f>
        <v>0</v>
      </c>
    </row>
    <row r="3533">
      <c r="A3533" s="8" t="s">
        <v>4874</v>
      </c>
      <c r="B3533" s="13" t="str">
        <f>HYPERLINK("https://shopee.co.id/SOMETHINC-Anti-Aging-Bundle-i.68111.13105913612", "https://shopee.co.id/SOMETHINC-Anti-Aging-Bundle-i.68111.13105913612")</f>
        <v>https://shopee.co.id/SOMETHINC-Anti-Aging-Bundle-i.68111.13105913612</v>
      </c>
      <c r="C3533" s="8" t="s">
        <v>45</v>
      </c>
      <c r="D3533" s="8" t="s">
        <v>441</v>
      </c>
      <c r="E3533" s="8" t="s">
        <v>12</v>
      </c>
      <c r="F3533" s="8" t="s">
        <v>13</v>
      </c>
      <c r="G3533" s="8" t="s">
        <v>130</v>
      </c>
      <c r="H3533" s="16">
        <v>0.0</v>
      </c>
      <c r="I3533" s="15" t="str">
        <f>SUBSTITUTE(Sheet1!K3533, "Rp", "")</f>
        <v>0</v>
      </c>
    </row>
    <row r="3534">
      <c r="A3534" s="8" t="s">
        <v>4875</v>
      </c>
      <c r="B3534" s="13" t="str">
        <f>HYPERLINK("https://shopee.co.id/SOMETHINC-Bakuchiol-Skinpair-Oil-Serum-i.187117294.9810077595", "https://shopee.co.id/SOMETHINC-Bakuchiol-Skinpair-Oil-Serum-i.187117294.9810077595")</f>
        <v>https://shopee.co.id/SOMETHINC-Bakuchiol-Skinpair-Oil-Serum-i.187117294.9810077595</v>
      </c>
      <c r="C3534" s="8" t="s">
        <v>45</v>
      </c>
      <c r="D3534" s="8" t="s">
        <v>2366</v>
      </c>
      <c r="E3534" s="8" t="s">
        <v>12</v>
      </c>
      <c r="F3534" s="8" t="s">
        <v>13</v>
      </c>
      <c r="G3534" s="8" t="s">
        <v>469</v>
      </c>
      <c r="H3534" s="16">
        <v>0.0</v>
      </c>
      <c r="I3534" s="15" t="str">
        <f>SUBSTITUTE(Sheet1!K3534, "Rp", "")</f>
        <v>0</v>
      </c>
    </row>
    <row r="3535">
      <c r="A3535" s="8" t="s">
        <v>1784</v>
      </c>
      <c r="B3535" s="13" t="str">
        <f>HYPERLINK("https://shopee.co.id/Somethinc-Bakuchiol-Skinpair-Oil-Serum-20ml-i.53887195.2926933782", "https://shopee.co.id/Somethinc-Bakuchiol-Skinpair-Oil-Serum-20ml-i.53887195.2926933782")</f>
        <v>https://shopee.co.id/Somethinc-Bakuchiol-Skinpair-Oil-Serum-20ml-i.53887195.2926933782</v>
      </c>
      <c r="C3535" s="8" t="s">
        <v>45</v>
      </c>
      <c r="D3535" s="8" t="s">
        <v>1026</v>
      </c>
      <c r="E3535" s="8" t="s">
        <v>12</v>
      </c>
      <c r="F3535" s="8" t="s">
        <v>13</v>
      </c>
      <c r="G3535" s="8" t="s">
        <v>80</v>
      </c>
      <c r="H3535" s="16">
        <v>0.0</v>
      </c>
      <c r="I3535" s="15" t="str">
        <f>SUBSTITUTE(Sheet1!K3535, "Rp", "")</f>
        <v>0</v>
      </c>
    </row>
    <row r="3536">
      <c r="A3536" s="8" t="s">
        <v>4876</v>
      </c>
      <c r="B3536" s="13" t="str">
        <f>HYPERLINK("https://shopee.co.id/Somethinc-CRIOUSLY-24k-GOLD-ESSENCE-40ml-Somethinc-Bakuchiol-Skinpair-Serum-20ml-i.110573301.8237478704", "https://shopee.co.id/Somethinc-CRIOUSLY-24k-GOLD-ESSENCE-40ml-Somethinc-Bakuchiol-Skinpair-Serum-20ml-i.110573301.8237478704")</f>
        <v>https://shopee.co.id/Somethinc-CRIOUSLY-24k-GOLD-ESSENCE-40ml-Somethinc-Bakuchiol-Skinpair-Serum-20ml-i.110573301.8237478704</v>
      </c>
      <c r="C3536" s="8" t="s">
        <v>45</v>
      </c>
      <c r="D3536" s="8" t="s">
        <v>227</v>
      </c>
      <c r="E3536" s="8" t="s">
        <v>12</v>
      </c>
      <c r="F3536" s="8" t="s">
        <v>13</v>
      </c>
      <c r="G3536" s="8" t="s">
        <v>61</v>
      </c>
      <c r="H3536" s="16">
        <v>0.0</v>
      </c>
      <c r="I3536" s="15" t="str">
        <f>SUBSTITUTE(Sheet1!K3536, "Rp", "")</f>
        <v>0</v>
      </c>
    </row>
    <row r="3537">
      <c r="A3537" s="8" t="s">
        <v>1864</v>
      </c>
      <c r="B3537" s="13" t="str">
        <f>HYPERLINK("https://shopee.co.id/SOMETHINC-CRIOUSLY-24K-GOLD-Essence-40ml--i.187117294.7459674529", "https://shopee.co.id/SOMETHINC-CRIOUSLY-24K-GOLD-Essence-40ml--i.187117294.7459674529")</f>
        <v>https://shopee.co.id/SOMETHINC-CRIOUSLY-24K-GOLD-Essence-40ml--i.187117294.7459674529</v>
      </c>
      <c r="C3537" s="8" t="s">
        <v>45</v>
      </c>
      <c r="D3537" s="8" t="s">
        <v>2366</v>
      </c>
      <c r="E3537" s="8" t="s">
        <v>12</v>
      </c>
      <c r="F3537" s="8" t="s">
        <v>13</v>
      </c>
      <c r="G3537" s="8" t="s">
        <v>469</v>
      </c>
      <c r="H3537" s="16">
        <v>0.0</v>
      </c>
      <c r="I3537" s="15" t="str">
        <f>SUBSTITUTE(Sheet1!K3537, "Rp", "")</f>
        <v>0</v>
      </c>
    </row>
    <row r="3538">
      <c r="A3538" s="8" t="s">
        <v>2149</v>
      </c>
      <c r="B3538" s="13" t="str">
        <f>HYPERLINK("https://shopee.co.id/Somethinc-Holygrail-Multipeptide-Youth-Elixir-20-ml-i.65323877.9579238857", "https://shopee.co.id/Somethinc-Holygrail-Multipeptide-Youth-Elixir-20-ml-i.65323877.9579238857")</f>
        <v>https://shopee.co.id/Somethinc-Holygrail-Multipeptide-Youth-Elixir-20-ml-i.65323877.9579238857</v>
      </c>
      <c r="C3538" s="8" t="s">
        <v>45</v>
      </c>
      <c r="D3538" s="8" t="s">
        <v>1600</v>
      </c>
      <c r="E3538" s="8" t="s">
        <v>12</v>
      </c>
      <c r="F3538" s="8" t="s">
        <v>13</v>
      </c>
      <c r="G3538" s="8" t="s">
        <v>296</v>
      </c>
      <c r="H3538" s="16">
        <v>0.0</v>
      </c>
      <c r="I3538" s="15" t="str">
        <f>SUBSTITUTE(Sheet1!K3538, "Rp", "")</f>
        <v>0</v>
      </c>
    </row>
    <row r="3539">
      <c r="A3539" s="8" t="s">
        <v>3002</v>
      </c>
      <c r="B3539" s="13" t="str">
        <f>HYPERLINK("https://shopee.co.id/SOMETHINC-Hyaluronic-B5-40ml-i.187117294.3481610957", "https://shopee.co.id/SOMETHINC-Hyaluronic-B5-40ml-i.187117294.3481610957")</f>
        <v>https://shopee.co.id/SOMETHINC-Hyaluronic-B5-40ml-i.187117294.3481610957</v>
      </c>
      <c r="C3539" s="8" t="s">
        <v>45</v>
      </c>
      <c r="D3539" s="8" t="s">
        <v>2366</v>
      </c>
      <c r="E3539" s="8" t="s">
        <v>12</v>
      </c>
      <c r="F3539" s="8" t="s">
        <v>13</v>
      </c>
      <c r="G3539" s="8" t="s">
        <v>469</v>
      </c>
      <c r="H3539" s="16">
        <v>0.0</v>
      </c>
      <c r="I3539" s="15" t="str">
        <f>SUBSTITUTE(Sheet1!K3539, "Rp", "")</f>
        <v>0</v>
      </c>
    </row>
    <row r="3540">
      <c r="A3540" s="8" t="s">
        <v>4877</v>
      </c>
      <c r="B3540" s="13" t="str">
        <f>HYPERLINK("https://shopee.co.id/SOMETHINC-HYALuronic-B5-Serum-20ml-i.47255270.8661925432", "https://shopee.co.id/SOMETHINC-HYALuronic-B5-Serum-20ml-i.47255270.8661925432")</f>
        <v>https://shopee.co.id/SOMETHINC-HYALuronic-B5-Serum-20ml-i.47255270.8661925432</v>
      </c>
      <c r="C3540" s="8" t="s">
        <v>45</v>
      </c>
      <c r="D3540" s="8" t="s">
        <v>1978</v>
      </c>
      <c r="E3540" s="8" t="s">
        <v>12</v>
      </c>
      <c r="F3540" s="8" t="s">
        <v>13</v>
      </c>
      <c r="G3540" s="8" t="s">
        <v>241</v>
      </c>
      <c r="H3540" s="16">
        <v>0.0</v>
      </c>
      <c r="I3540" s="15" t="str">
        <f>SUBSTITUTE(Sheet1!K3540, "Rp", "")</f>
        <v>0</v>
      </c>
    </row>
    <row r="3541">
      <c r="A3541" s="8" t="s">
        <v>1835</v>
      </c>
      <c r="B3541" s="13" t="str">
        <f>HYPERLINK("https://shopee.co.id/Somethinc-Level-1-Retinol-20ml-i.825870.6973417694", "https://shopee.co.id/Somethinc-Level-1-Retinol-20ml-i.825870.6973417694")</f>
        <v>https://shopee.co.id/Somethinc-Level-1-Retinol-20ml-i.825870.6973417694</v>
      </c>
      <c r="C3541" s="8" t="s">
        <v>45</v>
      </c>
      <c r="D3541" s="8" t="s">
        <v>1184</v>
      </c>
      <c r="E3541" s="8" t="s">
        <v>12</v>
      </c>
      <c r="F3541" s="8" t="s">
        <v>13</v>
      </c>
      <c r="G3541" s="8" t="s">
        <v>21</v>
      </c>
      <c r="H3541" s="16">
        <v>0.0</v>
      </c>
      <c r="I3541" s="15" t="str">
        <f>SUBSTITUTE(Sheet1!K3541, "Rp", "")</f>
        <v>0</v>
      </c>
    </row>
    <row r="3542">
      <c r="A3542" s="8" t="s">
        <v>1835</v>
      </c>
      <c r="B3542" s="13" t="str">
        <f>HYPERLINK("https://shopee.co.id/Somethinc-Level-1-Retinol-20ml-i.10689.5552371373", "https://shopee.co.id/Somethinc-Level-1-Retinol-20ml-i.10689.5552371373")</f>
        <v>https://shopee.co.id/Somethinc-Level-1-Retinol-20ml-i.10689.5552371373</v>
      </c>
      <c r="C3542" s="8" t="s">
        <v>45</v>
      </c>
      <c r="D3542" s="8" t="s">
        <v>745</v>
      </c>
      <c r="E3542" s="8" t="s">
        <v>12</v>
      </c>
      <c r="F3542" s="8" t="s">
        <v>13</v>
      </c>
      <c r="G3542" s="8" t="s">
        <v>61</v>
      </c>
      <c r="H3542" s="16">
        <v>0.0</v>
      </c>
      <c r="I3542" s="15" t="str">
        <f>SUBSTITUTE(Sheet1!K3542, "Rp", "")</f>
        <v>0</v>
      </c>
    </row>
    <row r="3543">
      <c r="A3543" s="8" t="s">
        <v>4878</v>
      </c>
      <c r="B3543" s="13" t="str">
        <f>HYPERLINK("https://shopee.co.id/Somethinc-Niacinamide-Moisture-Beet-Serum-40ml-i.825870.6486764061", "https://shopee.co.id/Somethinc-Niacinamide-Moisture-Beet-Serum-40ml-i.825870.6486764061")</f>
        <v>https://shopee.co.id/Somethinc-Niacinamide-Moisture-Beet-Serum-40ml-i.825870.6486764061</v>
      </c>
      <c r="C3543" s="8" t="s">
        <v>45</v>
      </c>
      <c r="D3543" s="8" t="s">
        <v>1184</v>
      </c>
      <c r="E3543" s="8" t="s">
        <v>12</v>
      </c>
      <c r="F3543" s="8" t="s">
        <v>13</v>
      </c>
      <c r="G3543" s="8" t="s">
        <v>98</v>
      </c>
      <c r="H3543" s="16">
        <v>0.0</v>
      </c>
      <c r="I3543" s="15" t="str">
        <f>SUBSTITUTE(Sheet1!K3543, "Rp", "")</f>
        <v>0</v>
      </c>
    </row>
    <row r="3544">
      <c r="A3544" s="8" t="s">
        <v>2594</v>
      </c>
      <c r="B3544" s="13" t="str">
        <f>HYPERLINK("https://shopee.co.id/SOMETHINC-Niacinamide-Moisture-Beet-Serum-40ml-i.187117294.4659675354", "https://shopee.co.id/SOMETHINC-Niacinamide-Moisture-Beet-Serum-40ml-i.187117294.4659675354")</f>
        <v>https://shopee.co.id/SOMETHINC-Niacinamide-Moisture-Beet-Serum-40ml-i.187117294.4659675354</v>
      </c>
      <c r="C3544" s="8" t="s">
        <v>45</v>
      </c>
      <c r="D3544" s="8" t="s">
        <v>2366</v>
      </c>
      <c r="E3544" s="8" t="s">
        <v>12</v>
      </c>
      <c r="F3544" s="8" t="s">
        <v>13</v>
      </c>
      <c r="G3544" s="8" t="s">
        <v>469</v>
      </c>
      <c r="H3544" s="16">
        <v>0.0</v>
      </c>
      <c r="I3544" s="15" t="str">
        <f>SUBSTITUTE(Sheet1!K3544, "Rp", "")</f>
        <v>0</v>
      </c>
    </row>
    <row r="3545">
      <c r="A3545" s="8" t="s">
        <v>4879</v>
      </c>
      <c r="B3545" s="13" t="str">
        <f>HYPERLINK("https://shopee.co.id/SOMETHINC-NIACINAMIDE-Moisture-Beet-Serum-40ML-i.270965687.6238467311", "https://shopee.co.id/SOMETHINC-NIACINAMIDE-Moisture-Beet-Serum-40ML-i.270965687.6238467311")</f>
        <v>https://shopee.co.id/SOMETHINC-NIACINAMIDE-Moisture-Beet-Serum-40ML-i.270965687.6238467311</v>
      </c>
      <c r="C3545" s="8" t="s">
        <v>45</v>
      </c>
      <c r="D3545" s="8" t="s">
        <v>379</v>
      </c>
      <c r="E3545" s="8" t="s">
        <v>12</v>
      </c>
      <c r="F3545" s="8" t="s">
        <v>13</v>
      </c>
      <c r="G3545" s="8" t="s">
        <v>380</v>
      </c>
      <c r="H3545" s="16">
        <v>0.0</v>
      </c>
      <c r="I3545" s="15" t="str">
        <f>SUBSTITUTE(Sheet1!K3545, "Rp", "")</f>
        <v>0</v>
      </c>
    </row>
    <row r="3546">
      <c r="A3546" s="8" t="s">
        <v>4880</v>
      </c>
      <c r="B3546" s="13" t="str">
        <f>HYPERLINK("https://shopee.co.id/SOMETHINC-Niacinamide-Moisture-Beet-Serum-Limited-Edition-20ml-i.68111.3004395558", "https://shopee.co.id/SOMETHINC-Niacinamide-Moisture-Beet-Serum-Limited-Edition-20ml-i.68111.3004395558")</f>
        <v>https://shopee.co.id/SOMETHINC-Niacinamide-Moisture-Beet-Serum-Limited-Edition-20ml-i.68111.3004395558</v>
      </c>
      <c r="C3546" s="8" t="s">
        <v>45</v>
      </c>
      <c r="D3546" s="8" t="s">
        <v>441</v>
      </c>
      <c r="E3546" s="8" t="s">
        <v>12</v>
      </c>
      <c r="F3546" s="8" t="s">
        <v>13</v>
      </c>
      <c r="G3546" s="8" t="s">
        <v>130</v>
      </c>
      <c r="H3546" s="16">
        <v>0.0</v>
      </c>
      <c r="I3546" s="15" t="str">
        <f>SUBSTITUTE(Sheet1!K3546, "Rp", "")</f>
        <v>0</v>
      </c>
    </row>
    <row r="3547">
      <c r="A3547" s="8" t="s">
        <v>4881</v>
      </c>
      <c r="B3547" s="13" t="str">
        <f>HYPERLINK("https://shopee.co.id/Somethinc-Niacinamide-Moisture-Sabi-Beet-Max-Brightening-Serum-5-0--i.53887195.9224443304", "https://shopee.co.id/Somethinc-Niacinamide-Moisture-Sabi-Beet-Max-Brightening-Serum-5-0--i.53887195.9224443304")</f>
        <v>https://shopee.co.id/Somethinc-Niacinamide-Moisture-Sabi-Beet-Max-Brightening-Serum-5-0--i.53887195.9224443304</v>
      </c>
      <c r="C3547" s="8" t="s">
        <v>45</v>
      </c>
      <c r="D3547" s="8" t="s">
        <v>1026</v>
      </c>
      <c r="E3547" s="8" t="s">
        <v>12</v>
      </c>
      <c r="F3547" s="8" t="s">
        <v>13</v>
      </c>
      <c r="G3547" s="8" t="s">
        <v>80</v>
      </c>
      <c r="H3547" s="16">
        <v>0.0</v>
      </c>
      <c r="I3547" s="15" t="str">
        <f>SUBSTITUTE(Sheet1!K3547, "Rp", "")</f>
        <v>0</v>
      </c>
    </row>
    <row r="3548">
      <c r="A3548" s="8" t="s">
        <v>4882</v>
      </c>
      <c r="B3548" s="13" t="str">
        <f>HYPERLINK("https://shopee.co.id/SOMETHINC-Niacinamide-Moisture-Sabi-Beet-Serum-20ml-i.187117294.5181502105", "https://shopee.co.id/SOMETHINC-Niacinamide-Moisture-Sabi-Beet-Serum-20ml-i.187117294.5181502105")</f>
        <v>https://shopee.co.id/SOMETHINC-Niacinamide-Moisture-Sabi-Beet-Serum-20ml-i.187117294.5181502105</v>
      </c>
      <c r="C3548" s="8" t="s">
        <v>45</v>
      </c>
      <c r="D3548" s="8" t="s">
        <v>2366</v>
      </c>
      <c r="E3548" s="8" t="s">
        <v>12</v>
      </c>
      <c r="F3548" s="8" t="s">
        <v>13</v>
      </c>
      <c r="G3548" s="8" t="s">
        <v>469</v>
      </c>
      <c r="H3548" s="16">
        <v>0.0</v>
      </c>
      <c r="I3548" s="15" t="str">
        <f>SUBSTITUTE(Sheet1!K3548, "Rp", "")</f>
        <v>0</v>
      </c>
    </row>
    <row r="3549">
      <c r="A3549" s="8" t="s">
        <v>1950</v>
      </c>
      <c r="B3549" s="13" t="str">
        <f>HYPERLINK("https://shopee.co.id/Somethinc-Salmon-DNA-Marine-Colagen-Elixir-20-ml-i.65323877.8279239649", "https://shopee.co.id/Somethinc-Salmon-DNA-Marine-Colagen-Elixir-20-ml-i.65323877.8279239649")</f>
        <v>https://shopee.co.id/Somethinc-Salmon-DNA-Marine-Colagen-Elixir-20-ml-i.65323877.8279239649</v>
      </c>
      <c r="C3549" s="8" t="s">
        <v>45</v>
      </c>
      <c r="D3549" s="8" t="s">
        <v>1600</v>
      </c>
      <c r="E3549" s="8" t="s">
        <v>12</v>
      </c>
      <c r="F3549" s="8" t="s">
        <v>13</v>
      </c>
      <c r="G3549" s="8" t="s">
        <v>296</v>
      </c>
      <c r="H3549" s="16">
        <v>0.0</v>
      </c>
      <c r="I3549" s="15" t="str">
        <f>SUBSTITUTE(Sheet1!K3549, "Rp", "")</f>
        <v>0</v>
      </c>
    </row>
    <row r="3550">
      <c r="A3550" s="8" t="s">
        <v>4883</v>
      </c>
      <c r="B3550" s="13" t="str">
        <f>HYPERLINK("https://shopee.co.id/SOMETHINC-CRIOUSLY-24K-GOLD-Essence-i.217272417.5657564109", "https://shopee.co.id/SOMETHINC-CRIOUSLY-24K-GOLD-Essence-i.217272417.5657564109")</f>
        <v>https://shopee.co.id/SOMETHINC-CRIOUSLY-24K-GOLD-Essence-i.217272417.5657564109</v>
      </c>
      <c r="C3550" s="8" t="s">
        <v>45</v>
      </c>
      <c r="D3550" s="8" t="s">
        <v>3793</v>
      </c>
      <c r="E3550" s="8" t="s">
        <v>12</v>
      </c>
      <c r="F3550" s="8" t="s">
        <v>13</v>
      </c>
      <c r="G3550" s="8" t="s">
        <v>98</v>
      </c>
      <c r="H3550" s="16">
        <v>0.0</v>
      </c>
      <c r="I3550" s="15" t="str">
        <f>SUBSTITUTE(Sheet1!K3550, "Rp", "")</f>
        <v>0</v>
      </c>
    </row>
    <row r="3551">
      <c r="A3551" s="8" t="s">
        <v>4884</v>
      </c>
      <c r="B3551" s="13" t="str">
        <f>HYPERLINK("https://shopee.co.id/SOMETHINCserum-hyaluronic9-advanced-b5-20ml-i.187117294.3251661510", "https://shopee.co.id/SOMETHINCserum-hyaluronic9-advanced-b5-20ml-i.187117294.3251661510")</f>
        <v>https://shopee.co.id/SOMETHINCserum-hyaluronic9-advanced-b5-20ml-i.187117294.3251661510</v>
      </c>
      <c r="C3551" s="8" t="s">
        <v>45</v>
      </c>
      <c r="D3551" s="8" t="s">
        <v>2366</v>
      </c>
      <c r="E3551" s="8" t="s">
        <v>12</v>
      </c>
      <c r="F3551" s="8" t="s">
        <v>13</v>
      </c>
      <c r="G3551" s="8" t="s">
        <v>469</v>
      </c>
      <c r="H3551" s="16">
        <v>0.0</v>
      </c>
      <c r="I3551" s="15" t="str">
        <f>SUBSTITUTE(Sheet1!K3551, "Rp", "")</f>
        <v>0</v>
      </c>
    </row>
    <row r="3552">
      <c r="A3552" s="8" t="s">
        <v>4885</v>
      </c>
      <c r="B3552" s="13" t="str">
        <f>HYPERLINK("https://shopee.co.id/SPECIAL-BUNDLING-Placentor-Regenerating-Serum-Cleansing-Gel-Pembersih-Wajah-Serum-i.304477244.3652513645", "https://shopee.co.id/SPECIAL-BUNDLING-Placentor-Regenerating-Serum-Cleansing-Gel-Pembersih-Wajah-Serum-i.304477244.3652513645")</f>
        <v>https://shopee.co.id/SPECIAL-BUNDLING-Placentor-Regenerating-Serum-Cleansing-Gel-Pembersih-Wajah-Serum-i.304477244.3652513645</v>
      </c>
      <c r="C3552" s="8" t="s">
        <v>2346</v>
      </c>
      <c r="D3552" s="8" t="s">
        <v>2347</v>
      </c>
      <c r="E3552" s="8" t="s">
        <v>12</v>
      </c>
      <c r="F3552" s="8" t="s">
        <v>13</v>
      </c>
      <c r="G3552" s="8" t="s">
        <v>532</v>
      </c>
      <c r="H3552" s="16">
        <v>0.0</v>
      </c>
      <c r="I3552" s="15" t="str">
        <f>SUBSTITUTE(Sheet1!K3552, "Rp", "")</f>
        <v>0</v>
      </c>
    </row>
    <row r="3553">
      <c r="A3553" s="8" t="s">
        <v>4886</v>
      </c>
      <c r="B3553" s="13" t="str">
        <f>HYPERLINK("https://shopee.co.id/SPECIAL-BUNDLING-Placentor-Regenerating-Serum-Corrective-Cream-Serum-Mengatasi-noda-pd-wajah-i.304477244.3171675550", "https://shopee.co.id/SPECIAL-BUNDLING-Placentor-Regenerating-Serum-Corrective-Cream-Serum-Mengatasi-noda-pd-wajah-i.304477244.3171675550")</f>
        <v>https://shopee.co.id/SPECIAL-BUNDLING-Placentor-Regenerating-Serum-Corrective-Cream-Serum-Mengatasi-noda-pd-wajah-i.304477244.3171675550</v>
      </c>
      <c r="C3553" s="8" t="s">
        <v>2346</v>
      </c>
      <c r="D3553" s="8" t="s">
        <v>2347</v>
      </c>
      <c r="E3553" s="8" t="s">
        <v>12</v>
      </c>
      <c r="F3553" s="8" t="s">
        <v>13</v>
      </c>
      <c r="G3553" s="8" t="s">
        <v>532</v>
      </c>
      <c r="H3553" s="16">
        <v>0.0</v>
      </c>
      <c r="I3553" s="15" t="str">
        <f>SUBSTITUTE(Sheet1!K3553, "Rp", "")</f>
        <v>0</v>
      </c>
    </row>
    <row r="3554">
      <c r="A3554" s="8" t="s">
        <v>4887</v>
      </c>
      <c r="B3554" s="13" t="str">
        <f>HYPERLINK("https://shopee.co.id/SPECIAL-BUNDLING-Placentor-Regenerating-Serum-Moisturizing-Fluid-i.304477244.5264713898", "https://shopee.co.id/SPECIAL-BUNDLING-Placentor-Regenerating-Serum-Moisturizing-Fluid-i.304477244.5264713898")</f>
        <v>https://shopee.co.id/SPECIAL-BUNDLING-Placentor-Regenerating-Serum-Moisturizing-Fluid-i.304477244.5264713898</v>
      </c>
      <c r="C3554" s="8" t="s">
        <v>2346</v>
      </c>
      <c r="D3554" s="8" t="s">
        <v>2347</v>
      </c>
      <c r="E3554" s="8" t="s">
        <v>12</v>
      </c>
      <c r="F3554" s="8" t="s">
        <v>13</v>
      </c>
      <c r="G3554" s="8" t="s">
        <v>532</v>
      </c>
      <c r="H3554" s="16">
        <v>0.0</v>
      </c>
      <c r="I3554" s="15" t="str">
        <f>SUBSTITUTE(Sheet1!K3554, "Rp", "")</f>
        <v>0</v>
      </c>
    </row>
    <row r="3555">
      <c r="A3555" s="8" t="s">
        <v>4888</v>
      </c>
      <c r="B3555" s="13" t="str">
        <f>HYPERLINK("https://shopee.co.id/SPECIAL-BUNDLING-Placentor-Regenerating-Serum-Regenerating-Moisturizing-Cream-i.304477244.5063565039", "https://shopee.co.id/SPECIAL-BUNDLING-Placentor-Regenerating-Serum-Regenerating-Moisturizing-Cream-i.304477244.5063565039")</f>
        <v>https://shopee.co.id/SPECIAL-BUNDLING-Placentor-Regenerating-Serum-Regenerating-Moisturizing-Cream-i.304477244.5063565039</v>
      </c>
      <c r="C3555" s="8" t="s">
        <v>2346</v>
      </c>
      <c r="D3555" s="8" t="s">
        <v>2347</v>
      </c>
      <c r="E3555" s="8" t="s">
        <v>12</v>
      </c>
      <c r="F3555" s="8" t="s">
        <v>13</v>
      </c>
      <c r="G3555" s="8" t="s">
        <v>532</v>
      </c>
      <c r="H3555" s="16">
        <v>0.0</v>
      </c>
      <c r="I3555" s="15" t="str">
        <f>SUBSTITUTE(Sheet1!K3555, "Rp", "")</f>
        <v>0</v>
      </c>
    </row>
    <row r="3556">
      <c r="A3556" s="8" t="s">
        <v>4889</v>
      </c>
      <c r="B3556" s="13" t="str">
        <f>HYPERLINK("https://shopee.co.id/STEFSKIN-Collagen-Vit-C-Serum-i.118592719.6620292978", "https://shopee.co.id/STEFSKIN-Collagen-Vit-C-Serum-i.118592719.6620292978")</f>
        <v>https://shopee.co.id/STEFSKIN-Collagen-Vit-C-Serum-i.118592719.6620292978</v>
      </c>
      <c r="C3556" s="8" t="s">
        <v>4890</v>
      </c>
      <c r="D3556" s="8" t="s">
        <v>4891</v>
      </c>
      <c r="E3556" s="8" t="s">
        <v>12</v>
      </c>
      <c r="F3556" s="8" t="s">
        <v>13</v>
      </c>
      <c r="G3556" s="8" t="s">
        <v>80</v>
      </c>
      <c r="H3556" s="16">
        <v>0.0</v>
      </c>
      <c r="I3556" s="15" t="str">
        <f>SUBSTITUTE(Sheet1!K3556, "Rp", "")</f>
        <v>0</v>
      </c>
    </row>
    <row r="3557">
      <c r="A3557" s="8" t="s">
        <v>841</v>
      </c>
      <c r="B3557" s="13" t="str">
        <f>HYPERLINK("https://shopee.co.id/Sulwhasoo-Snowise-Brightening-Serum-Set-i.274949344.8920299890", "https://shopee.co.id/Sulwhasoo-Snowise-Brightening-Serum-Set-i.274949344.8920299890")</f>
        <v>https://shopee.co.id/Sulwhasoo-Snowise-Brightening-Serum-Set-i.274949344.8920299890</v>
      </c>
      <c r="C3557" s="8" t="s">
        <v>282</v>
      </c>
      <c r="D3557" s="8" t="s">
        <v>283</v>
      </c>
      <c r="E3557" s="8" t="s">
        <v>12</v>
      </c>
      <c r="F3557" s="8" t="s">
        <v>13</v>
      </c>
      <c r="G3557" s="8" t="s">
        <v>61</v>
      </c>
      <c r="H3557" s="16">
        <v>0.0</v>
      </c>
      <c r="I3557" s="15" t="str">
        <f>SUBSTITUTE(Sheet1!K3557, "Rp", "")</f>
        <v>0</v>
      </c>
    </row>
    <row r="3558">
      <c r="A3558" s="8" t="s">
        <v>4892</v>
      </c>
      <c r="B3558" s="13" t="str">
        <f>HYPERLINK("https://shopee.co.id/SUMMER-TIME-Revitalizing-Serum-for-Normal-to-Dry-Skin-i.140759088.2200825056", "https://shopee.co.id/SUMMER-TIME-Revitalizing-Serum-for-Normal-to-Dry-Skin-i.140759088.2200825056")</f>
        <v>https://shopee.co.id/SUMMER-TIME-Revitalizing-Serum-for-Normal-to-Dry-Skin-i.140759088.2200825056</v>
      </c>
      <c r="C3558" s="8" t="s">
        <v>4893</v>
      </c>
      <c r="D3558" s="8" t="s">
        <v>4894</v>
      </c>
      <c r="E3558" s="8" t="s">
        <v>12</v>
      </c>
      <c r="F3558" s="8" t="s">
        <v>13</v>
      </c>
      <c r="G3558" s="8" t="s">
        <v>296</v>
      </c>
      <c r="H3558" s="16">
        <v>0.0</v>
      </c>
      <c r="I3558" s="15" t="str">
        <f>SUBSTITUTE(Sheet1!K3558, "Rp", "")</f>
        <v>0</v>
      </c>
    </row>
    <row r="3559">
      <c r="A3559" s="8" t="s">
        <v>4895</v>
      </c>
      <c r="B3559" s="13" t="str">
        <f>HYPERLINK("https://shopee.co.id/SUMMER-TIME-Serum-for-Oily-Acne-Prone-Skin-i.140759088.2200840687", "https://shopee.co.id/SUMMER-TIME-Serum-for-Oily-Acne-Prone-Skin-i.140759088.2200840687")</f>
        <v>https://shopee.co.id/SUMMER-TIME-Serum-for-Oily-Acne-Prone-Skin-i.140759088.2200840687</v>
      </c>
      <c r="C3559" s="8" t="s">
        <v>4893</v>
      </c>
      <c r="D3559" s="8" t="s">
        <v>4894</v>
      </c>
      <c r="E3559" s="8" t="s">
        <v>12</v>
      </c>
      <c r="F3559" s="8" t="s">
        <v>13</v>
      </c>
      <c r="G3559" s="8" t="s">
        <v>296</v>
      </c>
      <c r="H3559" s="16">
        <v>0.0</v>
      </c>
      <c r="I3559" s="15" t="str">
        <f>SUBSTITUTE(Sheet1!K3559, "Rp", "")</f>
        <v>0</v>
      </c>
    </row>
    <row r="3560">
      <c r="A3560" s="8" t="s">
        <v>4896</v>
      </c>
      <c r="B3560" s="13" t="str">
        <f>HYPERLINK("https://shopee.co.id/Swissvita-Brightening-Serum-VitaBtech-i.29252724.1068177805", "https://shopee.co.id/Swissvita-Brightening-Serum-VitaBtech-i.29252724.1068177805")</f>
        <v>https://shopee.co.id/Swissvita-Brightening-Serum-VitaBtech-i.29252724.1068177805</v>
      </c>
      <c r="C3560" s="8" t="s">
        <v>2536</v>
      </c>
      <c r="D3560" s="8" t="s">
        <v>2537</v>
      </c>
      <c r="E3560" s="8" t="s">
        <v>12</v>
      </c>
      <c r="F3560" s="8" t="s">
        <v>13</v>
      </c>
      <c r="G3560" s="8" t="s">
        <v>61</v>
      </c>
      <c r="H3560" s="16">
        <v>0.0</v>
      </c>
      <c r="I3560" s="15" t="str">
        <f>SUBSTITUTE(Sheet1!K3560, "Rp", "")</f>
        <v>0</v>
      </c>
    </row>
    <row r="3561">
      <c r="A3561" s="8" t="s">
        <v>4897</v>
      </c>
      <c r="B3561" s="13" t="str">
        <f>HYPERLINK("https://shopee.co.id/Swissvita-Dark-Spot-Correcting-Serum-VitaBtech-i.29252724.390512881", "https://shopee.co.id/Swissvita-Dark-Spot-Correcting-Serum-VitaBtech-i.29252724.390512881")</f>
        <v>https://shopee.co.id/Swissvita-Dark-Spot-Correcting-Serum-VitaBtech-i.29252724.390512881</v>
      </c>
      <c r="C3561" s="8" t="s">
        <v>2536</v>
      </c>
      <c r="D3561" s="8" t="s">
        <v>2537</v>
      </c>
      <c r="E3561" s="8" t="s">
        <v>12</v>
      </c>
      <c r="F3561" s="8" t="s">
        <v>13</v>
      </c>
      <c r="G3561" s="8" t="s">
        <v>61</v>
      </c>
      <c r="H3561" s="16">
        <v>0.0</v>
      </c>
      <c r="I3561" s="15" t="str">
        <f>SUBSTITUTE(Sheet1!K3561, "Rp", "")</f>
        <v>0</v>
      </c>
    </row>
    <row r="3562">
      <c r="A3562" s="8" t="s">
        <v>4898</v>
      </c>
      <c r="B3562" s="13" t="str">
        <f>HYPERLINK("https://shopee.co.id/Swissvita-Mandelic-Acid-Complex-Serum-AHA--i.29252724.7368049384", "https://shopee.co.id/Swissvita-Mandelic-Acid-Complex-Serum-AHA--i.29252724.7368049384")</f>
        <v>https://shopee.co.id/Swissvita-Mandelic-Acid-Complex-Serum-AHA--i.29252724.7368049384</v>
      </c>
      <c r="C3562" s="8" t="s">
        <v>2536</v>
      </c>
      <c r="D3562" s="8" t="s">
        <v>2537</v>
      </c>
      <c r="E3562" s="8" t="s">
        <v>12</v>
      </c>
      <c r="F3562" s="8" t="s">
        <v>13</v>
      </c>
      <c r="G3562" s="8" t="s">
        <v>61</v>
      </c>
      <c r="H3562" s="16">
        <v>0.0</v>
      </c>
      <c r="I3562" s="15" t="str">
        <f>SUBSTITUTE(Sheet1!K3562, "Rp", "")</f>
        <v>0</v>
      </c>
    </row>
    <row r="3563">
      <c r="A3563" s="8" t="s">
        <v>4899</v>
      </c>
      <c r="B3563" s="13" t="str">
        <f>HYPERLINK("https://shopee.co.id/Swissvita-Skin-Serum-VitaBtech-i.29252724.1067013033", "https://shopee.co.id/Swissvita-Skin-Serum-VitaBtech-i.29252724.1067013033")</f>
        <v>https://shopee.co.id/Swissvita-Skin-Serum-VitaBtech-i.29252724.1067013033</v>
      </c>
      <c r="C3563" s="8" t="s">
        <v>2536</v>
      </c>
      <c r="D3563" s="8" t="s">
        <v>2537</v>
      </c>
      <c r="E3563" s="8" t="s">
        <v>12</v>
      </c>
      <c r="F3563" s="8" t="s">
        <v>13</v>
      </c>
      <c r="G3563" s="8" t="s">
        <v>61</v>
      </c>
      <c r="H3563" s="16">
        <v>0.0</v>
      </c>
      <c r="I3563" s="15" t="str">
        <f>SUBSTITUTE(Sheet1!K3563, "Rp", "")</f>
        <v>0</v>
      </c>
    </row>
    <row r="3564">
      <c r="A3564" s="8" t="s">
        <v>4900</v>
      </c>
      <c r="B3564" s="13" t="str">
        <f>HYPERLINK("https://shopee.co.id/TERRA-BEAUTE-Acne-Soother-Serum-i.68111.8056504562", "https://shopee.co.id/TERRA-BEAUTE-Acne-Soother-Serum-i.68111.8056504562")</f>
        <v>https://shopee.co.id/TERRA-BEAUTE-Acne-Soother-Serum-i.68111.8056504562</v>
      </c>
      <c r="C3564" s="8" t="s">
        <v>4608</v>
      </c>
      <c r="D3564" s="8" t="s">
        <v>441</v>
      </c>
      <c r="E3564" s="8" t="s">
        <v>12</v>
      </c>
      <c r="F3564" s="8" t="s">
        <v>13</v>
      </c>
      <c r="G3564" s="8" t="s">
        <v>130</v>
      </c>
      <c r="H3564" s="16">
        <v>0.0</v>
      </c>
      <c r="I3564" s="15" t="str">
        <f>SUBSTITUTE(Sheet1!K3564, "Rp", "")</f>
        <v>0</v>
      </c>
    </row>
    <row r="3565">
      <c r="A3565" s="8" t="s">
        <v>4901</v>
      </c>
      <c r="B3565" s="13" t="str">
        <f>HYPERLINK("https://shopee.co.id/THANK-YOU-FARMER-TRUE-WATER-DEEP-SERUM-60-ml-i.53497038.5934055078", "https://shopee.co.id/THANK-YOU-FARMER-TRUE-WATER-DEEP-SERUM-60-ml-i.53497038.5934055078")</f>
        <v>https://shopee.co.id/THANK-YOU-FARMER-TRUE-WATER-DEEP-SERUM-60-ml-i.53497038.5934055078</v>
      </c>
      <c r="C3565" s="8" t="s">
        <v>2961</v>
      </c>
      <c r="D3565" s="8" t="s">
        <v>907</v>
      </c>
      <c r="E3565" s="8" t="s">
        <v>12</v>
      </c>
      <c r="F3565" s="8" t="s">
        <v>13</v>
      </c>
      <c r="G3565" s="8" t="s">
        <v>61</v>
      </c>
      <c r="H3565" s="16">
        <v>0.0</v>
      </c>
      <c r="I3565" s="15" t="str">
        <f>SUBSTITUTE(Sheet1!K3565, "Rp", "")</f>
        <v>0</v>
      </c>
    </row>
    <row r="3566">
      <c r="A3566" s="8" t="s">
        <v>4902</v>
      </c>
      <c r="B3566" s="13" t="str">
        <f>HYPERLINK("https://shopee.co.id/The-Aubree-Brightening-Serum-Concentrate-30ml-i.136011044.2922912051", "https://shopee.co.id/The-Aubree-Brightening-Serum-Concentrate-30ml-i.136011044.2922912051")</f>
        <v>https://shopee.co.id/The-Aubree-Brightening-Serum-Concentrate-30ml-i.136011044.2922912051</v>
      </c>
      <c r="C3566" s="8" t="s">
        <v>772</v>
      </c>
      <c r="D3566" s="8" t="s">
        <v>632</v>
      </c>
      <c r="E3566" s="8" t="s">
        <v>12</v>
      </c>
      <c r="F3566" s="8" t="s">
        <v>13</v>
      </c>
      <c r="G3566" s="8" t="s">
        <v>21</v>
      </c>
      <c r="H3566" s="16">
        <v>0.0</v>
      </c>
      <c r="I3566" s="15" t="str">
        <f>SUBSTITUTE(Sheet1!K3566, "Rp", "")</f>
        <v>0</v>
      </c>
    </row>
    <row r="3567">
      <c r="A3567" s="8" t="s">
        <v>4903</v>
      </c>
      <c r="B3567" s="13" t="str">
        <f>HYPERLINK("https://shopee.co.id/The-Aubree-Centella-Herb-Serum-30-mL-i.65323877.4894822083", "https://shopee.co.id/The-Aubree-Centella-Herb-Serum-30-mL-i.65323877.4894822083")</f>
        <v>https://shopee.co.id/The-Aubree-Centella-Herb-Serum-30-mL-i.65323877.4894822083</v>
      </c>
      <c r="C3567" s="8" t="s">
        <v>772</v>
      </c>
      <c r="D3567" s="8" t="s">
        <v>1600</v>
      </c>
      <c r="E3567" s="8" t="s">
        <v>12</v>
      </c>
      <c r="F3567" s="8" t="s">
        <v>13</v>
      </c>
      <c r="G3567" s="8" t="s">
        <v>296</v>
      </c>
      <c r="H3567" s="16">
        <v>0.0</v>
      </c>
      <c r="I3567" s="15" t="str">
        <f>SUBSTITUTE(Sheet1!K3567, "Rp", "")</f>
        <v>0</v>
      </c>
    </row>
    <row r="3568">
      <c r="A3568" s="8" t="s">
        <v>1501</v>
      </c>
      <c r="B3568" s="13" t="str">
        <f>HYPERLINK("https://shopee.co.id/The-Aubree-Ginseng-Renewing-First-Serum-30-ml-i.10689.3866239801", "https://shopee.co.id/The-Aubree-Ginseng-Renewing-First-Serum-30-ml-i.10689.3866239801")</f>
        <v>https://shopee.co.id/The-Aubree-Ginseng-Renewing-First-Serum-30-ml-i.10689.3866239801</v>
      </c>
      <c r="C3568" s="8" t="s">
        <v>772</v>
      </c>
      <c r="D3568" s="8" t="s">
        <v>745</v>
      </c>
      <c r="E3568" s="8" t="s">
        <v>12</v>
      </c>
      <c r="F3568" s="8" t="s">
        <v>13</v>
      </c>
      <c r="G3568" s="8" t="s">
        <v>61</v>
      </c>
      <c r="H3568" s="16">
        <v>0.0</v>
      </c>
      <c r="I3568" s="15" t="str">
        <f>SUBSTITUTE(Sheet1!K3568, "Rp", "")</f>
        <v>0</v>
      </c>
    </row>
    <row r="3569">
      <c r="A3569" s="8" t="s">
        <v>4904</v>
      </c>
      <c r="B3569" s="13" t="str">
        <f>HYPERLINK("https://shopee.co.id/THE-BATH-BOX-Centella-Essence-Jerawat-Sensitif-Redness-Iritasi--i.52581685.7733771157", "https://shopee.co.id/THE-BATH-BOX-Centella-Essence-Jerawat-Sensitif-Redness-Iritasi--i.52581685.7733771157")</f>
        <v>https://shopee.co.id/THE-BATH-BOX-Centella-Essence-Jerawat-Sensitif-Redness-Iritasi--i.52581685.7733771157</v>
      </c>
      <c r="C3569" s="8" t="s">
        <v>613</v>
      </c>
      <c r="D3569" s="8" t="s">
        <v>614</v>
      </c>
      <c r="E3569" s="8" t="s">
        <v>12</v>
      </c>
      <c r="F3569" s="8" t="s">
        <v>13</v>
      </c>
      <c r="G3569" s="8" t="s">
        <v>61</v>
      </c>
      <c r="H3569" s="16">
        <v>0.0</v>
      </c>
      <c r="I3569" s="15" t="str">
        <f>SUBSTITUTE(Sheet1!K3569, "Rp", "")</f>
        <v>0</v>
      </c>
    </row>
    <row r="3570">
      <c r="A3570" s="8" t="s">
        <v>4905</v>
      </c>
      <c r="B3570" s="13" t="str">
        <f>HYPERLINK("https://shopee.co.id/THE-BATH-BOX-Centella-Facial-Treatment-Essence-100ml-i.68111.9317930668", "https://shopee.co.id/THE-BATH-BOX-Centella-Facial-Treatment-Essence-100ml-i.68111.9317930668")</f>
        <v>https://shopee.co.id/THE-BATH-BOX-Centella-Facial-Treatment-Essence-100ml-i.68111.9317930668</v>
      </c>
      <c r="C3570" s="8" t="s">
        <v>613</v>
      </c>
      <c r="D3570" s="8" t="s">
        <v>441</v>
      </c>
      <c r="E3570" s="8" t="s">
        <v>12</v>
      </c>
      <c r="F3570" s="8" t="s">
        <v>13</v>
      </c>
      <c r="G3570" s="8" t="s">
        <v>130</v>
      </c>
      <c r="H3570" s="16">
        <v>0.0</v>
      </c>
      <c r="I3570" s="15" t="str">
        <f>SUBSTITUTE(Sheet1!K3570, "Rp", "")</f>
        <v>0</v>
      </c>
    </row>
    <row r="3571">
      <c r="A3571" s="8" t="s">
        <v>4906</v>
      </c>
      <c r="B3571" s="13" t="str">
        <f>HYPERLINK("https://shopee.co.id/THE-BATH-BOX-Delicate-Dream-Serum-sensistif-iritasi-bruntusan-30ml-i.52581685.5300414365", "https://shopee.co.id/THE-BATH-BOX-Delicate-Dream-Serum-sensistif-iritasi-bruntusan-30ml-i.52581685.5300414365")</f>
        <v>https://shopee.co.id/THE-BATH-BOX-Delicate-Dream-Serum-sensistif-iritasi-bruntusan-30ml-i.52581685.5300414365</v>
      </c>
      <c r="C3571" s="8" t="s">
        <v>613</v>
      </c>
      <c r="D3571" s="8" t="s">
        <v>614</v>
      </c>
      <c r="E3571" s="8" t="s">
        <v>12</v>
      </c>
      <c r="F3571" s="8" t="s">
        <v>13</v>
      </c>
      <c r="G3571" s="8" t="s">
        <v>61</v>
      </c>
      <c r="H3571" s="16">
        <v>0.0</v>
      </c>
      <c r="I3571" s="15" t="str">
        <f>SUBSTITUTE(Sheet1!K3571, "Rp", "")</f>
        <v>0</v>
      </c>
    </row>
    <row r="3572">
      <c r="A3572" s="8" t="s">
        <v>4907</v>
      </c>
      <c r="B3572" s="13" t="str">
        <f>HYPERLINK("https://shopee.co.id/The-Bath-Box-Galacto-Facial-Treatment-Essence-100ml-i.825870.1614328684", "https://shopee.co.id/The-Bath-Box-Galacto-Facial-Treatment-Essence-100ml-i.825870.1614328684")</f>
        <v>https://shopee.co.id/The-Bath-Box-Galacto-Facial-Treatment-Essence-100ml-i.825870.1614328684</v>
      </c>
      <c r="C3572" s="8" t="s">
        <v>613</v>
      </c>
      <c r="D3572" s="8" t="s">
        <v>1184</v>
      </c>
      <c r="E3572" s="8" t="s">
        <v>12</v>
      </c>
      <c r="F3572" s="8" t="s">
        <v>13</v>
      </c>
      <c r="G3572" s="8" t="s">
        <v>21</v>
      </c>
      <c r="H3572" s="16">
        <v>0.0</v>
      </c>
      <c r="I3572" s="15" t="str">
        <f>SUBSTITUTE(Sheet1!K3572, "Rp", "")</f>
        <v>0</v>
      </c>
    </row>
    <row r="3573">
      <c r="A3573" s="8" t="s">
        <v>4908</v>
      </c>
      <c r="B3573" s="13" t="str">
        <f>HYPERLINK("https://shopee.co.id/THE-BATH-BOX-Peptide-Probiotic-Anti-Aging-Facial-Serum-30ml-i.68111.9017913156", "https://shopee.co.id/THE-BATH-BOX-Peptide-Probiotic-Anti-Aging-Facial-Serum-30ml-i.68111.9017913156")</f>
        <v>https://shopee.co.id/THE-BATH-BOX-Peptide-Probiotic-Anti-Aging-Facial-Serum-30ml-i.68111.9017913156</v>
      </c>
      <c r="C3573" s="8" t="s">
        <v>613</v>
      </c>
      <c r="D3573" s="8" t="s">
        <v>441</v>
      </c>
      <c r="E3573" s="8" t="s">
        <v>12</v>
      </c>
      <c r="F3573" s="8" t="s">
        <v>13</v>
      </c>
      <c r="G3573" s="8" t="s">
        <v>130</v>
      </c>
      <c r="H3573" s="16">
        <v>0.0</v>
      </c>
      <c r="I3573" s="15" t="str">
        <f>SUBSTITUTE(Sheet1!K3573, "Rp", "")</f>
        <v>0</v>
      </c>
    </row>
    <row r="3574">
      <c r="A3574" s="8" t="s">
        <v>4909</v>
      </c>
      <c r="B3574" s="13" t="str">
        <f>HYPERLINK("https://shopee.co.id/The-Bath-Box-Peptide-Probiotic-Serum-i.17081863.9246319915", "https://shopee.co.id/The-Bath-Box-Peptide-Probiotic-Serum-i.17081863.9246319915")</f>
        <v>https://shopee.co.id/The-Bath-Box-Peptide-Probiotic-Serum-i.17081863.9246319915</v>
      </c>
      <c r="C3574" s="8" t="s">
        <v>613</v>
      </c>
      <c r="D3574" s="8" t="s">
        <v>2497</v>
      </c>
      <c r="E3574" s="8" t="s">
        <v>12</v>
      </c>
      <c r="F3574" s="8" t="s">
        <v>13</v>
      </c>
      <c r="G3574" s="8" t="s">
        <v>21</v>
      </c>
      <c r="H3574" s="16">
        <v>0.0</v>
      </c>
      <c r="I3574" s="15" t="str">
        <f>SUBSTITUTE(Sheet1!K3574, "Rp", "")</f>
        <v>0</v>
      </c>
    </row>
    <row r="3575">
      <c r="A3575" s="8" t="s">
        <v>4910</v>
      </c>
      <c r="B3575" s="13" t="str">
        <f>HYPERLINK("https://shopee.co.id/THE-BATH-BOX-Rose-Hydrating-Serum-In-Jar-i.68111.6279989968", "https://shopee.co.id/THE-BATH-BOX-Rose-Hydrating-Serum-In-Jar-i.68111.6279989968")</f>
        <v>https://shopee.co.id/THE-BATH-BOX-Rose-Hydrating-Serum-In-Jar-i.68111.6279989968</v>
      </c>
      <c r="C3575" s="8" t="s">
        <v>613</v>
      </c>
      <c r="D3575" s="8" t="s">
        <v>441</v>
      </c>
      <c r="E3575" s="8" t="s">
        <v>12</v>
      </c>
      <c r="F3575" s="8" t="s">
        <v>13</v>
      </c>
      <c r="G3575" s="8" t="s">
        <v>130</v>
      </c>
      <c r="H3575" s="16">
        <v>0.0</v>
      </c>
      <c r="I3575" s="15" t="str">
        <f>SUBSTITUTE(Sheet1!K3575, "Rp", "")</f>
        <v>0</v>
      </c>
    </row>
    <row r="3576">
      <c r="A3576" s="8" t="s">
        <v>4911</v>
      </c>
      <c r="B3576" s="13" t="str">
        <f>HYPERLINK("https://shopee.co.id/The-Bath-Box-Rose-Hydrating-Serum-in-Jar-50gr-i.825870.5541622131", "https://shopee.co.id/The-Bath-Box-Rose-Hydrating-Serum-in-Jar-50gr-i.825870.5541622131")</f>
        <v>https://shopee.co.id/The-Bath-Box-Rose-Hydrating-Serum-in-Jar-50gr-i.825870.5541622131</v>
      </c>
      <c r="C3576" s="8" t="s">
        <v>613</v>
      </c>
      <c r="D3576" s="8" t="s">
        <v>1184</v>
      </c>
      <c r="E3576" s="8" t="s">
        <v>12</v>
      </c>
      <c r="F3576" s="8" t="s">
        <v>13</v>
      </c>
      <c r="G3576" s="8" t="s">
        <v>21</v>
      </c>
      <c r="H3576" s="16">
        <v>0.0</v>
      </c>
      <c r="I3576" s="15" t="str">
        <f>SUBSTITUTE(Sheet1!K3576, "Rp", "")</f>
        <v>0</v>
      </c>
    </row>
    <row r="3577">
      <c r="A3577" s="8" t="s">
        <v>4912</v>
      </c>
      <c r="B3577" s="13" t="str">
        <f>HYPERLINK("https://shopee.co.id/The-Face-Serum-Temulawak-20ml-i.277377659.6540160453", "https://shopee.co.id/The-Face-Serum-Temulawak-20ml-i.277377659.6540160453")</f>
        <v>https://shopee.co.id/The-Face-Serum-Temulawak-20ml-i.277377659.6540160453</v>
      </c>
      <c r="C3577" s="8" t="s">
        <v>3975</v>
      </c>
      <c r="D3577" s="8" t="s">
        <v>2549</v>
      </c>
      <c r="E3577" s="8" t="s">
        <v>12</v>
      </c>
      <c r="F3577" s="8" t="s">
        <v>13</v>
      </c>
      <c r="G3577" s="8" t="s">
        <v>532</v>
      </c>
      <c r="H3577" s="16">
        <v>0.0</v>
      </c>
      <c r="I3577" s="15" t="str">
        <f>SUBSTITUTE(Sheet1!K3577, "Rp", "")</f>
        <v>0</v>
      </c>
    </row>
    <row r="3578">
      <c r="A3578" s="8" t="s">
        <v>4913</v>
      </c>
      <c r="B3578" s="13" t="str">
        <f>HYPERLINK("https://shopee.co.id/THE-LAB-BY-BLANC-DOUX-Oligo-Hyaluronic-Acid-Set-toner-200ml-cream-50ml-ampoule-30ml--i.240712269.10223359249", "https://shopee.co.id/THE-LAB-BY-BLANC-DOUX-Oligo-Hyaluronic-Acid-Set-toner-200ml-cream-50ml-ampoule-30ml--i.240712269.10223359249")</f>
        <v>https://shopee.co.id/THE-LAB-BY-BLANC-DOUX-Oligo-Hyaluronic-Acid-Set-toner-200ml-cream-50ml-ampoule-30ml--i.240712269.10223359249</v>
      </c>
      <c r="C3578" s="8" t="s">
        <v>2835</v>
      </c>
      <c r="D3578" s="8" t="s">
        <v>762</v>
      </c>
      <c r="E3578" s="8" t="s">
        <v>12</v>
      </c>
      <c r="F3578" s="8" t="s">
        <v>13</v>
      </c>
      <c r="G3578" s="8" t="s">
        <v>98</v>
      </c>
      <c r="H3578" s="16">
        <v>0.0</v>
      </c>
      <c r="I3578" s="15" t="str">
        <f>SUBSTITUTE(Sheet1!K3578, "Rp", "")</f>
        <v>0</v>
      </c>
    </row>
    <row r="3579">
      <c r="A3579" s="8" t="s">
        <v>4914</v>
      </c>
      <c r="B3579" s="13" t="str">
        <f>HYPERLINK("https://shopee.co.id/THE-LAB-BY-BLANC-DOUX-Oligo-Hyaluronic-Acid-Sun-Essence-40ml-i.240712269.9220970519", "https://shopee.co.id/THE-LAB-BY-BLANC-DOUX-Oligo-Hyaluronic-Acid-Sun-Essence-40ml-i.240712269.9220970519")</f>
        <v>https://shopee.co.id/THE-LAB-BY-BLANC-DOUX-Oligo-Hyaluronic-Acid-Sun-Essence-40ml-i.240712269.9220970519</v>
      </c>
      <c r="C3579" s="8" t="s">
        <v>2835</v>
      </c>
      <c r="D3579" s="8" t="s">
        <v>762</v>
      </c>
      <c r="E3579" s="8" t="s">
        <v>12</v>
      </c>
      <c r="F3579" s="8" t="s">
        <v>13</v>
      </c>
      <c r="G3579" s="8" t="s">
        <v>98</v>
      </c>
      <c r="H3579" s="16">
        <v>0.0</v>
      </c>
      <c r="I3579" s="15" t="str">
        <f>SUBSTITUTE(Sheet1!K3579, "Rp", "")</f>
        <v>0</v>
      </c>
    </row>
    <row r="3580">
      <c r="A3580" s="8" t="s">
        <v>4915</v>
      </c>
      <c r="B3580" s="13" t="str">
        <f>HYPERLINK("https://shopee.co.id/The-Ordinary-Ascorbic-Acid-8-Alpha-Arbutin-2-30ml-i.825870.7507371145", "https://shopee.co.id/The-Ordinary-Ascorbic-Acid-8-Alpha-Arbutin-2-30ml-i.825870.7507371145")</f>
        <v>https://shopee.co.id/The-Ordinary-Ascorbic-Acid-8-Alpha-Arbutin-2-30ml-i.825870.7507371145</v>
      </c>
      <c r="C3580" s="8" t="s">
        <v>1245</v>
      </c>
      <c r="D3580" s="8" t="s">
        <v>1184</v>
      </c>
      <c r="E3580" s="8" t="s">
        <v>12</v>
      </c>
      <c r="F3580" s="8" t="s">
        <v>13</v>
      </c>
      <c r="G3580" s="8" t="s">
        <v>98</v>
      </c>
      <c r="H3580" s="16">
        <v>0.0</v>
      </c>
      <c r="I3580" s="15" t="str">
        <f>SUBSTITUTE(Sheet1!K3580, "Rp", "")</f>
        <v>0</v>
      </c>
    </row>
    <row r="3581">
      <c r="A3581" s="8" t="s">
        <v>4916</v>
      </c>
      <c r="B3581" s="13" t="str">
        <f>HYPERLINK("https://shopee.co.id/The-Ordinary-Buffet-30ml-i.825870.6216313512", "https://shopee.co.id/The-Ordinary-Buffet-30ml-i.825870.6216313512")</f>
        <v>https://shopee.co.id/The-Ordinary-Buffet-30ml-i.825870.6216313512</v>
      </c>
      <c r="C3581" s="8" t="s">
        <v>1245</v>
      </c>
      <c r="D3581" s="8" t="s">
        <v>1184</v>
      </c>
      <c r="E3581" s="8" t="s">
        <v>12</v>
      </c>
      <c r="F3581" s="8" t="s">
        <v>13</v>
      </c>
      <c r="G3581" s="8" t="s">
        <v>98</v>
      </c>
      <c r="H3581" s="16">
        <v>0.0</v>
      </c>
      <c r="I3581" s="15" t="str">
        <f>SUBSTITUTE(Sheet1!K3581, "Rp", "")</f>
        <v>0</v>
      </c>
    </row>
    <row r="3582">
      <c r="A3582" s="8" t="s">
        <v>4917</v>
      </c>
      <c r="B3582" s="13" t="str">
        <f>HYPERLINK("https://shopee.co.id/The-Ordinary-Caffeine-Solution-5-EGCG-30ml-i.136011044.7359227021", "https://shopee.co.id/The-Ordinary-Caffeine-Solution-5-EGCG-30ml-i.136011044.7359227021")</f>
        <v>https://shopee.co.id/The-Ordinary-Caffeine-Solution-5-EGCG-30ml-i.136011044.7359227021</v>
      </c>
      <c r="C3582" s="8" t="s">
        <v>1245</v>
      </c>
      <c r="D3582" s="8" t="s">
        <v>632</v>
      </c>
      <c r="E3582" s="8" t="s">
        <v>12</v>
      </c>
      <c r="F3582" s="8" t="s">
        <v>13</v>
      </c>
      <c r="G3582" s="8" t="s">
        <v>21</v>
      </c>
      <c r="H3582" s="16">
        <v>0.0</v>
      </c>
      <c r="I3582" s="15" t="str">
        <f>SUBSTITUTE(Sheet1!K3582, "Rp", "")</f>
        <v>0</v>
      </c>
    </row>
    <row r="3583">
      <c r="A3583" s="8" t="s">
        <v>4918</v>
      </c>
      <c r="B3583" s="13" t="str">
        <f>HYPERLINK("https://shopee.co.id/The-Ordinary-Hyaluronic-Acid-2-B5-i.136011044.6870608963", "https://shopee.co.id/The-Ordinary-Hyaluronic-Acid-2-B5-i.136011044.6870608963")</f>
        <v>https://shopee.co.id/The-Ordinary-Hyaluronic-Acid-2-B5-i.136011044.6870608963</v>
      </c>
      <c r="C3583" s="8" t="s">
        <v>1245</v>
      </c>
      <c r="D3583" s="8" t="s">
        <v>632</v>
      </c>
      <c r="E3583" s="8" t="s">
        <v>12</v>
      </c>
      <c r="F3583" s="8" t="s">
        <v>13</v>
      </c>
      <c r="G3583" s="8" t="s">
        <v>21</v>
      </c>
      <c r="H3583" s="16">
        <v>0.0</v>
      </c>
      <c r="I3583" s="15" t="str">
        <f>SUBSTITUTE(Sheet1!K3583, "Rp", "")</f>
        <v>0</v>
      </c>
    </row>
    <row r="3584">
      <c r="A3584" s="8" t="s">
        <v>3083</v>
      </c>
      <c r="B3584" s="13" t="str">
        <f>HYPERLINK("https://shopee.co.id/The-Ordinary-Hyaluronic-Acid-2-B5-30ml-i.825870.323307578", "https://shopee.co.id/The-Ordinary-Hyaluronic-Acid-2-B5-30ml-i.825870.323307578")</f>
        <v>https://shopee.co.id/The-Ordinary-Hyaluronic-Acid-2-B5-30ml-i.825870.323307578</v>
      </c>
      <c r="C3584" s="8" t="s">
        <v>1245</v>
      </c>
      <c r="D3584" s="8" t="s">
        <v>1184</v>
      </c>
      <c r="E3584" s="8" t="s">
        <v>12</v>
      </c>
      <c r="F3584" s="8" t="s">
        <v>13</v>
      </c>
      <c r="G3584" s="8" t="s">
        <v>21</v>
      </c>
      <c r="H3584" s="16">
        <v>0.0</v>
      </c>
      <c r="I3584" s="15" t="str">
        <f>SUBSTITUTE(Sheet1!K3584, "Rp", "")</f>
        <v>0</v>
      </c>
    </row>
    <row r="3585">
      <c r="A3585" s="8" t="s">
        <v>1977</v>
      </c>
      <c r="B3585" s="13" t="str">
        <f>HYPERLINK("https://shopee.co.id/THE-ORDINARY-Niacinamide-10-Zinc-1-30ml-i.270965687.5538484076", "https://shopee.co.id/THE-ORDINARY-Niacinamide-10-Zinc-1-30ml-i.270965687.5538484076")</f>
        <v>https://shopee.co.id/THE-ORDINARY-Niacinamide-10-Zinc-1-30ml-i.270965687.5538484076</v>
      </c>
      <c r="C3585" s="8" t="s">
        <v>1245</v>
      </c>
      <c r="D3585" s="8" t="s">
        <v>379</v>
      </c>
      <c r="E3585" s="8" t="s">
        <v>12</v>
      </c>
      <c r="F3585" s="8" t="s">
        <v>13</v>
      </c>
      <c r="G3585" s="8" t="s">
        <v>380</v>
      </c>
      <c r="H3585" s="16">
        <v>0.0</v>
      </c>
      <c r="I3585" s="15" t="str">
        <f>SUBSTITUTE(Sheet1!K3585, "Rp", "")</f>
        <v>0</v>
      </c>
    </row>
    <row r="3586">
      <c r="A3586" s="8" t="s">
        <v>4919</v>
      </c>
      <c r="B3586" s="13" t="str">
        <f>HYPERLINK("https://shopee.co.id/The-Ordinary-Retinol-1-in-Squalane-30ml-i.825870.4609100613", "https://shopee.co.id/The-Ordinary-Retinol-1-in-Squalane-30ml-i.825870.4609100613")</f>
        <v>https://shopee.co.id/The-Ordinary-Retinol-1-in-Squalane-30ml-i.825870.4609100613</v>
      </c>
      <c r="C3586" s="8" t="s">
        <v>1245</v>
      </c>
      <c r="D3586" s="8" t="s">
        <v>1184</v>
      </c>
      <c r="E3586" s="8" t="s">
        <v>12</v>
      </c>
      <c r="F3586" s="8" t="s">
        <v>13</v>
      </c>
      <c r="G3586" s="8" t="s">
        <v>98</v>
      </c>
      <c r="H3586" s="16">
        <v>0.0</v>
      </c>
      <c r="I3586" s="15" t="str">
        <f>SUBSTITUTE(Sheet1!K3586, "Rp", "")</f>
        <v>0</v>
      </c>
    </row>
    <row r="3587">
      <c r="A3587" s="8" t="s">
        <v>4920</v>
      </c>
      <c r="B3587" s="13" t="str">
        <f>HYPERLINK("https://shopee.co.id/The-Ordinary-Vit-C-Suspension-23-AHA-Spheres-2-30ml-i.825870.8816190166", "https://shopee.co.id/The-Ordinary-Vit-C-Suspension-23-AHA-Spheres-2-30ml-i.825870.8816190166")</f>
        <v>https://shopee.co.id/The-Ordinary-Vit-C-Suspension-23-AHA-Spheres-2-30ml-i.825870.8816190166</v>
      </c>
      <c r="C3587" s="8" t="s">
        <v>1245</v>
      </c>
      <c r="D3587" s="8" t="s">
        <v>1184</v>
      </c>
      <c r="E3587" s="8" t="s">
        <v>12</v>
      </c>
      <c r="F3587" s="8" t="s">
        <v>13</v>
      </c>
      <c r="G3587" s="8" t="s">
        <v>21</v>
      </c>
      <c r="H3587" s="16">
        <v>0.0</v>
      </c>
      <c r="I3587" s="15" t="str">
        <f>SUBSTITUTE(Sheet1!K3587, "Rp", "")</f>
        <v>0</v>
      </c>
    </row>
    <row r="3588">
      <c r="A3588" s="8" t="s">
        <v>4921</v>
      </c>
      <c r="B3588" s="13" t="str">
        <f>HYPERLINK("https://shopee.co.id/The-Ordinary-Vitamin-C-Suspension-30-In-Silicone-30ml-i.825870.1022986712", "https://shopee.co.id/The-Ordinary-Vitamin-C-Suspension-30-In-Silicone-30ml-i.825870.1022986712")</f>
        <v>https://shopee.co.id/The-Ordinary-Vitamin-C-Suspension-30-In-Silicone-30ml-i.825870.1022986712</v>
      </c>
      <c r="C3588" s="8" t="s">
        <v>1245</v>
      </c>
      <c r="D3588" s="8" t="s">
        <v>1184</v>
      </c>
      <c r="E3588" s="8" t="s">
        <v>12</v>
      </c>
      <c r="F3588" s="8" t="s">
        <v>13</v>
      </c>
      <c r="G3588" s="8" t="s">
        <v>98</v>
      </c>
      <c r="H3588" s="16">
        <v>0.0</v>
      </c>
      <c r="I3588" s="15" t="str">
        <f>SUBSTITUTE(Sheet1!K3588, "Rp", "")</f>
        <v>0</v>
      </c>
    </row>
    <row r="3589">
      <c r="A3589" s="8" t="s">
        <v>4922</v>
      </c>
      <c r="B3589" s="13" t="str">
        <f>HYPERLINK("https://shopee.co.id/The-Potions-Centela-Asiatic-Water-Essence-20Ml-i.186214521.6186052995", "https://shopee.co.id/The-Potions-Centela-Asiatic-Water-Essence-20Ml-i.186214521.6186052995")</f>
        <v>https://shopee.co.id/The-Potions-Centela-Asiatic-Water-Essence-20Ml-i.186214521.6186052995</v>
      </c>
      <c r="C3589" s="8" t="s">
        <v>2245</v>
      </c>
      <c r="D3589" s="8" t="s">
        <v>2293</v>
      </c>
      <c r="E3589" s="8" t="s">
        <v>12</v>
      </c>
      <c r="F3589" s="8" t="s">
        <v>13</v>
      </c>
      <c r="G3589" s="8" t="s">
        <v>61</v>
      </c>
      <c r="H3589" s="16">
        <v>0.0</v>
      </c>
      <c r="I3589" s="15" t="str">
        <f>SUBSTITUTE(Sheet1!K3589, "Rp", "")</f>
        <v>0</v>
      </c>
    </row>
    <row r="3590">
      <c r="A3590" s="8" t="s">
        <v>4923</v>
      </c>
      <c r="B3590" s="13" t="str">
        <f>HYPERLINK("https://shopee.co.id/The-Potions-Jojoba-Oil-Serum-20ml-i.825870.6186358739", "https://shopee.co.id/The-Potions-Jojoba-Oil-Serum-20ml-i.825870.6186358739")</f>
        <v>https://shopee.co.id/The-Potions-Jojoba-Oil-Serum-20ml-i.825870.6186358739</v>
      </c>
      <c r="C3590" s="8" t="s">
        <v>2245</v>
      </c>
      <c r="D3590" s="8" t="s">
        <v>1184</v>
      </c>
      <c r="E3590" s="8" t="s">
        <v>12</v>
      </c>
      <c r="F3590" s="8" t="s">
        <v>13</v>
      </c>
      <c r="G3590" s="8" t="s">
        <v>21</v>
      </c>
      <c r="H3590" s="16">
        <v>0.0</v>
      </c>
      <c r="I3590" s="15" t="str">
        <f>SUBSTITUTE(Sheet1!K3590, "Rp", "")</f>
        <v>0</v>
      </c>
    </row>
    <row r="3591">
      <c r="A3591" s="8" t="s">
        <v>4924</v>
      </c>
      <c r="B3591" s="13" t="str">
        <f>HYPERLINK("https://shopee.co.id/The-Potions-Jojoba-Oil-Serum-20Ml-i.186214521.5486049618", "https://shopee.co.id/The-Potions-Jojoba-Oil-Serum-20Ml-i.186214521.5486049618")</f>
        <v>https://shopee.co.id/The-Potions-Jojoba-Oil-Serum-20Ml-i.186214521.5486049618</v>
      </c>
      <c r="C3591" s="8" t="s">
        <v>2245</v>
      </c>
      <c r="D3591" s="8" t="s">
        <v>2293</v>
      </c>
      <c r="E3591" s="8" t="s">
        <v>12</v>
      </c>
      <c r="F3591" s="8" t="s">
        <v>13</v>
      </c>
      <c r="G3591" s="8" t="s">
        <v>61</v>
      </c>
      <c r="H3591" s="16">
        <v>0.0</v>
      </c>
      <c r="I3591" s="15" t="str">
        <f>SUBSTITUTE(Sheet1!K3591, "Rp", "")</f>
        <v>0</v>
      </c>
    </row>
    <row r="3592">
      <c r="A3592" s="8" t="s">
        <v>4925</v>
      </c>
      <c r="B3592" s="13" t="str">
        <f>HYPERLINK("https://shopee.co.id/THE-POTIONS-Sample-Size-Jojoba-Oil-Serum-1ml-Individual-Pack-Maksimal-Checkout-3-pcs--i.379239733.7183923447", "https://shopee.co.id/THE-POTIONS-Sample-Size-Jojoba-Oil-Serum-1ml-Individual-Pack-Maksimal-Checkout-3-pcs--i.379239733.7183923447")</f>
        <v>https://shopee.co.id/THE-POTIONS-Sample-Size-Jojoba-Oil-Serum-1ml-Individual-Pack-Maksimal-Checkout-3-pcs--i.379239733.7183923447</v>
      </c>
      <c r="C3592" s="8" t="s">
        <v>2245</v>
      </c>
      <c r="D3592" s="8" t="s">
        <v>2246</v>
      </c>
      <c r="E3592" s="8" t="s">
        <v>12</v>
      </c>
      <c r="F3592" s="8" t="s">
        <v>13</v>
      </c>
      <c r="G3592" s="8" t="s">
        <v>130</v>
      </c>
      <c r="H3592" s="16">
        <v>0.0</v>
      </c>
      <c r="I3592" s="15" t="str">
        <f>SUBSTITUTE(Sheet1!K3592, "Rp", "")</f>
        <v>0</v>
      </c>
    </row>
    <row r="3593">
      <c r="A3593" s="8" t="s">
        <v>4926</v>
      </c>
      <c r="B3593" s="13" t="str">
        <f>HYPERLINK("https://shopee.co.id/The-Saem-Snail-Essential-EX-Wrinkle-Solution-Emulsion-150ml-i.58386356.2076865089", "https://shopee.co.id/The-Saem-Snail-Essential-EX-Wrinkle-Solution-Emulsion-150ml-i.58386356.2076865089")</f>
        <v>https://shopee.co.id/The-Saem-Snail-Essential-EX-Wrinkle-Solution-Emulsion-150ml-i.58386356.2076865089</v>
      </c>
      <c r="C3593" s="8" t="s">
        <v>2339</v>
      </c>
      <c r="D3593" s="8" t="s">
        <v>2340</v>
      </c>
      <c r="E3593" s="8" t="s">
        <v>12</v>
      </c>
      <c r="F3593" s="8" t="s">
        <v>13</v>
      </c>
      <c r="G3593" s="8" t="s">
        <v>21</v>
      </c>
      <c r="H3593" s="16">
        <v>0.0</v>
      </c>
      <c r="I3593" s="15" t="str">
        <f>SUBSTITUTE(Sheet1!K3593, "Rp", "")</f>
        <v>0</v>
      </c>
    </row>
    <row r="3594">
      <c r="A3594" s="8" t="s">
        <v>4927</v>
      </c>
      <c r="B3594" s="13" t="str">
        <f>HYPERLINK("https://shopee.co.id/The-Saem-Urban-Eco-Harakeke-Whitening-Essence-55Ml-i.58386356.1426520379", "https://shopee.co.id/The-Saem-Urban-Eco-Harakeke-Whitening-Essence-55Ml-i.58386356.1426520379")</f>
        <v>https://shopee.co.id/The-Saem-Urban-Eco-Harakeke-Whitening-Essence-55Ml-i.58386356.1426520379</v>
      </c>
      <c r="C3594" s="8" t="s">
        <v>2339</v>
      </c>
      <c r="D3594" s="8" t="s">
        <v>2340</v>
      </c>
      <c r="E3594" s="8" t="s">
        <v>12</v>
      </c>
      <c r="F3594" s="8" t="s">
        <v>13</v>
      </c>
      <c r="G3594" s="8" t="s">
        <v>21</v>
      </c>
      <c r="H3594" s="16">
        <v>0.0</v>
      </c>
      <c r="I3594" s="15" t="str">
        <f>SUBSTITUTE(Sheet1!K3594, "Rp", "")</f>
        <v>0</v>
      </c>
    </row>
    <row r="3595">
      <c r="A3595" s="8" t="s">
        <v>3960</v>
      </c>
      <c r="B3595" s="13" t="str">
        <f>HYPERLINK("https://shopee.co.id/Theraskin-Serum-Pore-Minimizer-8Gr-i.175375997.7213118276", "https://shopee.co.id/Theraskin-Serum-Pore-Minimizer-8Gr-i.175375997.7213118276")</f>
        <v>https://shopee.co.id/Theraskin-Serum-Pore-Minimizer-8Gr-i.175375997.7213118276</v>
      </c>
      <c r="C3595" s="8" t="s">
        <v>3961</v>
      </c>
      <c r="D3595" s="8" t="s">
        <v>2123</v>
      </c>
      <c r="E3595" s="8" t="s">
        <v>12</v>
      </c>
      <c r="F3595" s="8" t="s">
        <v>13</v>
      </c>
      <c r="G3595" s="8" t="s">
        <v>36</v>
      </c>
      <c r="H3595" s="16">
        <v>0.0</v>
      </c>
      <c r="I3595" s="15" t="str">
        <f>SUBSTITUTE(Sheet1!K3595, "Rp", "")</f>
        <v>0</v>
      </c>
    </row>
    <row r="3596">
      <c r="A3596" s="8" t="s">
        <v>4928</v>
      </c>
      <c r="B3596" s="13" t="str">
        <f>HYPERLINK("https://shopee.co.id/Tomato-Aloe-Snail-White-Acne-Sleep-Serum-Pagi-Malam-Pemutih-Wajah-Obat-Jerawat-Memudarkan-Flek-i.40233008.2221627824", "https://shopee.co.id/Tomato-Aloe-Snail-White-Acne-Sleep-Serum-Pagi-Malam-Pemutih-Wajah-Obat-Jerawat-Memudarkan-Flek-i.40233008.2221627824")</f>
        <v>https://shopee.co.id/Tomato-Aloe-Snail-White-Acne-Sleep-Serum-Pagi-Malam-Pemutih-Wajah-Obat-Jerawat-Memudarkan-Flek-i.40233008.2221627824</v>
      </c>
      <c r="C3596" s="8" t="s">
        <v>4929</v>
      </c>
      <c r="D3596" s="8" t="s">
        <v>3651</v>
      </c>
      <c r="E3596" s="8" t="s">
        <v>12</v>
      </c>
      <c r="F3596" s="8" t="s">
        <v>13</v>
      </c>
      <c r="G3596" s="8" t="s">
        <v>85</v>
      </c>
      <c r="H3596" s="16">
        <v>0.0</v>
      </c>
      <c r="I3596" s="15" t="str">
        <f>SUBSTITUTE(Sheet1!K3596, "Rp", "")</f>
        <v>0</v>
      </c>
    </row>
    <row r="3597">
      <c r="A3597" s="8" t="s">
        <v>4930</v>
      </c>
      <c r="B3597" s="13" t="str">
        <f>HYPERLINK("https://shopee.co.id/Tomato-Collagen-White-Serum-Pagi-Malam-Pemutih-wajah-dengan-kolagen-wajah-lebih-mulus-flek-pudar-i.40233008.2221571248", "https://shopee.co.id/Tomato-Collagen-White-Serum-Pagi-Malam-Pemutih-wajah-dengan-kolagen-wajah-lebih-mulus-flek-pudar-i.40233008.2221571248")</f>
        <v>https://shopee.co.id/Tomato-Collagen-White-Serum-Pagi-Malam-Pemutih-wajah-dengan-kolagen-wajah-lebih-mulus-flek-pudar-i.40233008.2221571248</v>
      </c>
      <c r="C3597" s="8" t="s">
        <v>3650</v>
      </c>
      <c r="D3597" s="8" t="s">
        <v>3651</v>
      </c>
      <c r="E3597" s="8" t="s">
        <v>12</v>
      </c>
      <c r="F3597" s="8" t="s">
        <v>13</v>
      </c>
      <c r="G3597" s="8" t="s">
        <v>85</v>
      </c>
      <c r="H3597" s="16">
        <v>0.0</v>
      </c>
      <c r="I3597" s="15" t="str">
        <f>SUBSTITUTE(Sheet1!K3597, "Rp", "")</f>
        <v>0</v>
      </c>
    </row>
    <row r="3598">
      <c r="A3598" s="8" t="s">
        <v>4931</v>
      </c>
      <c r="B3598" s="13" t="str">
        <f>HYPERLINK("https://shopee.co.id/Trilogy-Age-Proof-Nutrient-Plus-Firming-Serum-30ml-i.825870.1997428759", "https://shopee.co.id/Trilogy-Age-Proof-Nutrient-Plus-Firming-Serum-30ml-i.825870.1997428759")</f>
        <v>https://shopee.co.id/Trilogy-Age-Proof-Nutrient-Plus-Firming-Serum-30ml-i.825870.1997428759</v>
      </c>
      <c r="C3598" s="8" t="s">
        <v>906</v>
      </c>
      <c r="D3598" s="8" t="s">
        <v>1184</v>
      </c>
      <c r="E3598" s="8" t="s">
        <v>12</v>
      </c>
      <c r="F3598" s="8" t="s">
        <v>13</v>
      </c>
      <c r="G3598" s="8" t="s">
        <v>21</v>
      </c>
      <c r="H3598" s="16">
        <v>0.0</v>
      </c>
      <c r="I3598" s="15" t="str">
        <f>SUBSTITUTE(Sheet1!K3598, "Rp", "")</f>
        <v>0</v>
      </c>
    </row>
    <row r="3599">
      <c r="A3599" s="8" t="s">
        <v>4932</v>
      </c>
      <c r="B3599" s="13" t="str">
        <f>HYPERLINK("https://shopee.co.id/Trilogy-Rosapane-Radiance-Serum-30ml-Tester-For-Sale-i.53497038.6580091249", "https://shopee.co.id/Trilogy-Rosapane-Radiance-Serum-30ml-Tester-For-Sale-i.53497038.6580091249")</f>
        <v>https://shopee.co.id/Trilogy-Rosapane-Radiance-Serum-30ml-Tester-For-Sale-i.53497038.6580091249</v>
      </c>
      <c r="C3599" s="8" t="s">
        <v>906</v>
      </c>
      <c r="D3599" s="8" t="s">
        <v>907</v>
      </c>
      <c r="E3599" s="8" t="s">
        <v>12</v>
      </c>
      <c r="F3599" s="8" t="s">
        <v>13</v>
      </c>
      <c r="G3599" s="8" t="s">
        <v>61</v>
      </c>
      <c r="H3599" s="16">
        <v>0.0</v>
      </c>
      <c r="I3599" s="15" t="str">
        <f>SUBSTITUTE(Sheet1!K3599, "Rp", "")</f>
        <v>0</v>
      </c>
    </row>
    <row r="3600">
      <c r="A3600" s="8" t="s">
        <v>4933</v>
      </c>
      <c r="B3600" s="13" t="str">
        <f>HYPERLINK("https://shopee.co.id/Troiareuke-Acsen-Selemix-Serum-50Ml-i.267449546.5636155765", "https://shopee.co.id/Troiareuke-Acsen-Selemix-Serum-50Ml-i.267449546.5636155765")</f>
        <v>https://shopee.co.id/Troiareuke-Acsen-Selemix-Serum-50Ml-i.267449546.5636155765</v>
      </c>
      <c r="C3600" s="8" t="s">
        <v>3112</v>
      </c>
      <c r="D3600" s="8" t="s">
        <v>3113</v>
      </c>
      <c r="E3600" s="8" t="s">
        <v>12</v>
      </c>
      <c r="F3600" s="8" t="s">
        <v>13</v>
      </c>
      <c r="G3600" s="8" t="s">
        <v>469</v>
      </c>
      <c r="H3600" s="16">
        <v>0.0</v>
      </c>
      <c r="I3600" s="15" t="str">
        <f>SUBSTITUTE(Sheet1!K3600, "Rp", "")</f>
        <v>0</v>
      </c>
    </row>
    <row r="3601">
      <c r="A3601" s="8" t="s">
        <v>4934</v>
      </c>
      <c r="B3601" s="13" t="str">
        <f>HYPERLINK("https://shopee.co.id/Troiareuke-Acsen-Uv-Protector-Essence-50Ml-i.267449546.7035655304", "https://shopee.co.id/Troiareuke-Acsen-Uv-Protector-Essence-50Ml-i.267449546.7035655304")</f>
        <v>https://shopee.co.id/Troiareuke-Acsen-Uv-Protector-Essence-50Ml-i.267449546.7035655304</v>
      </c>
      <c r="C3601" s="8" t="s">
        <v>3112</v>
      </c>
      <c r="D3601" s="8" t="s">
        <v>3113</v>
      </c>
      <c r="E3601" s="8" t="s">
        <v>12</v>
      </c>
      <c r="F3601" s="8" t="s">
        <v>13</v>
      </c>
      <c r="G3601" s="8" t="s">
        <v>469</v>
      </c>
      <c r="H3601" s="16">
        <v>0.0</v>
      </c>
      <c r="I3601" s="15" t="str">
        <f>SUBSTITUTE(Sheet1!K3601, "Rp", "")</f>
        <v>0</v>
      </c>
    </row>
    <row r="3602">
      <c r="A3602" s="8" t="s">
        <v>4935</v>
      </c>
      <c r="B3602" s="13" t="str">
        <f>HYPERLINK("https://shopee.co.id/Troiareuke-Formula-Ampoule-i.267449546.5335623469", "https://shopee.co.id/Troiareuke-Formula-Ampoule-i.267449546.5335623469")</f>
        <v>https://shopee.co.id/Troiareuke-Formula-Ampoule-i.267449546.5335623469</v>
      </c>
      <c r="C3602" s="8" t="s">
        <v>3112</v>
      </c>
      <c r="D3602" s="8" t="s">
        <v>3113</v>
      </c>
      <c r="E3602" s="8" t="s">
        <v>12</v>
      </c>
      <c r="F3602" s="8" t="s">
        <v>13</v>
      </c>
      <c r="G3602" s="8" t="s">
        <v>469</v>
      </c>
      <c r="H3602" s="16">
        <v>0.0</v>
      </c>
      <c r="I3602" s="15" t="str">
        <f>SUBSTITUTE(Sheet1!K3602, "Rp", "")</f>
        <v>0</v>
      </c>
    </row>
    <row r="3603">
      <c r="A3603" s="8" t="s">
        <v>4936</v>
      </c>
      <c r="B3603" s="13" t="str">
        <f>HYPERLINK("https://shopee.co.id/True-to-Skin-Bakuchiol-Anti-Aging-Serum-20ml-i.825870.6486330434", "https://shopee.co.id/True-to-Skin-Bakuchiol-Anti-Aging-Serum-20ml-i.825870.6486330434")</f>
        <v>https://shopee.co.id/True-to-Skin-Bakuchiol-Anti-Aging-Serum-20ml-i.825870.6486330434</v>
      </c>
      <c r="C3603" s="8" t="s">
        <v>666</v>
      </c>
      <c r="D3603" s="8" t="s">
        <v>1184</v>
      </c>
      <c r="E3603" s="8" t="s">
        <v>12</v>
      </c>
      <c r="F3603" s="8" t="s">
        <v>13</v>
      </c>
      <c r="G3603" s="8" t="s">
        <v>21</v>
      </c>
      <c r="H3603" s="16">
        <v>0.0</v>
      </c>
      <c r="I3603" s="15" t="str">
        <f>SUBSTITUTE(Sheet1!K3603, "Rp", "")</f>
        <v>0</v>
      </c>
    </row>
    <row r="3604">
      <c r="A3604" s="8" t="s">
        <v>4937</v>
      </c>
      <c r="B3604" s="13" t="str">
        <f>HYPERLINK("https://shopee.co.id/True-to-Skin-Hyaluronic-Acid-Hydrating-Serum-20ml-i.825870.4786331964", "https://shopee.co.id/True-to-Skin-Hyaluronic-Acid-Hydrating-Serum-20ml-i.825870.4786331964")</f>
        <v>https://shopee.co.id/True-to-Skin-Hyaluronic-Acid-Hydrating-Serum-20ml-i.825870.4786331964</v>
      </c>
      <c r="C3604" s="8" t="s">
        <v>666</v>
      </c>
      <c r="D3604" s="8" t="s">
        <v>1184</v>
      </c>
      <c r="E3604" s="8" t="s">
        <v>12</v>
      </c>
      <c r="F3604" s="8" t="s">
        <v>13</v>
      </c>
      <c r="G3604" s="8" t="s">
        <v>21</v>
      </c>
      <c r="H3604" s="16">
        <v>0.0</v>
      </c>
      <c r="I3604" s="15" t="str">
        <f>SUBSTITUTE(Sheet1!K3604, "Rp", "")</f>
        <v>0</v>
      </c>
    </row>
    <row r="3605">
      <c r="A3605" s="8" t="s">
        <v>4938</v>
      </c>
      <c r="B3605" s="13" t="str">
        <f>HYPERLINK("https://shopee.co.id/True-to-Skin-Niacinamide-Brightening-Serum-20ml-i.825870.9044408690", "https://shopee.co.id/True-to-Skin-Niacinamide-Brightening-Serum-20ml-i.825870.9044408690")</f>
        <v>https://shopee.co.id/True-to-Skin-Niacinamide-Brightening-Serum-20ml-i.825870.9044408690</v>
      </c>
      <c r="C3605" s="8" t="s">
        <v>666</v>
      </c>
      <c r="D3605" s="8" t="s">
        <v>1184</v>
      </c>
      <c r="E3605" s="8" t="s">
        <v>12</v>
      </c>
      <c r="F3605" s="8" t="s">
        <v>13</v>
      </c>
      <c r="G3605" s="8" t="s">
        <v>21</v>
      </c>
      <c r="H3605" s="16">
        <v>0.0</v>
      </c>
      <c r="I3605" s="15" t="str">
        <f>SUBSTITUTE(Sheet1!K3605, "Rp", "")</f>
        <v>0</v>
      </c>
    </row>
    <row r="3606">
      <c r="A3606" s="8" t="s">
        <v>4939</v>
      </c>
      <c r="B3606" s="13" t="str">
        <f>HYPERLINK("https://shopee.co.id/TRUEVE-Niacinamide-10-Ceramide-Brightening-Serum-30ml-i.270965687.9622969222", "https://shopee.co.id/TRUEVE-Niacinamide-10-Ceramide-Brightening-Serum-30ml-i.270965687.9622969222")</f>
        <v>https://shopee.co.id/TRUEVE-Niacinamide-10-Ceramide-Brightening-Serum-30ml-i.270965687.9622969222</v>
      </c>
      <c r="C3606" s="8" t="s">
        <v>34</v>
      </c>
      <c r="D3606" s="8" t="s">
        <v>379</v>
      </c>
      <c r="E3606" s="8" t="s">
        <v>12</v>
      </c>
      <c r="F3606" s="8" t="s">
        <v>13</v>
      </c>
      <c r="G3606" s="8" t="s">
        <v>380</v>
      </c>
      <c r="H3606" s="16">
        <v>0.0</v>
      </c>
      <c r="I3606" s="15" t="str">
        <f>SUBSTITUTE(Sheet1!K3606, "Rp", "")</f>
        <v>0</v>
      </c>
    </row>
    <row r="3607">
      <c r="A3607" s="8" t="s">
        <v>4940</v>
      </c>
      <c r="B3607" s="13" t="str">
        <f>HYPERLINK("https://shopee.co.id/Tuesbelle-ELSHE-SKIN-Radiant-Supple-Serum-20ml-Radiant-Skin-Serum-20ml-Active-Rejuvinating-Night-Serum-Retinol-20ml-Smoothing-Serum-For-Acne-Skin-New-20ml-i.36872574.1955425065", "https://shopee.co.id/Tuesbelle-ELSHE-SKIN-Radiant-Supple-Serum-20ml-Radiant-Skin-Serum-20ml-Active-Rejuvinating-Night-Serum-Retinol-20ml-Smoothing-Serum-For-Acne-Skin-New-20ml-i.36872574.1955425065")</f>
        <v>https://shopee.co.id/Tuesbelle-ELSHE-SKIN-Radiant-Supple-Serum-20ml-Radiant-Skin-Serum-20ml-Active-Rejuvinating-Night-Serum-Retinol-20ml-Smoothing-Serum-For-Acne-Skin-New-20ml-i.36872574.1955425065</v>
      </c>
      <c r="C3607" s="8" t="s">
        <v>135</v>
      </c>
      <c r="D3607" s="8" t="s">
        <v>969</v>
      </c>
      <c r="E3607" s="8" t="s">
        <v>12</v>
      </c>
      <c r="F3607" s="8" t="s">
        <v>13</v>
      </c>
      <c r="G3607" s="8" t="s">
        <v>115</v>
      </c>
      <c r="H3607" s="16">
        <v>0.0</v>
      </c>
      <c r="I3607" s="15" t="str">
        <f>SUBSTITUTE(Sheet1!K3607, "Rp", "")</f>
        <v>0</v>
      </c>
    </row>
    <row r="3608">
      <c r="A3608" s="8" t="s">
        <v>4941</v>
      </c>
      <c r="B3608" s="13" t="str">
        <f>HYPERLINK("https://shopee.co.id/Tuesbelle-KEEP-COOL-Soothe-Bamboo-Serum-50ml-i.36872574.6771119257", "https://shopee.co.id/Tuesbelle-KEEP-COOL-Soothe-Bamboo-Serum-50ml-i.36872574.6771119257")</f>
        <v>https://shopee.co.id/Tuesbelle-KEEP-COOL-Soothe-Bamboo-Serum-50ml-i.36872574.6771119257</v>
      </c>
      <c r="C3608" s="8" t="s">
        <v>1202</v>
      </c>
      <c r="D3608" s="8" t="s">
        <v>969</v>
      </c>
      <c r="E3608" s="8" t="s">
        <v>12</v>
      </c>
      <c r="F3608" s="8" t="s">
        <v>13</v>
      </c>
      <c r="G3608" s="8" t="s">
        <v>115</v>
      </c>
      <c r="H3608" s="16">
        <v>0.0</v>
      </c>
      <c r="I3608" s="15" t="str">
        <f>SUBSTITUTE(Sheet1!K3608, "Rp", "")</f>
        <v>0</v>
      </c>
    </row>
    <row r="3609">
      <c r="A3609" s="8" t="s">
        <v>4942</v>
      </c>
      <c r="B3609" s="13" t="str">
        <f>HYPERLINK("https://shopee.co.id/Tuesbelle-NPURE-Cica-Essence-20ml-i.36872574.7691298931", "https://shopee.co.id/Tuesbelle-NPURE-Cica-Essence-20ml-i.36872574.7691298931")</f>
        <v>https://shopee.co.id/Tuesbelle-NPURE-Cica-Essence-20ml-i.36872574.7691298931</v>
      </c>
      <c r="C3609" s="8" t="s">
        <v>266</v>
      </c>
      <c r="D3609" s="8" t="s">
        <v>969</v>
      </c>
      <c r="E3609" s="8" t="s">
        <v>12</v>
      </c>
      <c r="F3609" s="8" t="s">
        <v>13</v>
      </c>
      <c r="G3609" s="8" t="s">
        <v>115</v>
      </c>
      <c r="H3609" s="16">
        <v>0.0</v>
      </c>
      <c r="I3609" s="15" t="str">
        <f>SUBSTITUTE(Sheet1!K3609, "Rp", "")</f>
        <v>0</v>
      </c>
    </row>
    <row r="3610">
      <c r="A3610" s="8" t="s">
        <v>4943</v>
      </c>
      <c r="B3610" s="13" t="str">
        <f>HYPERLINK("https://shopee.co.id/Tuesbelle-PURITO-Centella-Green-Level-Buffet-Serum-60ml-i.36872574.7652906710", "https://shopee.co.id/Tuesbelle-PURITO-Centella-Green-Level-Buffet-Serum-60ml-i.36872574.7652906710")</f>
        <v>https://shopee.co.id/Tuesbelle-PURITO-Centella-Green-Level-Buffet-Serum-60ml-i.36872574.7652906710</v>
      </c>
      <c r="C3610" s="8" t="s">
        <v>1993</v>
      </c>
      <c r="D3610" s="8" t="s">
        <v>969</v>
      </c>
      <c r="E3610" s="8" t="s">
        <v>12</v>
      </c>
      <c r="F3610" s="8" t="s">
        <v>13</v>
      </c>
      <c r="G3610" s="8" t="s">
        <v>115</v>
      </c>
      <c r="H3610" s="16">
        <v>0.0</v>
      </c>
      <c r="I3610" s="15" t="str">
        <f>SUBSTITUTE(Sheet1!K3610, "Rp", "")</f>
        <v>0</v>
      </c>
    </row>
    <row r="3611">
      <c r="A3611" s="8" t="s">
        <v>4944</v>
      </c>
      <c r="B3611" s="13" t="str">
        <f>HYPERLINK("https://shopee.co.id/Uriage-Thermale-Water-Serum-i.79492424.4808592915", "https://shopee.co.id/Uriage-Thermale-Water-Serum-i.79492424.4808592915")</f>
        <v>https://shopee.co.id/Uriage-Thermale-Water-Serum-i.79492424.4808592915</v>
      </c>
      <c r="C3611" s="8" t="s">
        <v>4807</v>
      </c>
      <c r="D3611" s="8" t="s">
        <v>3456</v>
      </c>
      <c r="E3611" s="8" t="s">
        <v>12</v>
      </c>
      <c r="F3611" s="8" t="s">
        <v>13</v>
      </c>
      <c r="G3611" s="8" t="s">
        <v>469</v>
      </c>
      <c r="H3611" s="16">
        <v>0.0</v>
      </c>
      <c r="I3611" s="15" t="str">
        <f>SUBSTITUTE(Sheet1!K3611, "Rp", "")</f>
        <v>0</v>
      </c>
    </row>
    <row r="3612">
      <c r="A3612" s="8" t="s">
        <v>4945</v>
      </c>
      <c r="B3612" s="13" t="str">
        <f>HYPERLINK("https://shopee.co.id/Utama-Spice-Balancing-Face-Serum-30ml-i.53018304.2939121596", "https://shopee.co.id/Utama-Spice-Balancing-Face-Serum-30ml-i.53018304.2939121596")</f>
        <v>https://shopee.co.id/Utama-Spice-Balancing-Face-Serum-30ml-i.53018304.2939121596</v>
      </c>
      <c r="C3612" s="8" t="s">
        <v>2926</v>
      </c>
      <c r="D3612" s="8" t="s">
        <v>2927</v>
      </c>
      <c r="E3612" s="8" t="s">
        <v>12</v>
      </c>
      <c r="F3612" s="8" t="s">
        <v>13</v>
      </c>
      <c r="G3612" s="8" t="s">
        <v>2928</v>
      </c>
      <c r="H3612" s="16">
        <v>0.0</v>
      </c>
      <c r="I3612" s="15" t="str">
        <f>SUBSTITUTE(Sheet1!K3612, "Rp", "")</f>
        <v>0</v>
      </c>
    </row>
    <row r="3613">
      <c r="A3613" s="8" t="s">
        <v>4946</v>
      </c>
      <c r="B3613" s="13" t="str">
        <f>HYPERLINK("https://shopee.co.id/Utama-Spice-Immortelle-Face-Serum-30ml-i.53018304.5944888395", "https://shopee.co.id/Utama-Spice-Immortelle-Face-Serum-30ml-i.53018304.5944888395")</f>
        <v>https://shopee.co.id/Utama-Spice-Immortelle-Face-Serum-30ml-i.53018304.5944888395</v>
      </c>
      <c r="C3613" s="8" t="s">
        <v>2926</v>
      </c>
      <c r="D3613" s="8" t="s">
        <v>2927</v>
      </c>
      <c r="E3613" s="8" t="s">
        <v>12</v>
      </c>
      <c r="F3613" s="8" t="s">
        <v>13</v>
      </c>
      <c r="G3613" s="8" t="s">
        <v>2928</v>
      </c>
      <c r="H3613" s="16">
        <v>0.0</v>
      </c>
      <c r="I3613" s="15" t="str">
        <f>SUBSTITUTE(Sheet1!K3613, "Rp", "")</f>
        <v>0</v>
      </c>
    </row>
    <row r="3614">
      <c r="A3614" s="8" t="s">
        <v>4947</v>
      </c>
      <c r="B3614" s="13" t="str">
        <f>HYPERLINK("https://shopee.co.id/Utama-Spice-Oily-Face-Serum-30ml-i.53018304.5644887184", "https://shopee.co.id/Utama-Spice-Oily-Face-Serum-30ml-i.53018304.5644887184")</f>
        <v>https://shopee.co.id/Utama-Spice-Oily-Face-Serum-30ml-i.53018304.5644887184</v>
      </c>
      <c r="C3614" s="8" t="s">
        <v>2926</v>
      </c>
      <c r="D3614" s="8" t="s">
        <v>2927</v>
      </c>
      <c r="E3614" s="8" t="s">
        <v>12</v>
      </c>
      <c r="F3614" s="8" t="s">
        <v>13</v>
      </c>
      <c r="G3614" s="8" t="s">
        <v>2928</v>
      </c>
      <c r="H3614" s="16">
        <v>0.0</v>
      </c>
      <c r="I3614" s="15" t="str">
        <f>SUBSTITUTE(Sheet1!K3614, "Rp", "")</f>
        <v>0</v>
      </c>
    </row>
    <row r="3615">
      <c r="A3615" s="8" t="s">
        <v>4948</v>
      </c>
      <c r="B3615" s="13" t="str">
        <f>HYPERLINK("https://shopee.co.id/Utama-Spice-Rosehip-Oil-30-ml-i.53018304.1652615636", "https://shopee.co.id/Utama-Spice-Rosehip-Oil-30-ml-i.53018304.1652615636")</f>
        <v>https://shopee.co.id/Utama-Spice-Rosehip-Oil-30-ml-i.53018304.1652615636</v>
      </c>
      <c r="C3615" s="8" t="s">
        <v>2926</v>
      </c>
      <c r="D3615" s="8" t="s">
        <v>2927</v>
      </c>
      <c r="E3615" s="8" t="s">
        <v>12</v>
      </c>
      <c r="F3615" s="8" t="s">
        <v>13</v>
      </c>
      <c r="G3615" s="8" t="s">
        <v>2928</v>
      </c>
      <c r="H3615" s="16">
        <v>0.0</v>
      </c>
      <c r="I3615" s="15" t="str">
        <f>SUBSTITUTE(Sheet1!K3615, "Rp", "")</f>
        <v>0</v>
      </c>
    </row>
    <row r="3616">
      <c r="A3616" s="8" t="s">
        <v>4949</v>
      </c>
      <c r="B3616" s="13" t="str">
        <f>HYPERLINK("https://shopee.co.id/Utama-Spice-Sensitive-Face-Serum-30ml-i.53018304.6244904747", "https://shopee.co.id/Utama-Spice-Sensitive-Face-Serum-30ml-i.53018304.6244904747")</f>
        <v>https://shopee.co.id/Utama-Spice-Sensitive-Face-Serum-30ml-i.53018304.6244904747</v>
      </c>
      <c r="C3616" s="8" t="s">
        <v>2926</v>
      </c>
      <c r="D3616" s="8" t="s">
        <v>2927</v>
      </c>
      <c r="E3616" s="8" t="s">
        <v>12</v>
      </c>
      <c r="F3616" s="8" t="s">
        <v>13</v>
      </c>
      <c r="G3616" s="8" t="s">
        <v>2928</v>
      </c>
      <c r="H3616" s="16">
        <v>0.0</v>
      </c>
      <c r="I3616" s="15" t="str">
        <f>SUBSTITUTE(Sheet1!K3616, "Rp", "")</f>
        <v>0</v>
      </c>
    </row>
    <row r="3617">
      <c r="A3617" s="8" t="s">
        <v>4950</v>
      </c>
      <c r="B3617" s="13" t="str">
        <f>HYPERLINK("https://shopee.co.id/V-Natural-Whitening-Serum-Temulawak-i.185943783.7467566013", "https://shopee.co.id/V-Natural-Whitening-Serum-Temulawak-i.185943783.7467566013")</f>
        <v>https://shopee.co.id/V-Natural-Whitening-Serum-Temulawak-i.185943783.7467566013</v>
      </c>
      <c r="C3617" s="8" t="s">
        <v>4951</v>
      </c>
      <c r="D3617" s="8" t="s">
        <v>3429</v>
      </c>
      <c r="E3617" s="8" t="s">
        <v>12</v>
      </c>
      <c r="F3617" s="8" t="s">
        <v>13</v>
      </c>
      <c r="G3617" s="8" t="s">
        <v>36</v>
      </c>
      <c r="H3617" s="16">
        <v>0.0</v>
      </c>
      <c r="I3617" s="15" t="str">
        <f>SUBSTITUTE(Sheet1!K3617, "Rp", "")</f>
        <v>0</v>
      </c>
    </row>
    <row r="3618">
      <c r="A3618" s="8" t="s">
        <v>4952</v>
      </c>
      <c r="B3618" s="13" t="str">
        <f>HYPERLINK("https://shopee.co.id/V-Natural-Whitening-Serum-Temulawak-Serum-Wajah-Pemutih-Wajah-i.114789399.6212024157", "https://shopee.co.id/V-Natural-Whitening-Serum-Temulawak-Serum-Wajah-Pemutih-Wajah-i.114789399.6212024157")</f>
        <v>https://shopee.co.id/V-Natural-Whitening-Serum-Temulawak-Serum-Wajah-Pemutih-Wajah-i.114789399.6212024157</v>
      </c>
      <c r="C3618" s="8" t="s">
        <v>2499</v>
      </c>
      <c r="D3618" s="8" t="s">
        <v>2531</v>
      </c>
      <c r="E3618" s="8" t="s">
        <v>12</v>
      </c>
      <c r="F3618" s="8" t="s">
        <v>13</v>
      </c>
      <c r="G3618" s="8" t="s">
        <v>36</v>
      </c>
      <c r="H3618" s="16">
        <v>0.0</v>
      </c>
      <c r="I3618" s="15" t="str">
        <f>SUBSTITUTE(Sheet1!K3618, "Rp", "")</f>
        <v>0</v>
      </c>
    </row>
    <row r="3619">
      <c r="A3619" s="8" t="s">
        <v>4953</v>
      </c>
      <c r="B3619" s="13" t="str">
        <f>HYPERLINK("https://shopee.co.id/V-Natural-Whitening-Serum-Temulawak-20Ml-Serum-Pemutih-Serum-Temulawak-Whitening-Serum-i.175375997.4808970587", "https://shopee.co.id/V-Natural-Whitening-Serum-Temulawak-20Ml-Serum-Pemutih-Serum-Temulawak-Whitening-Serum-i.175375997.4808970587")</f>
        <v>https://shopee.co.id/V-Natural-Whitening-Serum-Temulawak-20Ml-Serum-Pemutih-Serum-Temulawak-Whitening-Serum-i.175375997.4808970587</v>
      </c>
      <c r="C3619" s="8" t="s">
        <v>2499</v>
      </c>
      <c r="D3619" s="8" t="s">
        <v>2123</v>
      </c>
      <c r="E3619" s="8" t="s">
        <v>12</v>
      </c>
      <c r="F3619" s="8" t="s">
        <v>13</v>
      </c>
      <c r="G3619" s="8" t="s">
        <v>36</v>
      </c>
      <c r="H3619" s="16">
        <v>0.0</v>
      </c>
      <c r="I3619" s="15" t="str">
        <f>SUBSTITUTE(Sheet1!K3619, "Rp", "")</f>
        <v>0</v>
      </c>
    </row>
    <row r="3620">
      <c r="A3620" s="8" t="s">
        <v>4954</v>
      </c>
      <c r="B3620" s="13" t="str">
        <f>HYPERLINK("https://shopee.co.id/Valenno-Masker-Papaya-80gr-i.25224721.304732266", "https://shopee.co.id/Valenno-Masker-Papaya-80gr-i.25224721.304732266")</f>
        <v>https://shopee.co.id/Valenno-Masker-Papaya-80gr-i.25224721.304732266</v>
      </c>
      <c r="C3620" s="8" t="s">
        <v>4955</v>
      </c>
      <c r="D3620" s="8" t="s">
        <v>4956</v>
      </c>
      <c r="E3620" s="8" t="s">
        <v>12</v>
      </c>
      <c r="F3620" s="8" t="s">
        <v>13</v>
      </c>
      <c r="G3620" s="8" t="s">
        <v>61</v>
      </c>
      <c r="H3620" s="16">
        <v>0.0</v>
      </c>
      <c r="I3620" s="15" t="str">
        <f>SUBSTITUTE(Sheet1!K3620, "Rp", "")</f>
        <v>0</v>
      </c>
    </row>
    <row r="3621">
      <c r="A3621" s="8" t="s">
        <v>4957</v>
      </c>
      <c r="B3621" s="13" t="str">
        <f>HYPERLINK("https://shopee.co.id/Valenno-Serum-Anti-Aging-Brightening-20-ML-i.25224721.3006194405", "https://shopee.co.id/Valenno-Serum-Anti-Aging-Brightening-20-ML-i.25224721.3006194405")</f>
        <v>https://shopee.co.id/Valenno-Serum-Anti-Aging-Brightening-20-ML-i.25224721.3006194405</v>
      </c>
      <c r="C3621" s="8" t="s">
        <v>4958</v>
      </c>
      <c r="D3621" s="8" t="s">
        <v>4956</v>
      </c>
      <c r="E3621" s="8" t="s">
        <v>12</v>
      </c>
      <c r="F3621" s="8" t="s">
        <v>13</v>
      </c>
      <c r="G3621" s="8" t="s">
        <v>61</v>
      </c>
      <c r="H3621" s="16">
        <v>0.0</v>
      </c>
      <c r="I3621" s="15" t="str">
        <f>SUBSTITUTE(Sheet1!K3621, "Rp", "")</f>
        <v>0</v>
      </c>
    </row>
    <row r="3622">
      <c r="A3622" s="8" t="s">
        <v>4959</v>
      </c>
      <c r="B3622" s="13" t="str">
        <f>HYPERLINK("https://shopee.co.id/VIENNA-BEAUTY-BRIGHTENING-TREATMENT-WATER-30ML-SACHET-i.8463767.3218732527", "https://shopee.co.id/VIENNA-BEAUTY-BRIGHTENING-TREATMENT-WATER-30ML-SACHET-i.8463767.3218732527")</f>
        <v>https://shopee.co.id/VIENNA-BEAUTY-BRIGHTENING-TREATMENT-WATER-30ML-SACHET-i.8463767.3218732527</v>
      </c>
      <c r="C3622" s="8" t="s">
        <v>3453</v>
      </c>
      <c r="D3622" s="8" t="s">
        <v>3454</v>
      </c>
      <c r="E3622" s="8" t="s">
        <v>12</v>
      </c>
      <c r="F3622" s="8" t="s">
        <v>13</v>
      </c>
      <c r="G3622" s="8" t="s">
        <v>36</v>
      </c>
      <c r="H3622" s="16">
        <v>0.0</v>
      </c>
      <c r="I3622" s="15" t="str">
        <f>SUBSTITUTE(Sheet1!K3622, "Rp", "")</f>
        <v>0</v>
      </c>
    </row>
    <row r="3623">
      <c r="A3623" s="8" t="s">
        <v>4960</v>
      </c>
      <c r="B3623" s="13" t="str">
        <f>HYPERLINK("https://shopee.co.id/VIENNA-BEAUTY-FACE-SERUM-ACNE-ELIXIR-7ML-SACHET-i.8463767.4133489558", "https://shopee.co.id/VIENNA-BEAUTY-FACE-SERUM-ACNE-ELIXIR-7ML-SACHET-i.8463767.4133489558")</f>
        <v>https://shopee.co.id/VIENNA-BEAUTY-FACE-SERUM-ACNE-ELIXIR-7ML-SACHET-i.8463767.4133489558</v>
      </c>
      <c r="C3623" s="8" t="s">
        <v>3453</v>
      </c>
      <c r="D3623" s="8" t="s">
        <v>3454</v>
      </c>
      <c r="E3623" s="8" t="s">
        <v>12</v>
      </c>
      <c r="F3623" s="8" t="s">
        <v>13</v>
      </c>
      <c r="G3623" s="8" t="s">
        <v>36</v>
      </c>
      <c r="H3623" s="16">
        <v>0.0</v>
      </c>
      <c r="I3623" s="15" t="str">
        <f>SUBSTITUTE(Sheet1!K3623, "Rp", "")</f>
        <v>0</v>
      </c>
    </row>
    <row r="3624">
      <c r="A3624" s="8" t="s">
        <v>4961</v>
      </c>
      <c r="B3624" s="13" t="str">
        <f>HYPERLINK("https://shopee.co.id/VIENNA-BEAUTY-FACE-SERUM-BRIGHTENING-7ML-SACHET-i.8463767.3218775795", "https://shopee.co.id/VIENNA-BEAUTY-FACE-SERUM-BRIGHTENING-7ML-SACHET-i.8463767.3218775795")</f>
        <v>https://shopee.co.id/VIENNA-BEAUTY-FACE-SERUM-BRIGHTENING-7ML-SACHET-i.8463767.3218775795</v>
      </c>
      <c r="C3624" s="8" t="s">
        <v>3453</v>
      </c>
      <c r="D3624" s="8" t="s">
        <v>3454</v>
      </c>
      <c r="E3624" s="8" t="s">
        <v>12</v>
      </c>
      <c r="F3624" s="8" t="s">
        <v>13</v>
      </c>
      <c r="G3624" s="8" t="s">
        <v>36</v>
      </c>
      <c r="H3624" s="16">
        <v>0.0</v>
      </c>
      <c r="I3624" s="15" t="str">
        <f>SUBSTITUTE(Sheet1!K3624, "Rp", "")</f>
        <v>0</v>
      </c>
    </row>
    <row r="3625">
      <c r="A3625" s="8" t="s">
        <v>4962</v>
      </c>
      <c r="B3625" s="13" t="str">
        <f>HYPERLINK("https://shopee.co.id/VIENNA-BEAUTY-FACE-SERUM-COLLAGEN-7ML-SACHET-i.8463767.7633492318", "https://shopee.co.id/VIENNA-BEAUTY-FACE-SERUM-COLLAGEN-7ML-SACHET-i.8463767.7633492318")</f>
        <v>https://shopee.co.id/VIENNA-BEAUTY-FACE-SERUM-COLLAGEN-7ML-SACHET-i.8463767.7633492318</v>
      </c>
      <c r="C3625" s="8" t="s">
        <v>3453</v>
      </c>
      <c r="D3625" s="8" t="s">
        <v>3454</v>
      </c>
      <c r="E3625" s="8" t="s">
        <v>12</v>
      </c>
      <c r="F3625" s="8" t="s">
        <v>13</v>
      </c>
      <c r="G3625" s="8" t="s">
        <v>36</v>
      </c>
      <c r="H3625" s="16">
        <v>0.0</v>
      </c>
      <c r="I3625" s="15" t="str">
        <f>SUBSTITUTE(Sheet1!K3625, "Rp", "")</f>
        <v>0</v>
      </c>
    </row>
    <row r="3626">
      <c r="A3626" s="8" t="s">
        <v>4963</v>
      </c>
      <c r="B3626" s="13" t="str">
        <f>HYPERLINK("https://shopee.co.id/VIENNA-BEAUTY-FACE-SERUM-COLLAGEN-15ML-BOTTLE-i.8463767.5533499098", "https://shopee.co.id/VIENNA-BEAUTY-FACE-SERUM-COLLAGEN-15ML-BOTTLE-i.8463767.5533499098")</f>
        <v>https://shopee.co.id/VIENNA-BEAUTY-FACE-SERUM-COLLAGEN-15ML-BOTTLE-i.8463767.5533499098</v>
      </c>
      <c r="C3626" s="8" t="s">
        <v>3453</v>
      </c>
      <c r="D3626" s="8" t="s">
        <v>3454</v>
      </c>
      <c r="E3626" s="8" t="s">
        <v>12</v>
      </c>
      <c r="F3626" s="8" t="s">
        <v>13</v>
      </c>
      <c r="G3626" s="8" t="s">
        <v>36</v>
      </c>
      <c r="H3626" s="16">
        <v>0.0</v>
      </c>
      <c r="I3626" s="15" t="str">
        <f>SUBSTITUTE(Sheet1!K3626, "Rp", "")</f>
        <v>0</v>
      </c>
    </row>
    <row r="3627">
      <c r="A3627" s="8" t="s">
        <v>4964</v>
      </c>
      <c r="B3627" s="13" t="str">
        <f>HYPERLINK("https://shopee.co.id/VIENNA-BEAUTY-FACE-SERUM-HYALURONIC-ACID-7ML-SACHET-i.8463767.4033489790", "https://shopee.co.id/VIENNA-BEAUTY-FACE-SERUM-HYALURONIC-ACID-7ML-SACHET-i.8463767.4033489790")</f>
        <v>https://shopee.co.id/VIENNA-BEAUTY-FACE-SERUM-HYALURONIC-ACID-7ML-SACHET-i.8463767.4033489790</v>
      </c>
      <c r="C3627" s="8" t="s">
        <v>3453</v>
      </c>
      <c r="D3627" s="8" t="s">
        <v>3454</v>
      </c>
      <c r="E3627" s="8" t="s">
        <v>12</v>
      </c>
      <c r="F3627" s="8" t="s">
        <v>13</v>
      </c>
      <c r="G3627" s="8" t="s">
        <v>36</v>
      </c>
      <c r="H3627" s="16">
        <v>0.0</v>
      </c>
      <c r="I3627" s="15" t="str">
        <f>SUBSTITUTE(Sheet1!K3627, "Rp", "")</f>
        <v>0</v>
      </c>
    </row>
    <row r="3628">
      <c r="A3628" s="8" t="s">
        <v>4965</v>
      </c>
      <c r="B3628" s="13" t="str">
        <f>HYPERLINK("https://shopee.co.id/VIENNA-BEAUTY-FACE-SERUM-NIACINAMIDE-VIT-B3-7ML-SACHET-i.8463767.5533491202", "https://shopee.co.id/VIENNA-BEAUTY-FACE-SERUM-NIACINAMIDE-VIT-B3-7ML-SACHET-i.8463767.5533491202")</f>
        <v>https://shopee.co.id/VIENNA-BEAUTY-FACE-SERUM-NIACINAMIDE-VIT-B3-7ML-SACHET-i.8463767.5533491202</v>
      </c>
      <c r="C3628" s="8" t="s">
        <v>3453</v>
      </c>
      <c r="D3628" s="8" t="s">
        <v>3454</v>
      </c>
      <c r="E3628" s="8" t="s">
        <v>12</v>
      </c>
      <c r="F3628" s="8" t="s">
        <v>13</v>
      </c>
      <c r="G3628" s="8" t="s">
        <v>36</v>
      </c>
      <c r="H3628" s="16">
        <v>0.0</v>
      </c>
      <c r="I3628" s="15" t="str">
        <f>SUBSTITUTE(Sheet1!K3628, "Rp", "")</f>
        <v>0</v>
      </c>
    </row>
    <row r="3629">
      <c r="A3629" s="8" t="s">
        <v>4966</v>
      </c>
      <c r="B3629" s="13" t="str">
        <f>HYPERLINK("https://shopee.co.id/VIENNA-BEAUTY-FACE-SERUM-VITAMIN-C-7ML-SACHET-i.8463767.4233490681", "https://shopee.co.id/VIENNA-BEAUTY-FACE-SERUM-VITAMIN-C-7ML-SACHET-i.8463767.4233490681")</f>
        <v>https://shopee.co.id/VIENNA-BEAUTY-FACE-SERUM-VITAMIN-C-7ML-SACHET-i.8463767.4233490681</v>
      </c>
      <c r="C3629" s="8" t="s">
        <v>3453</v>
      </c>
      <c r="D3629" s="8" t="s">
        <v>3454</v>
      </c>
      <c r="E3629" s="8" t="s">
        <v>12</v>
      </c>
      <c r="F3629" s="8" t="s">
        <v>13</v>
      </c>
      <c r="G3629" s="8" t="s">
        <v>36</v>
      </c>
      <c r="H3629" s="16">
        <v>0.0</v>
      </c>
      <c r="I3629" s="15" t="str">
        <f>SUBSTITUTE(Sheet1!K3629, "Rp", "")</f>
        <v>0</v>
      </c>
    </row>
    <row r="3630">
      <c r="A3630" s="8" t="s">
        <v>4967</v>
      </c>
      <c r="B3630" s="13" t="str">
        <f>HYPERLINK("https://shopee.co.id/Votre-Peau-Brightening-Essence-50ml-i.10689.7245330939", "https://shopee.co.id/Votre-Peau-Brightening-Essence-50ml-i.10689.7245330939")</f>
        <v>https://shopee.co.id/Votre-Peau-Brightening-Essence-50ml-i.10689.7245330939</v>
      </c>
      <c r="C3630" s="8" t="s">
        <v>471</v>
      </c>
      <c r="D3630" s="8" t="s">
        <v>745</v>
      </c>
      <c r="E3630" s="8" t="s">
        <v>12</v>
      </c>
      <c r="F3630" s="8" t="s">
        <v>13</v>
      </c>
      <c r="G3630" s="8" t="s">
        <v>61</v>
      </c>
      <c r="H3630" s="16">
        <v>0.0</v>
      </c>
      <c r="I3630" s="15" t="str">
        <f>SUBSTITUTE(Sheet1!K3630, "Rp", "")</f>
        <v>0</v>
      </c>
    </row>
    <row r="3631">
      <c r="A3631" s="8" t="s">
        <v>4968</v>
      </c>
      <c r="B3631" s="13" t="str">
        <f>HYPERLINK("https://shopee.co.id/Votre-Peau-Sensisoft-Vitamin-C-Serum-Bundle-i.46300234.6992688047", "https://shopee.co.id/Votre-Peau-Sensisoft-Vitamin-C-Serum-Bundle-i.46300234.6992688047")</f>
        <v>https://shopee.co.id/Votre-Peau-Sensisoft-Vitamin-C-Serum-Bundle-i.46300234.6992688047</v>
      </c>
      <c r="C3631" s="8" t="s">
        <v>471</v>
      </c>
      <c r="D3631" s="8" t="s">
        <v>472</v>
      </c>
      <c r="E3631" s="8" t="s">
        <v>12</v>
      </c>
      <c r="F3631" s="8" t="s">
        <v>13</v>
      </c>
      <c r="G3631" s="8" t="s">
        <v>98</v>
      </c>
      <c r="H3631" s="16">
        <v>0.0</v>
      </c>
      <c r="I3631" s="15" t="str">
        <f>SUBSTITUTE(Sheet1!K3631, "Rp", "")</f>
        <v>0</v>
      </c>
    </row>
    <row r="3632">
      <c r="A3632" s="8" t="s">
        <v>4969</v>
      </c>
      <c r="B3632" s="13" t="str">
        <f>HYPERLINK("https://shopee.co.id/Votre-Peau-Vitamin-C-Serum-Maharis-30ml-i.10689.2177804736", "https://shopee.co.id/Votre-Peau-Vitamin-C-Serum-Maharis-30ml-i.10689.2177804736")</f>
        <v>https://shopee.co.id/Votre-Peau-Vitamin-C-Serum-Maharis-30ml-i.10689.2177804736</v>
      </c>
      <c r="C3632" s="8" t="s">
        <v>471</v>
      </c>
      <c r="D3632" s="8" t="s">
        <v>745</v>
      </c>
      <c r="E3632" s="8" t="s">
        <v>12</v>
      </c>
      <c r="F3632" s="8" t="s">
        <v>13</v>
      </c>
      <c r="G3632" s="8" t="s">
        <v>61</v>
      </c>
      <c r="H3632" s="16">
        <v>0.0</v>
      </c>
      <c r="I3632" s="15" t="str">
        <f>SUBSTITUTE(Sheet1!K3632, "Rp", "")</f>
        <v>0</v>
      </c>
    </row>
    <row r="3633">
      <c r="A3633" s="8" t="s">
        <v>4970</v>
      </c>
      <c r="B3633" s="13" t="str">
        <f>HYPERLINK("https://shopee.co.id/Votre-Peau-Vitamin-C-Serum-Pour-Maharis-Clinic-30ml-i.79492424.3217647800", "https://shopee.co.id/Votre-Peau-Vitamin-C-Serum-Pour-Maharis-Clinic-30ml-i.79492424.3217647800")</f>
        <v>https://shopee.co.id/Votre-Peau-Vitamin-C-Serum-Pour-Maharis-Clinic-30ml-i.79492424.3217647800</v>
      </c>
      <c r="C3633" s="8" t="s">
        <v>471</v>
      </c>
      <c r="D3633" s="8" t="s">
        <v>3456</v>
      </c>
      <c r="E3633" s="8" t="s">
        <v>12</v>
      </c>
      <c r="F3633" s="8" t="s">
        <v>13</v>
      </c>
      <c r="G3633" s="8" t="s">
        <v>469</v>
      </c>
      <c r="H3633" s="16">
        <v>0.0</v>
      </c>
      <c r="I3633" s="15" t="str">
        <f>SUBSTITUTE(Sheet1!K3633, "Rp", "")</f>
        <v>0</v>
      </c>
    </row>
    <row r="3634">
      <c r="A3634" s="8" t="s">
        <v>4971</v>
      </c>
      <c r="B3634" s="13" t="str">
        <f>HYPERLINK("https://shopee.co.id/Votre-Peau-Vitamin-C-Serum-Pour-Maharis-Clinic-30ml-Biru--i.136011044.9332951932", "https://shopee.co.id/Votre-Peau-Vitamin-C-Serum-Pour-Maharis-Clinic-30ml-Biru--i.136011044.9332951932")</f>
        <v>https://shopee.co.id/Votre-Peau-Vitamin-C-Serum-Pour-Maharis-Clinic-30ml-Biru--i.136011044.9332951932</v>
      </c>
      <c r="C3634" s="8" t="s">
        <v>471</v>
      </c>
      <c r="D3634" s="8" t="s">
        <v>632</v>
      </c>
      <c r="E3634" s="8" t="s">
        <v>12</v>
      </c>
      <c r="F3634" s="8" t="s">
        <v>13</v>
      </c>
      <c r="G3634" s="8" t="s">
        <v>21</v>
      </c>
      <c r="H3634" s="16">
        <v>0.0</v>
      </c>
      <c r="I3634" s="15" t="str">
        <f>SUBSTITUTE(Sheet1!K3634, "Rp", "")</f>
        <v>0</v>
      </c>
    </row>
    <row r="3635">
      <c r="A3635" s="8" t="s">
        <v>4972</v>
      </c>
      <c r="B3635" s="13" t="str">
        <f>HYPERLINK("https://shopee.co.id/Votre-Vitamin-C-serum-30ml--i.17081863.7422676843", "https://shopee.co.id/Votre-Vitamin-C-serum-30ml--i.17081863.7422676843")</f>
        <v>https://shopee.co.id/Votre-Vitamin-C-serum-30ml--i.17081863.7422676843</v>
      </c>
      <c r="C3635" s="8" t="s">
        <v>471</v>
      </c>
      <c r="D3635" s="8" t="s">
        <v>2497</v>
      </c>
      <c r="E3635" s="8" t="s">
        <v>12</v>
      </c>
      <c r="F3635" s="8" t="s">
        <v>13</v>
      </c>
      <c r="G3635" s="8" t="s">
        <v>21</v>
      </c>
      <c r="H3635" s="16">
        <v>0.0</v>
      </c>
      <c r="I3635" s="15" t="str">
        <f>SUBSTITUTE(Sheet1!K3635, "Rp", "")</f>
        <v>0</v>
      </c>
    </row>
    <row r="3636">
      <c r="A3636" s="8" t="s">
        <v>4973</v>
      </c>
      <c r="B3636" s="13" t="str">
        <f>HYPERLINK("https://shopee.co.id/Votre-Vitamin-C-serum-pour-Maharis-clinic-i.17081863.3822775736", "https://shopee.co.id/Votre-Vitamin-C-serum-pour-Maharis-clinic-i.17081863.3822775736")</f>
        <v>https://shopee.co.id/Votre-Vitamin-C-serum-pour-Maharis-clinic-i.17081863.3822775736</v>
      </c>
      <c r="C3636" s="8" t="s">
        <v>471</v>
      </c>
      <c r="D3636" s="8" t="s">
        <v>2497</v>
      </c>
      <c r="E3636" s="8" t="s">
        <v>12</v>
      </c>
      <c r="F3636" s="8" t="s">
        <v>13</v>
      </c>
      <c r="G3636" s="8" t="s">
        <v>21</v>
      </c>
      <c r="H3636" s="16">
        <v>0.0</v>
      </c>
      <c r="I3636" s="15" t="str">
        <f>SUBSTITUTE(Sheet1!K3636, "Rp", "")</f>
        <v>0</v>
      </c>
    </row>
    <row r="3637">
      <c r="A3637" s="8" t="s">
        <v>4974</v>
      </c>
      <c r="B3637" s="13" t="str">
        <f>HYPERLINK("https://shopee.co.id/Wardah-C-Defense-Serum-17ml-403228--i.16735262.6967446075", "https://shopee.co.id/Wardah-C-Defense-Serum-17ml-403228--i.16735262.6967446075")</f>
        <v>https://shopee.co.id/Wardah-C-Defense-Serum-17ml-403228--i.16735262.6967446075</v>
      </c>
      <c r="C3637" s="8" t="s">
        <v>169</v>
      </c>
      <c r="D3637" s="8" t="s">
        <v>3598</v>
      </c>
      <c r="E3637" s="8" t="s">
        <v>12</v>
      </c>
      <c r="F3637" s="8" t="s">
        <v>13</v>
      </c>
      <c r="G3637" s="8" t="s">
        <v>36</v>
      </c>
      <c r="H3637" s="16">
        <v>0.0</v>
      </c>
      <c r="I3637" s="15" t="str">
        <f>SUBSTITUTE(Sheet1!K3637, "Rp", "")</f>
        <v>0</v>
      </c>
    </row>
    <row r="3638">
      <c r="A3638" s="8" t="s">
        <v>4975</v>
      </c>
      <c r="B3638" s="13" t="str">
        <f>HYPERLINK("https://shopee.co.id/WARDAH-C-Defense-Serum-i.187117294.7855492547", "https://shopee.co.id/WARDAH-C-Defense-Serum-i.187117294.7855492547")</f>
        <v>https://shopee.co.id/WARDAH-C-Defense-Serum-i.187117294.7855492547</v>
      </c>
      <c r="C3638" s="8" t="s">
        <v>169</v>
      </c>
      <c r="D3638" s="8" t="s">
        <v>2366</v>
      </c>
      <c r="E3638" s="8" t="s">
        <v>12</v>
      </c>
      <c r="F3638" s="8" t="s">
        <v>13</v>
      </c>
      <c r="G3638" s="8" t="s">
        <v>469</v>
      </c>
      <c r="H3638" s="16">
        <v>0.0</v>
      </c>
      <c r="I3638" s="15" t="str">
        <f>SUBSTITUTE(Sheet1!K3638, "Rp", "")</f>
        <v>0</v>
      </c>
    </row>
    <row r="3639">
      <c r="A3639" s="8" t="s">
        <v>4975</v>
      </c>
      <c r="B3639" s="13" t="str">
        <f>HYPERLINK("https://shopee.co.id/WARDAH-C-Defense-Serum-i.68111.8715956391", "https://shopee.co.id/WARDAH-C-Defense-Serum-i.68111.8715956391")</f>
        <v>https://shopee.co.id/WARDAH-C-Defense-Serum-i.68111.8715956391</v>
      </c>
      <c r="C3639" s="8" t="s">
        <v>169</v>
      </c>
      <c r="D3639" s="8" t="s">
        <v>441</v>
      </c>
      <c r="E3639" s="8" t="s">
        <v>12</v>
      </c>
      <c r="F3639" s="8" t="s">
        <v>13</v>
      </c>
      <c r="G3639" s="8" t="s">
        <v>130</v>
      </c>
      <c r="H3639" s="16">
        <v>0.0</v>
      </c>
      <c r="I3639" s="15" t="str">
        <f>SUBSTITUTE(Sheet1!K3639, "Rp", "")</f>
        <v>0</v>
      </c>
    </row>
    <row r="3640">
      <c r="A3640" s="8" t="s">
        <v>4976</v>
      </c>
      <c r="B3640" s="13" t="str">
        <f>HYPERLINK("https://shopee.co.id/Wardah-C-Defense-With-Vitamin-C-Serum-17Ml-Face-Serum-Vitamin-Wajah-i.185943783.4032954043", "https://shopee.co.id/Wardah-C-Defense-With-Vitamin-C-Serum-17Ml-Face-Serum-Vitamin-Wajah-i.185943783.4032954043")</f>
        <v>https://shopee.co.id/Wardah-C-Defense-With-Vitamin-C-Serum-17Ml-Face-Serum-Vitamin-Wajah-i.185943783.4032954043</v>
      </c>
      <c r="C3640" s="8" t="s">
        <v>169</v>
      </c>
      <c r="D3640" s="8" t="s">
        <v>3429</v>
      </c>
      <c r="E3640" s="8" t="s">
        <v>12</v>
      </c>
      <c r="F3640" s="8" t="s">
        <v>13</v>
      </c>
      <c r="G3640" s="8" t="s">
        <v>36</v>
      </c>
      <c r="H3640" s="16">
        <v>0.0</v>
      </c>
      <c r="I3640" s="15" t="str">
        <f>SUBSTITUTE(Sheet1!K3640, "Rp", "")</f>
        <v>0</v>
      </c>
    </row>
    <row r="3641">
      <c r="A3641" s="8" t="s">
        <v>4976</v>
      </c>
      <c r="B3641" s="13" t="str">
        <f>HYPERLINK("https://shopee.co.id/Wardah-C-Defense-With-Vitamin-C-Serum-17Ml-Face-Serum-Vitamin-Wajah-i.175375997.5913074372", "https://shopee.co.id/Wardah-C-Defense-With-Vitamin-C-Serum-17Ml-Face-Serum-Vitamin-Wajah-i.175375997.5913074372")</f>
        <v>https://shopee.co.id/Wardah-C-Defense-With-Vitamin-C-Serum-17Ml-Face-Serum-Vitamin-Wajah-i.175375997.5913074372</v>
      </c>
      <c r="C3641" s="8" t="s">
        <v>169</v>
      </c>
      <c r="D3641" s="8" t="s">
        <v>2123</v>
      </c>
      <c r="E3641" s="8" t="s">
        <v>12</v>
      </c>
      <c r="F3641" s="8" t="s">
        <v>13</v>
      </c>
      <c r="G3641" s="8" t="s">
        <v>36</v>
      </c>
      <c r="H3641" s="16">
        <v>0.0</v>
      </c>
      <c r="I3641" s="15" t="str">
        <f>SUBSTITUTE(Sheet1!K3641, "Rp", "")</f>
        <v>0</v>
      </c>
    </row>
    <row r="3642">
      <c r="A3642" s="8" t="s">
        <v>4977</v>
      </c>
      <c r="B3642" s="13" t="str">
        <f>HYPERLINK("https://shopee.co.id/WARDAH-Crystallure-Supreme-Activating-Booster-Essence-i.187117294.3342820815", "https://shopee.co.id/WARDAH-Crystallure-Supreme-Activating-Booster-Essence-i.187117294.3342820815")</f>
        <v>https://shopee.co.id/WARDAH-Crystallure-Supreme-Activating-Booster-Essence-i.187117294.3342820815</v>
      </c>
      <c r="C3642" s="8" t="s">
        <v>169</v>
      </c>
      <c r="D3642" s="8" t="s">
        <v>2366</v>
      </c>
      <c r="E3642" s="8" t="s">
        <v>12</v>
      </c>
      <c r="F3642" s="8" t="s">
        <v>13</v>
      </c>
      <c r="G3642" s="8" t="s">
        <v>469</v>
      </c>
      <c r="H3642" s="16">
        <v>0.0</v>
      </c>
      <c r="I3642" s="15" t="str">
        <f>SUBSTITUTE(Sheet1!K3642, "Rp", "")</f>
        <v>0</v>
      </c>
    </row>
    <row r="3643">
      <c r="A3643" s="8" t="s">
        <v>1707</v>
      </c>
      <c r="B3643" s="13" t="str">
        <f>HYPERLINK("https://shopee.co.id/WARDAH-Hydra-Rose-Micro-Gel-Serum-i.187117294.7155054979", "https://shopee.co.id/WARDAH-Hydra-Rose-Micro-Gel-Serum-i.187117294.7155054979")</f>
        <v>https://shopee.co.id/WARDAH-Hydra-Rose-Micro-Gel-Serum-i.187117294.7155054979</v>
      </c>
      <c r="C3643" s="8" t="s">
        <v>4978</v>
      </c>
      <c r="D3643" s="8" t="s">
        <v>2366</v>
      </c>
      <c r="E3643" s="8" t="s">
        <v>12</v>
      </c>
      <c r="F3643" s="8" t="s">
        <v>13</v>
      </c>
      <c r="G3643" s="8" t="s">
        <v>469</v>
      </c>
      <c r="H3643" s="16">
        <v>0.0</v>
      </c>
      <c r="I3643" s="15" t="str">
        <f>SUBSTITUTE(Sheet1!K3643, "Rp", "")</f>
        <v>0</v>
      </c>
    </row>
    <row r="3644">
      <c r="A3644" s="8" t="s">
        <v>4979</v>
      </c>
      <c r="B3644" s="13" t="str">
        <f>HYPERLINK("https://shopee.co.id/Wardah-Lightening-Facial-Serum-5x5-Ml-Pc-S--i.53887195.1180103682", "https://shopee.co.id/Wardah-Lightening-Facial-Serum-5x5-Ml-Pc-S--i.53887195.1180103682")</f>
        <v>https://shopee.co.id/Wardah-Lightening-Facial-Serum-5x5-Ml-Pc-S--i.53887195.1180103682</v>
      </c>
      <c r="C3644" s="8" t="s">
        <v>169</v>
      </c>
      <c r="D3644" s="8" t="s">
        <v>1026</v>
      </c>
      <c r="E3644" s="8" t="s">
        <v>12</v>
      </c>
      <c r="F3644" s="8" t="s">
        <v>13</v>
      </c>
      <c r="G3644" s="8" t="s">
        <v>80</v>
      </c>
      <c r="H3644" s="16">
        <v>0.0</v>
      </c>
      <c r="I3644" s="15" t="str">
        <f>SUBSTITUTE(Sheet1!K3644, "Rp", "")</f>
        <v>0</v>
      </c>
    </row>
    <row r="3645">
      <c r="A3645" s="8" t="s">
        <v>4980</v>
      </c>
      <c r="B3645" s="13" t="str">
        <f>HYPERLINK("https://shopee.co.id/Wardah-Lightening-Facial-Serum-5X5Ml-Face-Serum-Serum-Wajah-Vitamin-Wajah-Skin-Care-Pemutih-i.175375997.5908965126", "https://shopee.co.id/Wardah-Lightening-Facial-Serum-5X5Ml-Face-Serum-Serum-Wajah-Vitamin-Wajah-Skin-Care-Pemutih-i.175375997.5908965126")</f>
        <v>https://shopee.co.id/Wardah-Lightening-Facial-Serum-5X5Ml-Face-Serum-Serum-Wajah-Vitamin-Wajah-Skin-Care-Pemutih-i.175375997.5908965126</v>
      </c>
      <c r="C3645" s="8" t="s">
        <v>169</v>
      </c>
      <c r="D3645" s="8" t="s">
        <v>2123</v>
      </c>
      <c r="E3645" s="8" t="s">
        <v>12</v>
      </c>
      <c r="F3645" s="8" t="s">
        <v>13</v>
      </c>
      <c r="G3645" s="8" t="s">
        <v>36</v>
      </c>
      <c r="H3645" s="16">
        <v>0.0</v>
      </c>
      <c r="I3645" s="15" t="str">
        <f>SUBSTITUTE(Sheet1!K3645, "Rp", "")</f>
        <v>0</v>
      </c>
    </row>
    <row r="3646">
      <c r="A3646" s="8" t="s">
        <v>4981</v>
      </c>
      <c r="B3646" s="13" t="str">
        <f>HYPERLINK("https://shopee.co.id/WARDAH-Lightening-Serum-Ampoule-i.187117294.3167530077", "https://shopee.co.id/WARDAH-Lightening-Serum-Ampoule-i.187117294.3167530077")</f>
        <v>https://shopee.co.id/WARDAH-Lightening-Serum-Ampoule-i.187117294.3167530077</v>
      </c>
      <c r="C3646" s="8" t="s">
        <v>169</v>
      </c>
      <c r="D3646" s="8" t="s">
        <v>2366</v>
      </c>
      <c r="E3646" s="8" t="s">
        <v>12</v>
      </c>
      <c r="F3646" s="8" t="s">
        <v>13</v>
      </c>
      <c r="G3646" s="8" t="s">
        <v>469</v>
      </c>
      <c r="H3646" s="16">
        <v>0.0</v>
      </c>
      <c r="I3646" s="15" t="str">
        <f>SUBSTITUTE(Sheet1!K3646, "Rp", "")</f>
        <v>0</v>
      </c>
    </row>
    <row r="3647">
      <c r="A3647" s="8" t="s">
        <v>4981</v>
      </c>
      <c r="B3647" s="13" t="str">
        <f>HYPERLINK("https://shopee.co.id/WARDAH-Lightening-Serum-Ampoule-i.270965687.12815733817", "https://shopee.co.id/WARDAH-Lightening-Serum-Ampoule-i.270965687.12815733817")</f>
        <v>https://shopee.co.id/WARDAH-Lightening-Serum-Ampoule-i.270965687.12815733817</v>
      </c>
      <c r="C3647" s="8" t="s">
        <v>169</v>
      </c>
      <c r="D3647" s="8" t="s">
        <v>379</v>
      </c>
      <c r="E3647" s="8" t="s">
        <v>12</v>
      </c>
      <c r="F3647" s="8" t="s">
        <v>13</v>
      </c>
      <c r="G3647" s="8" t="s">
        <v>380</v>
      </c>
      <c r="H3647" s="16">
        <v>0.0</v>
      </c>
      <c r="I3647" s="15" t="str">
        <f>SUBSTITUTE(Sheet1!K3647, "Rp", "")</f>
        <v>0</v>
      </c>
    </row>
    <row r="3648">
      <c r="A3648" s="8" t="s">
        <v>3967</v>
      </c>
      <c r="B3648" s="13" t="str">
        <f>HYPERLINK("https://shopee.co.id/Wardah-Lightening-Serum-Ampoule-8Ml-i.309940894.7386914832", "https://shopee.co.id/Wardah-Lightening-Serum-Ampoule-8Ml-i.309940894.7386914832")</f>
        <v>https://shopee.co.id/Wardah-Lightening-Serum-Ampoule-8Ml-i.309940894.7386914832</v>
      </c>
      <c r="C3648" s="8" t="s">
        <v>169</v>
      </c>
      <c r="D3648" s="8" t="s">
        <v>3621</v>
      </c>
      <c r="E3648" s="8" t="s">
        <v>12</v>
      </c>
      <c r="F3648" s="8" t="s">
        <v>13</v>
      </c>
      <c r="G3648" s="8" t="s">
        <v>296</v>
      </c>
      <c r="H3648" s="16">
        <v>0.0</v>
      </c>
      <c r="I3648" s="15" t="str">
        <f>SUBSTITUTE(Sheet1!K3648, "Rp", "")</f>
        <v>0</v>
      </c>
    </row>
    <row r="3649">
      <c r="A3649" s="8" t="s">
        <v>3967</v>
      </c>
      <c r="B3649" s="13" t="str">
        <f>HYPERLINK("https://shopee.co.id/Wardah-Lightening-Serum-Ampoule-8Ml-i.353462148.9548824987", "https://shopee.co.id/Wardah-Lightening-Serum-Ampoule-8Ml-i.353462148.9548824987")</f>
        <v>https://shopee.co.id/Wardah-Lightening-Serum-Ampoule-8Ml-i.353462148.9548824987</v>
      </c>
      <c r="C3649" s="8" t="s">
        <v>169</v>
      </c>
      <c r="D3649" s="8" t="s">
        <v>4639</v>
      </c>
      <c r="E3649" s="8" t="s">
        <v>12</v>
      </c>
      <c r="F3649" s="8" t="s">
        <v>13</v>
      </c>
      <c r="G3649" s="8" t="s">
        <v>945</v>
      </c>
      <c r="H3649" s="16">
        <v>0.0</v>
      </c>
      <c r="I3649" s="15" t="str">
        <f>SUBSTITUTE(Sheet1!K3649, "Rp", "")</f>
        <v>0</v>
      </c>
    </row>
    <row r="3650">
      <c r="A3650" s="8" t="s">
        <v>3967</v>
      </c>
      <c r="B3650" s="13" t="str">
        <f>HYPERLINK("https://shopee.co.id/Wardah-Lightening-Serum-Ampoule-8Ml-i.353460901.3587494401", "https://shopee.co.id/Wardah-Lightening-Serum-Ampoule-8Ml-i.353460901.3587494401")</f>
        <v>https://shopee.co.id/Wardah-Lightening-Serum-Ampoule-8Ml-i.353460901.3587494401</v>
      </c>
      <c r="C3650" s="8" t="s">
        <v>169</v>
      </c>
      <c r="D3650" s="8" t="s">
        <v>3944</v>
      </c>
      <c r="E3650" s="8" t="s">
        <v>12</v>
      </c>
      <c r="F3650" s="8" t="s">
        <v>13</v>
      </c>
      <c r="G3650" s="8" t="s">
        <v>1480</v>
      </c>
      <c r="H3650" s="16">
        <v>0.0</v>
      </c>
      <c r="I3650" s="15" t="str">
        <f>SUBSTITUTE(Sheet1!K3650, "Rp", "")</f>
        <v>0</v>
      </c>
    </row>
    <row r="3651">
      <c r="A3651" s="8" t="s">
        <v>4982</v>
      </c>
      <c r="B3651" s="13" t="str">
        <f>HYPERLINK("https://shopee.co.id/Wardah-Nature-Daily-Witch-Hazel-Purifying-Serum-5x5-ml-i.24819895.5010557035", "https://shopee.co.id/Wardah-Nature-Daily-Witch-Hazel-Purifying-Serum-5x5-ml-i.24819895.5010557035")</f>
        <v>https://shopee.co.id/Wardah-Nature-Daily-Witch-Hazel-Purifying-Serum-5x5-ml-i.24819895.5010557035</v>
      </c>
      <c r="C3651" s="8" t="s">
        <v>169</v>
      </c>
      <c r="D3651" s="8" t="s">
        <v>2491</v>
      </c>
      <c r="E3651" s="8" t="s">
        <v>12</v>
      </c>
      <c r="F3651" s="8" t="s">
        <v>13</v>
      </c>
      <c r="G3651" s="8" t="s">
        <v>1085</v>
      </c>
      <c r="H3651" s="16">
        <v>0.0</v>
      </c>
      <c r="I3651" s="15" t="str">
        <f>SUBSTITUTE(Sheet1!K3651, "Rp", "")</f>
        <v>0</v>
      </c>
    </row>
    <row r="3652">
      <c r="A3652" s="8" t="s">
        <v>4983</v>
      </c>
      <c r="B3652" s="13" t="str">
        <f>HYPERLINK("https://shopee.co.id/WARDAH-RENEW-A-AGING-SERUM-17ML-321617--i.16735262.1083449924", "https://shopee.co.id/WARDAH-RENEW-A-AGING-SERUM-17ML-321617--i.16735262.1083449924")</f>
        <v>https://shopee.co.id/WARDAH-RENEW-A-AGING-SERUM-17ML-321617--i.16735262.1083449924</v>
      </c>
      <c r="C3652" s="8" t="s">
        <v>169</v>
      </c>
      <c r="D3652" s="8" t="s">
        <v>3598</v>
      </c>
      <c r="E3652" s="8" t="s">
        <v>12</v>
      </c>
      <c r="F3652" s="8" t="s">
        <v>13</v>
      </c>
      <c r="G3652" s="8" t="s">
        <v>36</v>
      </c>
      <c r="H3652" s="16">
        <v>0.0</v>
      </c>
      <c r="I3652" s="15" t="str">
        <f>SUBSTITUTE(Sheet1!K3652, "Rp", "")</f>
        <v>0</v>
      </c>
    </row>
    <row r="3653">
      <c r="A3653" s="8" t="s">
        <v>4984</v>
      </c>
      <c r="B3653" s="13" t="str">
        <f>HYPERLINK("https://shopee.co.id/Wardah-Renew-You-Anti-Aging-Intensive-Serum-i.53887195.885764840", "https://shopee.co.id/Wardah-Renew-You-Anti-Aging-Intensive-Serum-i.53887195.885764840")</f>
        <v>https://shopee.co.id/Wardah-Renew-You-Anti-Aging-Intensive-Serum-i.53887195.885764840</v>
      </c>
      <c r="C3653" s="8" t="s">
        <v>169</v>
      </c>
      <c r="D3653" s="8" t="s">
        <v>1026</v>
      </c>
      <c r="E3653" s="8" t="s">
        <v>12</v>
      </c>
      <c r="F3653" s="8" t="s">
        <v>13</v>
      </c>
      <c r="G3653" s="8" t="s">
        <v>80</v>
      </c>
      <c r="H3653" s="16">
        <v>0.0</v>
      </c>
      <c r="I3653" s="15" t="str">
        <f>SUBSTITUTE(Sheet1!K3653, "Rp", "")</f>
        <v>0</v>
      </c>
    </row>
    <row r="3654">
      <c r="A3654" s="8" t="s">
        <v>4985</v>
      </c>
      <c r="B3654" s="13" t="str">
        <f>HYPERLINK("https://shopee.co.id/Wardah-Renew-You-Anti-Aging-Intensive-Serum-17Ml-Serum-Wajah-Anti-Aging-Kulit-Wajah-i.175375997.4008972322", "https://shopee.co.id/Wardah-Renew-You-Anti-Aging-Intensive-Serum-17Ml-Serum-Wajah-Anti-Aging-Kulit-Wajah-i.175375997.4008972322")</f>
        <v>https://shopee.co.id/Wardah-Renew-You-Anti-Aging-Intensive-Serum-17Ml-Serum-Wajah-Anti-Aging-Kulit-Wajah-i.175375997.4008972322</v>
      </c>
      <c r="C3654" s="8" t="s">
        <v>169</v>
      </c>
      <c r="D3654" s="8" t="s">
        <v>2123</v>
      </c>
      <c r="E3654" s="8" t="s">
        <v>12</v>
      </c>
      <c r="F3654" s="8" t="s">
        <v>13</v>
      </c>
      <c r="G3654" s="8" t="s">
        <v>36</v>
      </c>
      <c r="H3654" s="16">
        <v>0.0</v>
      </c>
      <c r="I3654" s="15" t="str">
        <f>SUBSTITUTE(Sheet1!K3654, "Rp", "")</f>
        <v>0</v>
      </c>
    </row>
    <row r="3655">
      <c r="A3655" s="8" t="s">
        <v>4985</v>
      </c>
      <c r="B3655" s="13" t="str">
        <f>HYPERLINK("https://shopee.co.id/Wardah-Renew-You-Anti-Aging-Intensive-Serum-17Ml-Serum-Wajah-Anti-Aging-Kulit-Wajah-i.185943783.6733263718", "https://shopee.co.id/Wardah-Renew-You-Anti-Aging-Intensive-Serum-17Ml-Serum-Wajah-Anti-Aging-Kulit-Wajah-i.185943783.6733263718")</f>
        <v>https://shopee.co.id/Wardah-Renew-You-Anti-Aging-Intensive-Serum-17Ml-Serum-Wajah-Anti-Aging-Kulit-Wajah-i.185943783.6733263718</v>
      </c>
      <c r="C3655" s="8" t="s">
        <v>169</v>
      </c>
      <c r="D3655" s="8" t="s">
        <v>3429</v>
      </c>
      <c r="E3655" s="8" t="s">
        <v>12</v>
      </c>
      <c r="F3655" s="8" t="s">
        <v>13</v>
      </c>
      <c r="G3655" s="8" t="s">
        <v>36</v>
      </c>
      <c r="H3655" s="16">
        <v>0.0</v>
      </c>
      <c r="I3655" s="15" t="str">
        <f>SUBSTITUTE(Sheet1!K3655, "Rp", "")</f>
        <v>0</v>
      </c>
    </row>
    <row r="3656">
      <c r="A3656" s="8" t="s">
        <v>4986</v>
      </c>
      <c r="B3656" s="13" t="str">
        <f>HYPERLINK("https://shopee.co.id/Wardah-Renew-You-Anti-Aging-Treatment-Essence-100-ML-i.114789399.5627650759", "https://shopee.co.id/Wardah-Renew-You-Anti-Aging-Treatment-Essence-100-ML-i.114789399.5627650759")</f>
        <v>https://shopee.co.id/Wardah-Renew-You-Anti-Aging-Treatment-Essence-100-ML-i.114789399.5627650759</v>
      </c>
      <c r="C3656" s="8" t="s">
        <v>169</v>
      </c>
      <c r="D3656" s="8" t="s">
        <v>2531</v>
      </c>
      <c r="E3656" s="8" t="s">
        <v>12</v>
      </c>
      <c r="F3656" s="8" t="s">
        <v>13</v>
      </c>
      <c r="G3656" s="8" t="s">
        <v>36</v>
      </c>
      <c r="H3656" s="16">
        <v>0.0</v>
      </c>
      <c r="I3656" s="15" t="str">
        <f>SUBSTITUTE(Sheet1!K3656, "Rp", "")</f>
        <v>0</v>
      </c>
    </row>
    <row r="3657">
      <c r="A3657" s="8" t="s">
        <v>4987</v>
      </c>
      <c r="B3657" s="13" t="str">
        <f>HYPERLINK("https://shopee.co.id/Wardah-Renew-You-Anti-Anging-Intensive-Serum-17Ml-i.353462148.6069165852", "https://shopee.co.id/Wardah-Renew-You-Anti-Anging-Intensive-Serum-17Ml-i.353462148.6069165852")</f>
        <v>https://shopee.co.id/Wardah-Renew-You-Anti-Anging-Intensive-Serum-17Ml-i.353462148.6069165852</v>
      </c>
      <c r="C3657" s="8" t="s">
        <v>169</v>
      </c>
      <c r="D3657" s="8" t="s">
        <v>4639</v>
      </c>
      <c r="E3657" s="8" t="s">
        <v>12</v>
      </c>
      <c r="F3657" s="8" t="s">
        <v>13</v>
      </c>
      <c r="G3657" s="8" t="s">
        <v>945</v>
      </c>
      <c r="H3657" s="16">
        <v>0.0</v>
      </c>
      <c r="I3657" s="15" t="str">
        <f>SUBSTITUTE(Sheet1!K3657, "Rp", "")</f>
        <v>0</v>
      </c>
    </row>
    <row r="3658">
      <c r="A3658" s="8" t="s">
        <v>4988</v>
      </c>
      <c r="B3658" s="13" t="str">
        <f>HYPERLINK("https://shopee.co.id/Wardah-Renew-You-Treatment-Essence-100ml-i.121791179.7131747782", "https://shopee.co.id/Wardah-Renew-You-Treatment-Essence-100ml-i.121791179.7131747782")</f>
        <v>https://shopee.co.id/Wardah-Renew-You-Treatment-Essence-100ml-i.121791179.7131747782</v>
      </c>
      <c r="C3658" s="8" t="s">
        <v>169</v>
      </c>
      <c r="D3658" s="8" t="s">
        <v>1733</v>
      </c>
      <c r="E3658" s="8" t="s">
        <v>12</v>
      </c>
      <c r="F3658" s="8" t="s">
        <v>13</v>
      </c>
      <c r="G3658" s="8" t="s">
        <v>36</v>
      </c>
      <c r="H3658" s="16">
        <v>0.0</v>
      </c>
      <c r="I3658" s="15" t="str">
        <f>SUBSTITUTE(Sheet1!K3658, "Rp", "")</f>
        <v>0</v>
      </c>
    </row>
    <row r="3659">
      <c r="A3659" s="8" t="s">
        <v>4989</v>
      </c>
      <c r="B3659" s="13" t="str">
        <f>HYPERLINK("https://shopee.co.id/Wardah-Renew-You-Treatment-Essence-100Ml-i.175375997.6823910086", "https://shopee.co.id/Wardah-Renew-You-Treatment-Essence-100Ml-i.175375997.6823910086")</f>
        <v>https://shopee.co.id/Wardah-Renew-You-Treatment-Essence-100Ml-i.175375997.6823910086</v>
      </c>
      <c r="C3659" s="8" t="s">
        <v>169</v>
      </c>
      <c r="D3659" s="8" t="s">
        <v>2123</v>
      </c>
      <c r="E3659" s="8" t="s">
        <v>12</v>
      </c>
      <c r="F3659" s="8" t="s">
        <v>13</v>
      </c>
      <c r="G3659" s="8" t="s">
        <v>36</v>
      </c>
      <c r="H3659" s="16">
        <v>0.0</v>
      </c>
      <c r="I3659" s="15" t="str">
        <f>SUBSTITUTE(Sheet1!K3659, "Rp", "")</f>
        <v>0</v>
      </c>
    </row>
    <row r="3660">
      <c r="A3660" s="8" t="s">
        <v>4988</v>
      </c>
      <c r="B3660" s="13" t="str">
        <f>HYPERLINK("https://shopee.co.id/Wardah-Renew-You-Treatment-Essence-100ml-i.24819895.7210206937", "https://shopee.co.id/Wardah-Renew-You-Treatment-Essence-100ml-i.24819895.7210206937")</f>
        <v>https://shopee.co.id/Wardah-Renew-You-Treatment-Essence-100ml-i.24819895.7210206937</v>
      </c>
      <c r="C3660" s="8" t="s">
        <v>169</v>
      </c>
      <c r="D3660" s="8" t="s">
        <v>2491</v>
      </c>
      <c r="E3660" s="8" t="s">
        <v>12</v>
      </c>
      <c r="F3660" s="8" t="s">
        <v>13</v>
      </c>
      <c r="G3660" s="8" t="s">
        <v>1085</v>
      </c>
      <c r="H3660" s="16">
        <v>0.0</v>
      </c>
      <c r="I3660" s="15" t="str">
        <f>SUBSTITUTE(Sheet1!K3660, "Rp", "")</f>
        <v>0</v>
      </c>
    </row>
    <row r="3661">
      <c r="A3661" s="8" t="s">
        <v>4990</v>
      </c>
      <c r="B3661" s="13" t="str">
        <f>HYPERLINK("https://shopee.co.id/WARDAH-Renew-You-Treatment-Essence-50-ml-dan-100-ml-i.187117294.5142395653", "https://shopee.co.id/WARDAH-Renew-You-Treatment-Essence-50-ml-dan-100-ml-i.187117294.5142395653")</f>
        <v>https://shopee.co.id/WARDAH-Renew-You-Treatment-Essence-50-ml-dan-100-ml-i.187117294.5142395653</v>
      </c>
      <c r="C3661" s="8" t="s">
        <v>169</v>
      </c>
      <c r="D3661" s="8" t="s">
        <v>2366</v>
      </c>
      <c r="E3661" s="8" t="s">
        <v>12</v>
      </c>
      <c r="F3661" s="8" t="s">
        <v>13</v>
      </c>
      <c r="G3661" s="8" t="s">
        <v>469</v>
      </c>
      <c r="H3661" s="16">
        <v>0.0</v>
      </c>
      <c r="I3661" s="15" t="str">
        <f>SUBSTITUTE(Sheet1!K3661, "Rp", "")</f>
        <v>0</v>
      </c>
    </row>
    <row r="3662">
      <c r="A3662" s="8" t="s">
        <v>4991</v>
      </c>
      <c r="B3662" s="13" t="str">
        <f>HYPERLINK("https://shopee.co.id/Wardah-White-Secret-Intense-Brightening-Essence-17ml-i.277377659.7552495259", "https://shopee.co.id/Wardah-White-Secret-Intense-Brightening-Essence-17ml-i.277377659.7552495259")</f>
        <v>https://shopee.co.id/Wardah-White-Secret-Intense-Brightening-Essence-17ml-i.277377659.7552495259</v>
      </c>
      <c r="C3662" s="8" t="s">
        <v>169</v>
      </c>
      <c r="D3662" s="8" t="s">
        <v>2549</v>
      </c>
      <c r="E3662" s="8" t="s">
        <v>12</v>
      </c>
      <c r="F3662" s="8" t="s">
        <v>13</v>
      </c>
      <c r="G3662" s="8" t="s">
        <v>532</v>
      </c>
      <c r="H3662" s="16">
        <v>0.0</v>
      </c>
      <c r="I3662" s="15" t="str">
        <f>SUBSTITUTE(Sheet1!K3662, "Rp", "")</f>
        <v>0</v>
      </c>
    </row>
    <row r="3663">
      <c r="A3663" s="8" t="s">
        <v>4992</v>
      </c>
      <c r="B3663" s="13" t="str">
        <f>HYPERLINK("https://shopee.co.id/Wardah-White-Secret-Intense-Brightening-Essense-i.53887195.5439530096", "https://shopee.co.id/Wardah-White-Secret-Intense-Brightening-Essense-i.53887195.5439530096")</f>
        <v>https://shopee.co.id/Wardah-White-Secret-Intense-Brightening-Essense-i.53887195.5439530096</v>
      </c>
      <c r="C3663" s="8" t="s">
        <v>169</v>
      </c>
      <c r="D3663" s="8" t="s">
        <v>1026</v>
      </c>
      <c r="E3663" s="8" t="s">
        <v>12</v>
      </c>
      <c r="F3663" s="8" t="s">
        <v>13</v>
      </c>
      <c r="G3663" s="8" t="s">
        <v>80</v>
      </c>
      <c r="H3663" s="16">
        <v>0.0</v>
      </c>
      <c r="I3663" s="15" t="str">
        <f>SUBSTITUTE(Sheet1!K3663, "Rp", "")</f>
        <v>0</v>
      </c>
    </row>
    <row r="3664">
      <c r="A3664" s="8" t="s">
        <v>4993</v>
      </c>
      <c r="B3664" s="13" t="str">
        <f>HYPERLINK("https://shopee.co.id/Wardah-White-Secret-Pure-Treatment-Essence-408126--i.16735262.1083483165", "https://shopee.co.id/Wardah-White-Secret-Pure-Treatment-Essence-408126--i.16735262.1083483165")</f>
        <v>https://shopee.co.id/Wardah-White-Secret-Pure-Treatment-Essence-408126--i.16735262.1083483165</v>
      </c>
      <c r="C3664" s="8" t="s">
        <v>169</v>
      </c>
      <c r="D3664" s="8" t="s">
        <v>3598</v>
      </c>
      <c r="E3664" s="8" t="s">
        <v>12</v>
      </c>
      <c r="F3664" s="8" t="s">
        <v>13</v>
      </c>
      <c r="G3664" s="8" t="s">
        <v>36</v>
      </c>
      <c r="H3664" s="16">
        <v>0.0</v>
      </c>
      <c r="I3664" s="15" t="str">
        <f>SUBSTITUTE(Sheet1!K3664, "Rp", "")</f>
        <v>0</v>
      </c>
    </row>
    <row r="3665">
      <c r="A3665" s="8" t="s">
        <v>4994</v>
      </c>
      <c r="B3665" s="13" t="str">
        <f>HYPERLINK("https://shopee.co.id/WARDAH-White-Secret-Pure-Treatment-Essence-100Ml-i.187117294.4548238982", "https://shopee.co.id/WARDAH-White-Secret-Pure-Treatment-Essence-100Ml-i.187117294.4548238982")</f>
        <v>https://shopee.co.id/WARDAH-White-Secret-Pure-Treatment-Essence-100Ml-i.187117294.4548238982</v>
      </c>
      <c r="C3665" s="8" t="s">
        <v>169</v>
      </c>
      <c r="D3665" s="8" t="s">
        <v>2366</v>
      </c>
      <c r="E3665" s="8" t="s">
        <v>12</v>
      </c>
      <c r="F3665" s="8" t="s">
        <v>13</v>
      </c>
      <c r="G3665" s="8" t="s">
        <v>469</v>
      </c>
      <c r="H3665" s="16">
        <v>0.0</v>
      </c>
      <c r="I3665" s="15" t="str">
        <f>SUBSTITUTE(Sheet1!K3665, "Rp", "")</f>
        <v>0</v>
      </c>
    </row>
    <row r="3666">
      <c r="A3666" s="8" t="s">
        <v>4995</v>
      </c>
      <c r="B3666" s="13" t="str">
        <f>HYPERLINK("https://shopee.co.id/Wardah-White-Secret-Pure-Treatment-Essence-50Ml-i.353462148.5392600229", "https://shopee.co.id/Wardah-White-Secret-Pure-Treatment-Essence-50Ml-i.353462148.5392600229")</f>
        <v>https://shopee.co.id/Wardah-White-Secret-Pure-Treatment-Essence-50Ml-i.353462148.5392600229</v>
      </c>
      <c r="C3666" s="8" t="s">
        <v>169</v>
      </c>
      <c r="D3666" s="8" t="s">
        <v>4639</v>
      </c>
      <c r="E3666" s="8" t="s">
        <v>12</v>
      </c>
      <c r="F3666" s="8" t="s">
        <v>13</v>
      </c>
      <c r="G3666" s="8" t="s">
        <v>945</v>
      </c>
      <c r="H3666" s="16">
        <v>0.0</v>
      </c>
      <c r="I3666" s="15" t="str">
        <f>SUBSTITUTE(Sheet1!K3666, "Rp", "")</f>
        <v>0</v>
      </c>
    </row>
    <row r="3667">
      <c r="A3667" s="8" t="s">
        <v>4996</v>
      </c>
      <c r="B3667" s="13" t="str">
        <f>HYPERLINK("https://shopee.co.id/WARDAH-White-Secret-Pure-Treatment-Essence-50ml-i.187117294.5848237460", "https://shopee.co.id/WARDAH-White-Secret-Pure-Treatment-Essence-50ml-i.187117294.5848237460")</f>
        <v>https://shopee.co.id/WARDAH-White-Secret-Pure-Treatment-Essence-50ml-i.187117294.5848237460</v>
      </c>
      <c r="C3667" s="8" t="s">
        <v>169</v>
      </c>
      <c r="D3667" s="8" t="s">
        <v>2366</v>
      </c>
      <c r="E3667" s="8" t="s">
        <v>12</v>
      </c>
      <c r="F3667" s="8" t="s">
        <v>13</v>
      </c>
      <c r="G3667" s="8" t="s">
        <v>469</v>
      </c>
      <c r="H3667" s="16">
        <v>0.0</v>
      </c>
      <c r="I3667" s="15" t="str">
        <f>SUBSTITUTE(Sheet1!K3667, "Rp", "")</f>
        <v>0</v>
      </c>
    </row>
    <row r="3668">
      <c r="A3668" s="8" t="s">
        <v>4997</v>
      </c>
      <c r="B3668" s="13" t="str">
        <f>HYPERLINK("https://shopee.co.id/Wardah-White-Secret-Pure-Treatment-Essence-50ml-421310--i.16735262.5048483948", "https://shopee.co.id/Wardah-White-Secret-Pure-Treatment-Essence-50ml-421310--i.16735262.5048483948")</f>
        <v>https://shopee.co.id/Wardah-White-Secret-Pure-Treatment-Essence-50ml-421310--i.16735262.5048483948</v>
      </c>
      <c r="C3668" s="8" t="s">
        <v>169</v>
      </c>
      <c r="D3668" s="8" t="s">
        <v>3598</v>
      </c>
      <c r="E3668" s="8" t="s">
        <v>12</v>
      </c>
      <c r="F3668" s="8" t="s">
        <v>13</v>
      </c>
      <c r="G3668" s="8" t="s">
        <v>36</v>
      </c>
      <c r="H3668" s="16">
        <v>0.0</v>
      </c>
      <c r="I3668" s="15" t="str">
        <f>SUBSTITUTE(Sheet1!K3668, "Rp", "")</f>
        <v>0</v>
      </c>
    </row>
    <row r="3669">
      <c r="A3669" s="8" t="s">
        <v>4998</v>
      </c>
      <c r="B3669" s="13" t="str">
        <f>HYPERLINK("https://shopee.co.id/Westcare-Bounce-Glow-Serum-30ml-i.825870.4549345246", "https://shopee.co.id/Westcare-Bounce-Glow-Serum-30ml-i.825870.4549345246")</f>
        <v>https://shopee.co.id/Westcare-Bounce-Glow-Serum-30ml-i.825870.4549345246</v>
      </c>
      <c r="C3669" s="8" t="s">
        <v>1402</v>
      </c>
      <c r="D3669" s="8" t="s">
        <v>1184</v>
      </c>
      <c r="E3669" s="8" t="s">
        <v>12</v>
      </c>
      <c r="F3669" s="8" t="s">
        <v>13</v>
      </c>
      <c r="G3669" s="8" t="s">
        <v>21</v>
      </c>
      <c r="H3669" s="16">
        <v>0.0</v>
      </c>
      <c r="I3669" s="15" t="str">
        <f>SUBSTITUTE(Sheet1!K3669, "Rp", "")</f>
        <v>0</v>
      </c>
    </row>
    <row r="3670">
      <c r="A3670" s="8" t="s">
        <v>4999</v>
      </c>
      <c r="B3670" s="13" t="str">
        <f>HYPERLINK("https://shopee.co.id/WESTCARE-Bounce-and-Glow-Serum-i.187117294.6668500916", "https://shopee.co.id/WESTCARE-Bounce-and-Glow-Serum-i.187117294.6668500916")</f>
        <v>https://shopee.co.id/WESTCARE-Bounce-and-Glow-Serum-i.187117294.6668500916</v>
      </c>
      <c r="C3670" s="8" t="s">
        <v>1402</v>
      </c>
      <c r="D3670" s="8" t="s">
        <v>2366</v>
      </c>
      <c r="E3670" s="8" t="s">
        <v>12</v>
      </c>
      <c r="F3670" s="8" t="s">
        <v>13</v>
      </c>
      <c r="G3670" s="8" t="s">
        <v>469</v>
      </c>
      <c r="H3670" s="16">
        <v>0.0</v>
      </c>
      <c r="I3670" s="15" t="str">
        <f>SUBSTITUTE(Sheet1!K3670, "Rp", "")</f>
        <v>0</v>
      </c>
    </row>
    <row r="3671">
      <c r="A3671" s="8" t="s">
        <v>5000</v>
      </c>
      <c r="B3671" s="13" t="str">
        <f>HYPERLINK("https://shopee.co.id/White-Esther-Temulawak-Whitening-Face-Serumoriginal-Face-Serum-Temulawak-White-Esther-20Ml-i.53887195.3935369816", "https://shopee.co.id/White-Esther-Temulawak-Whitening-Face-Serumoriginal-Face-Serum-Temulawak-White-Esther-20Ml-i.53887195.3935369816")</f>
        <v>https://shopee.co.id/White-Esther-Temulawak-Whitening-Face-Serumoriginal-Face-Serum-Temulawak-White-Esther-20Ml-i.53887195.3935369816</v>
      </c>
      <c r="C3671" s="8" t="s">
        <v>5001</v>
      </c>
      <c r="D3671" s="8" t="s">
        <v>1026</v>
      </c>
      <c r="E3671" s="8" t="s">
        <v>12</v>
      </c>
      <c r="F3671" s="8" t="s">
        <v>13</v>
      </c>
      <c r="G3671" s="8" t="s">
        <v>80</v>
      </c>
      <c r="H3671" s="16">
        <v>0.0</v>
      </c>
      <c r="I3671" s="15" t="str">
        <f>SUBSTITUTE(Sheet1!K3671, "Rp", "")</f>
        <v>0</v>
      </c>
    </row>
    <row r="3672">
      <c r="A3672" s="8" t="s">
        <v>5002</v>
      </c>
      <c r="B3672" s="13" t="str">
        <f>HYPERLINK("https://shopee.co.id/White-Secret-Intense-Brightening-Twin-Pack-i.59763733.6257961046", "https://shopee.co.id/White-Secret-Intense-Brightening-Twin-Pack-i.59763733.6257961046")</f>
        <v>https://shopee.co.id/White-Secret-Intense-Brightening-Twin-Pack-i.59763733.6257961046</v>
      </c>
      <c r="C3672" s="8" t="s">
        <v>169</v>
      </c>
      <c r="D3672" s="8" t="s">
        <v>170</v>
      </c>
      <c r="E3672" s="8" t="s">
        <v>12</v>
      </c>
      <c r="F3672" s="8" t="s">
        <v>13</v>
      </c>
      <c r="G3672" s="8" t="s">
        <v>98</v>
      </c>
      <c r="H3672" s="16">
        <v>0.0</v>
      </c>
      <c r="I3672" s="15" t="str">
        <f>SUBSTITUTE(Sheet1!K3672, "Rp", "")</f>
        <v>0</v>
      </c>
    </row>
    <row r="3673">
      <c r="A3673" s="8" t="s">
        <v>5003</v>
      </c>
      <c r="B3673" s="13" t="str">
        <f>HYPERLINK("https://shopee.co.id/White-Story-Acne-Soothing-Serum-Bundling-5--i.405973920.8463228273", "https://shopee.co.id/White-Story-Acne-Soothing-Serum-Bundling-5--i.405973920.8463228273")</f>
        <v>https://shopee.co.id/White-Story-Acne-Soothing-Serum-Bundling-5--i.405973920.8463228273</v>
      </c>
      <c r="C3673" s="8" t="s">
        <v>55</v>
      </c>
      <c r="D3673" s="8" t="s">
        <v>56</v>
      </c>
      <c r="E3673" s="8" t="s">
        <v>12</v>
      </c>
      <c r="F3673" s="8" t="s">
        <v>13</v>
      </c>
      <c r="G3673" s="8" t="s">
        <v>36</v>
      </c>
      <c r="H3673" s="16">
        <v>0.0</v>
      </c>
      <c r="I3673" s="15" t="str">
        <f>SUBSTITUTE(Sheet1!K3673, "Rp", "")</f>
        <v>0</v>
      </c>
    </row>
    <row r="3674">
      <c r="A3674" s="8" t="s">
        <v>144</v>
      </c>
      <c r="B3674" s="13" t="str">
        <f>HYPERLINK("https://shopee.co.id/Whitelab-Acne-Calming-Serum-i.110573301.9615709152", "https://shopee.co.id/Whitelab-Acne-Calming-Serum-i.110573301.9615709152")</f>
        <v>https://shopee.co.id/Whitelab-Acne-Calming-Serum-i.110573301.9615709152</v>
      </c>
      <c r="C3674" s="8" t="s">
        <v>59</v>
      </c>
      <c r="D3674" s="8" t="s">
        <v>227</v>
      </c>
      <c r="E3674" s="8" t="s">
        <v>12</v>
      </c>
      <c r="F3674" s="8" t="s">
        <v>13</v>
      </c>
      <c r="G3674" s="8" t="s">
        <v>61</v>
      </c>
      <c r="H3674" s="16">
        <v>0.0</v>
      </c>
      <c r="I3674" s="15" t="str">
        <f>SUBSTITUTE(Sheet1!K3674, "Rp", "")</f>
        <v>0</v>
      </c>
    </row>
    <row r="3675">
      <c r="A3675" s="8" t="s">
        <v>5004</v>
      </c>
      <c r="B3675" s="13" t="str">
        <f>HYPERLINK("https://shopee.co.id/WHITELAB-ACNE-SERUM-i.187117294.6570294738", "https://shopee.co.id/WHITELAB-ACNE-SERUM-i.187117294.6570294738")</f>
        <v>https://shopee.co.id/WHITELAB-ACNE-SERUM-i.187117294.6570294738</v>
      </c>
      <c r="C3675" s="8" t="s">
        <v>59</v>
      </c>
      <c r="D3675" s="8" t="s">
        <v>2366</v>
      </c>
      <c r="E3675" s="8" t="s">
        <v>12</v>
      </c>
      <c r="F3675" s="8" t="s">
        <v>13</v>
      </c>
      <c r="G3675" s="8" t="s">
        <v>469</v>
      </c>
      <c r="H3675" s="16">
        <v>0.0</v>
      </c>
      <c r="I3675" s="15" t="str">
        <f>SUBSTITUTE(Sheet1!K3675, "Rp", "")</f>
        <v>0</v>
      </c>
    </row>
    <row r="3676">
      <c r="A3676" s="8" t="s">
        <v>5005</v>
      </c>
      <c r="B3676" s="13" t="str">
        <f>HYPERLINK("https://shopee.co.id/Whitelab-Brightening-Body-Serum-Brightening-Face-Serum-i.201071840.3513228147", "https://shopee.co.id/Whitelab-Brightening-Body-Serum-Brightening-Face-Serum-i.201071840.3513228147")</f>
        <v>https://shopee.co.id/Whitelab-Brightening-Body-Serum-Brightening-Face-Serum-i.201071840.3513228147</v>
      </c>
      <c r="C3676" s="8" t="s">
        <v>59</v>
      </c>
      <c r="D3676" s="8" t="s">
        <v>60</v>
      </c>
      <c r="E3676" s="8" t="s">
        <v>12</v>
      </c>
      <c r="F3676" s="8" t="s">
        <v>13</v>
      </c>
      <c r="G3676" s="8" t="s">
        <v>61</v>
      </c>
      <c r="H3676" s="16">
        <v>0.0</v>
      </c>
      <c r="I3676" s="15" t="str">
        <f>SUBSTITUTE(Sheet1!K3676, "Rp", "")</f>
        <v>0</v>
      </c>
    </row>
    <row r="3677">
      <c r="A3677" s="8" t="s">
        <v>5006</v>
      </c>
      <c r="B3677" s="13" t="str">
        <f>HYPERLINK("https://shopee.co.id/Whitelab-Brightening-Face-Serum-Hydrating-Face-Essence-i.201071840.8470496700", "https://shopee.co.id/Whitelab-Brightening-Face-Serum-Hydrating-Face-Essence-i.201071840.8470496700")</f>
        <v>https://shopee.co.id/Whitelab-Brightening-Face-Serum-Hydrating-Face-Essence-i.201071840.8470496700</v>
      </c>
      <c r="C3677" s="8" t="s">
        <v>59</v>
      </c>
      <c r="D3677" s="8" t="s">
        <v>60</v>
      </c>
      <c r="E3677" s="8" t="s">
        <v>12</v>
      </c>
      <c r="F3677" s="8" t="s">
        <v>13</v>
      </c>
      <c r="G3677" s="8" t="s">
        <v>61</v>
      </c>
      <c r="H3677" s="16">
        <v>0.0</v>
      </c>
      <c r="I3677" s="15" t="str">
        <f>SUBSTITUTE(Sheet1!K3677, "Rp", "")</f>
        <v>0</v>
      </c>
    </row>
    <row r="3678">
      <c r="A3678" s="8" t="s">
        <v>5007</v>
      </c>
      <c r="B3678" s="13" t="str">
        <f>HYPERLINK("https://shopee.co.id/Whitelab-Brightening-Night-Cream-Brightening-Face-Serum-i.201071840.4413131860", "https://shopee.co.id/Whitelab-Brightening-Night-Cream-Brightening-Face-Serum-i.201071840.4413131860")</f>
        <v>https://shopee.co.id/Whitelab-Brightening-Night-Cream-Brightening-Face-Serum-i.201071840.4413131860</v>
      </c>
      <c r="C3678" s="8" t="s">
        <v>59</v>
      </c>
      <c r="D3678" s="8" t="s">
        <v>60</v>
      </c>
      <c r="E3678" s="8" t="s">
        <v>12</v>
      </c>
      <c r="F3678" s="8" t="s">
        <v>13</v>
      </c>
      <c r="G3678" s="8" t="s">
        <v>61</v>
      </c>
      <c r="H3678" s="16">
        <v>0.0</v>
      </c>
      <c r="I3678" s="15" t="str">
        <f>SUBSTITUTE(Sheet1!K3678, "Rp", "")</f>
        <v>0</v>
      </c>
    </row>
    <row r="3679">
      <c r="A3679" s="8" t="s">
        <v>5008</v>
      </c>
      <c r="B3679" s="13" t="str">
        <f>HYPERLINK("https://shopee.co.id/Whitelab-Granactive-Retinoid-Intensive-Care-Serum-15ml-i.825870.4983139783", "https://shopee.co.id/Whitelab-Granactive-Retinoid-Intensive-Care-Serum-15ml-i.825870.4983139783")</f>
        <v>https://shopee.co.id/Whitelab-Granactive-Retinoid-Intensive-Care-Serum-15ml-i.825870.4983139783</v>
      </c>
      <c r="C3679" s="8" t="s">
        <v>59</v>
      </c>
      <c r="D3679" s="8" t="s">
        <v>1184</v>
      </c>
      <c r="E3679" s="8" t="s">
        <v>12</v>
      </c>
      <c r="F3679" s="8" t="s">
        <v>13</v>
      </c>
      <c r="G3679" s="8" t="s">
        <v>21</v>
      </c>
      <c r="H3679" s="16">
        <v>0.0</v>
      </c>
      <c r="I3679" s="15" t="str">
        <f>SUBSTITUTE(Sheet1!K3679, "Rp", "")</f>
        <v>0</v>
      </c>
    </row>
    <row r="3680">
      <c r="A3680" s="8" t="s">
        <v>5009</v>
      </c>
      <c r="B3680" s="13" t="str">
        <f>HYPERLINK("https://shopee.co.id/Whitelab-Underarm-Cream-Brightening-Face-Serum-i.201071840.7813133288", "https://shopee.co.id/Whitelab-Underarm-Cream-Brightening-Face-Serum-i.201071840.7813133288")</f>
        <v>https://shopee.co.id/Whitelab-Underarm-Cream-Brightening-Face-Serum-i.201071840.7813133288</v>
      </c>
      <c r="C3680" s="8" t="s">
        <v>59</v>
      </c>
      <c r="D3680" s="8" t="s">
        <v>60</v>
      </c>
      <c r="E3680" s="8" t="s">
        <v>12</v>
      </c>
      <c r="F3680" s="8" t="s">
        <v>13</v>
      </c>
      <c r="G3680" s="8" t="s">
        <v>61</v>
      </c>
      <c r="H3680" s="16">
        <v>0.0</v>
      </c>
      <c r="I3680" s="15" t="str">
        <f>SUBSTITUTE(Sheet1!K3680, "Rp", "")</f>
        <v>0</v>
      </c>
    </row>
    <row r="3681">
      <c r="A3681" s="8" t="s">
        <v>5010</v>
      </c>
      <c r="B3681" s="13" t="str">
        <f>HYPERLINK("https://shopee.co.id/Whitening-Gold-Serum-By-Ms-Glow-Beauty-100-Original-Mencerahkan-Kulit-Mengatasi-Flek-Hitam-Ampuh-i.270327756.11644116954", "https://shopee.co.id/Whitening-Gold-Serum-By-Ms-Glow-Beauty-100-Original-Mencerahkan-Kulit-Mengatasi-Flek-Hitam-Ampuh-i.270327756.11644116954")</f>
        <v>https://shopee.co.id/Whitening-Gold-Serum-By-Ms-Glow-Beauty-100-Original-Mencerahkan-Kulit-Mengatasi-Flek-Hitam-Ampuh-i.270327756.11644116954</v>
      </c>
      <c r="C3681" s="8" t="s">
        <v>96</v>
      </c>
      <c r="D3681" s="8" t="s">
        <v>3813</v>
      </c>
      <c r="E3681" s="8" t="s">
        <v>12</v>
      </c>
      <c r="F3681" s="8" t="s">
        <v>13</v>
      </c>
      <c r="G3681" s="8" t="s">
        <v>350</v>
      </c>
      <c r="H3681" s="16">
        <v>0.0</v>
      </c>
      <c r="I3681" s="15" t="str">
        <f>SUBSTITUTE(Sheet1!K3681, "Rp", "")</f>
        <v>0</v>
      </c>
    </row>
    <row r="3682">
      <c r="A3682" s="8" t="s">
        <v>5011</v>
      </c>
      <c r="B3682" s="13" t="str">
        <f>HYPERLINK("https://shopee.co.id/Whitening-Serum-Glowing-Mellydia-BPOM-Resmi-Bersertifikasi-Halal-Original-i.66671865.1306699999", "https://shopee.co.id/Whitening-Serum-Glowing-Mellydia-BPOM-Resmi-Bersertifikasi-Halal-Original-i.66671865.1306699999")</f>
        <v>https://shopee.co.id/Whitening-Serum-Glowing-Mellydia-BPOM-Resmi-Bersertifikasi-Halal-Original-i.66671865.1306699999</v>
      </c>
      <c r="C3682" s="8" t="s">
        <v>2723</v>
      </c>
      <c r="D3682" s="8" t="s">
        <v>2724</v>
      </c>
      <c r="E3682" s="8" t="s">
        <v>12</v>
      </c>
      <c r="F3682" s="8" t="s">
        <v>13</v>
      </c>
      <c r="G3682" s="8" t="s">
        <v>115</v>
      </c>
      <c r="H3682" s="16">
        <v>0.0</v>
      </c>
      <c r="I3682" s="15" t="str">
        <f>SUBSTITUTE(Sheet1!K3682, "Rp", "")</f>
        <v>0</v>
      </c>
    </row>
    <row r="3683">
      <c r="A3683" s="8" t="s">
        <v>5012</v>
      </c>
      <c r="B3683" s="13" t="str">
        <f>HYPERLINK("https://shopee.co.id/Whitesther-Special-Whitening-Serum-20-Ml-White-Esther-Ester-i.53887195.6439517117", "https://shopee.co.id/Whitesther-Special-Whitening-Serum-20-Ml-White-Esther-Ester-i.53887195.6439517117")</f>
        <v>https://shopee.co.id/Whitesther-Special-Whitening-Serum-20-Ml-White-Esther-Ester-i.53887195.6439517117</v>
      </c>
      <c r="C3683" s="8" t="s">
        <v>5001</v>
      </c>
      <c r="D3683" s="8" t="s">
        <v>1026</v>
      </c>
      <c r="E3683" s="8" t="s">
        <v>12</v>
      </c>
      <c r="F3683" s="8" t="s">
        <v>13</v>
      </c>
      <c r="G3683" s="8" t="s">
        <v>80</v>
      </c>
      <c r="H3683" s="16">
        <v>0.0</v>
      </c>
      <c r="I3683" s="15" t="str">
        <f>SUBSTITUTE(Sheet1!K3683, "Rp", "")</f>
        <v>0</v>
      </c>
    </row>
    <row r="3684">
      <c r="A3684" s="8" t="s">
        <v>5013</v>
      </c>
      <c r="B3684" s="13" t="str">
        <f>HYPERLINK("https://shopee.co.id/YOU-Golden-Age-Refining-Skin-Renewal-Activator-Serum-20ml-i.53887195.8809456867", "https://shopee.co.id/YOU-Golden-Age-Refining-Skin-Renewal-Activator-Serum-20ml-i.53887195.8809456867")</f>
        <v>https://shopee.co.id/YOU-Golden-Age-Refining-Skin-Renewal-Activator-Serum-20ml-i.53887195.8809456867</v>
      </c>
      <c r="C3684" s="8" t="s">
        <v>128</v>
      </c>
      <c r="D3684" s="8" t="s">
        <v>1026</v>
      </c>
      <c r="E3684" s="8" t="s">
        <v>12</v>
      </c>
      <c r="F3684" s="8" t="s">
        <v>13</v>
      </c>
      <c r="G3684" s="8" t="s">
        <v>80</v>
      </c>
      <c r="H3684" s="16">
        <v>0.0</v>
      </c>
      <c r="I3684" s="15" t="str">
        <f>SUBSTITUTE(Sheet1!K3684, "Rp", "")</f>
        <v>0</v>
      </c>
    </row>
    <row r="3685">
      <c r="A3685" s="8" t="s">
        <v>5014</v>
      </c>
      <c r="B3685" s="13" t="str">
        <f>HYPERLINK("https://shopee.co.id/YOU-The-Radiance-White-Nourishing-Serum-20ml-GLAMFIX-by-Y-O-U-Beauty-i.339731539.11420494154", "https://shopee.co.id/YOU-The-Radiance-White-Nourishing-Serum-20ml-GLAMFIX-by-Y-O-U-Beauty-i.339731539.11420494154")</f>
        <v>https://shopee.co.id/YOU-The-Radiance-White-Nourishing-Serum-20ml-GLAMFIX-by-Y-O-U-Beauty-i.339731539.11420494154</v>
      </c>
      <c r="C3685" s="8" t="s">
        <v>128</v>
      </c>
      <c r="D3685" s="8" t="s">
        <v>5015</v>
      </c>
      <c r="E3685" s="8" t="s">
        <v>12</v>
      </c>
      <c r="F3685" s="8" t="s">
        <v>13</v>
      </c>
      <c r="G3685" s="8" t="s">
        <v>241</v>
      </c>
      <c r="H3685" s="16">
        <v>0.0</v>
      </c>
      <c r="I3685" s="15" t="str">
        <f>SUBSTITUTE(Sheet1!K3685, "Rp", "")</f>
        <v>0</v>
      </c>
    </row>
    <row r="3686">
      <c r="A3686" s="8" t="s">
        <v>5016</v>
      </c>
      <c r="B3686" s="13" t="str">
        <f>HYPERLINK("https://shopee.co.id/Youthderma-Intense-Brightening-Serum-i.444798403.8659310408", "https://shopee.co.id/Youthderma-Intense-Brightening-Serum-i.444798403.8659310408")</f>
        <v>https://shopee.co.id/Youthderma-Intense-Brightening-Serum-i.444798403.8659310408</v>
      </c>
      <c r="C3686" s="8" t="s">
        <v>5017</v>
      </c>
      <c r="D3686" s="8" t="s">
        <v>5018</v>
      </c>
      <c r="E3686" s="8" t="s">
        <v>12</v>
      </c>
      <c r="F3686" s="8" t="s">
        <v>13</v>
      </c>
      <c r="G3686" s="8" t="s">
        <v>80</v>
      </c>
      <c r="H3686" s="16">
        <v>0.0</v>
      </c>
      <c r="I3686" s="15" t="str">
        <f>SUBSTITUTE(Sheet1!K3686, "Rp", "")</f>
        <v>0</v>
      </c>
    </row>
    <row r="3687">
      <c r="A3687" s="8" t="s">
        <v>5019</v>
      </c>
      <c r="B3687" s="13" t="str">
        <f>HYPERLINK("https://shopee.co.id/YUJA-BRIGHTENING-NIGHT-SERUM-100-NIACINAMIDE-i.231467354.5789394716", "https://shopee.co.id/YUJA-BRIGHTENING-NIGHT-SERUM-100-NIACINAMIDE-i.231467354.5789394716")</f>
        <v>https://shopee.co.id/YUJA-BRIGHTENING-NIGHT-SERUM-100-NIACINAMIDE-i.231467354.5789394716</v>
      </c>
      <c r="C3687" s="8" t="s">
        <v>2878</v>
      </c>
      <c r="D3687" s="8" t="s">
        <v>2879</v>
      </c>
      <c r="E3687" s="8" t="s">
        <v>12</v>
      </c>
      <c r="F3687" s="8" t="s">
        <v>13</v>
      </c>
      <c r="G3687" s="8" t="s">
        <v>532</v>
      </c>
      <c r="H3687" s="16">
        <v>0.0</v>
      </c>
      <c r="I3687" s="15" t="str">
        <f>SUBSTITUTE(Sheet1!K3687, "Rp", "")</f>
        <v>0</v>
      </c>
    </row>
    <row r="3688">
      <c r="A3688" s="8" t="s">
        <v>5020</v>
      </c>
      <c r="B3688" s="13" t="str">
        <f>HYPERLINK("https://shopee.co.id/Yves-Rocher-Lifting-Night-Care-50-ml-i.70687187.6096461899", "https://shopee.co.id/Yves-Rocher-Lifting-Night-Care-50-ml-i.70687187.6096461899")</f>
        <v>https://shopee.co.id/Yves-Rocher-Lifting-Night-Care-50-ml-i.70687187.6096461899</v>
      </c>
      <c r="C3688" s="8" t="s">
        <v>1672</v>
      </c>
      <c r="D3688" s="8" t="s">
        <v>1673</v>
      </c>
      <c r="E3688" s="8" t="s">
        <v>12</v>
      </c>
      <c r="F3688" s="8" t="s">
        <v>13</v>
      </c>
      <c r="G3688" s="8" t="s">
        <v>61</v>
      </c>
      <c r="H3688" s="16">
        <v>0.0</v>
      </c>
      <c r="I3688" s="15" t="str">
        <f>SUBSTITUTE(Sheet1!K3688, "Rp", "")</f>
        <v>0</v>
      </c>
    </row>
    <row r="3689">
      <c r="A3689" s="8" t="s">
        <v>5021</v>
      </c>
      <c r="B3689" s="13" t="str">
        <f>HYPERLINK("https://shopee.co.id/Yves-Rocher-Repair-Anti-Breakage-Serum-100-ml-i.70687187.7318425727", "https://shopee.co.id/Yves-Rocher-Repair-Anti-Breakage-Serum-100-ml-i.70687187.7318425727")</f>
        <v>https://shopee.co.id/Yves-Rocher-Repair-Anti-Breakage-Serum-100-ml-i.70687187.7318425727</v>
      </c>
      <c r="C3689" s="8" t="s">
        <v>1672</v>
      </c>
      <c r="D3689" s="8" t="s">
        <v>1673</v>
      </c>
      <c r="E3689" s="8" t="s">
        <v>12</v>
      </c>
      <c r="F3689" s="8" t="s">
        <v>13</v>
      </c>
      <c r="G3689" s="8" t="s">
        <v>61</v>
      </c>
      <c r="H3689" s="16">
        <v>0.0</v>
      </c>
      <c r="I3689" s="15" t="str">
        <f>SUBSTITUTE(Sheet1!K3689, "Rp", "")</f>
        <v>0</v>
      </c>
    </row>
    <row r="3690">
      <c r="A3690" s="8" t="s">
        <v>5022</v>
      </c>
      <c r="B3690" s="13" t="str">
        <f>HYPERLINK("https://shopee.co.id/Yves-Rocher-White-Botanical-Youth-Essence-30-ml-i.70687187.1800384046", "https://shopee.co.id/Yves-Rocher-White-Botanical-Youth-Essence-30-ml-i.70687187.1800384046")</f>
        <v>https://shopee.co.id/Yves-Rocher-White-Botanical-Youth-Essence-30-ml-i.70687187.1800384046</v>
      </c>
      <c r="C3690" s="8" t="s">
        <v>1672</v>
      </c>
      <c r="D3690" s="8" t="s">
        <v>1673</v>
      </c>
      <c r="E3690" s="8" t="s">
        <v>12</v>
      </c>
      <c r="F3690" s="8" t="s">
        <v>13</v>
      </c>
      <c r="G3690" s="8" t="s">
        <v>61</v>
      </c>
      <c r="H3690" s="16">
        <v>0.0</v>
      </c>
      <c r="I3690" s="15" t="str">
        <f>SUBSTITUTE(Sheet1!K3690, "Rp", "")</f>
        <v>0</v>
      </c>
    </row>
    <row r="3691">
      <c r="A3691" s="8" t="s">
        <v>5023</v>
      </c>
      <c r="B3691" s="13" t="str">
        <f>HYPERLINK("https://shopee.co.id/Zalfa-Natural-Crystal-Youth-Antiaging-Ampoule-30-ml-i.182704428.4904332093", "https://shopee.co.id/Zalfa-Natural-Crystal-Youth-Antiaging-Ampoule-30-ml-i.182704428.4904332093")</f>
        <v>https://shopee.co.id/Zalfa-Natural-Crystal-Youth-Antiaging-Ampoule-30-ml-i.182704428.4904332093</v>
      </c>
      <c r="C3691" s="8" t="s">
        <v>3071</v>
      </c>
      <c r="D3691" s="8" t="s">
        <v>3072</v>
      </c>
      <c r="E3691" s="8" t="s">
        <v>12</v>
      </c>
      <c r="F3691" s="8" t="s">
        <v>13</v>
      </c>
      <c r="G3691" s="8" t="s">
        <v>1085</v>
      </c>
      <c r="H3691" s="16">
        <v>0.0</v>
      </c>
      <c r="I3691" s="15" t="str">
        <f>SUBSTITUTE(Sheet1!K3691, "Rp", "")</f>
        <v>0</v>
      </c>
    </row>
    <row r="3692">
      <c r="A3692" s="8" t="s">
        <v>5024</v>
      </c>
      <c r="B3692" s="13" t="str">
        <f>HYPERLINK("https://shopee.co.id/Zalfa-Natural-Dewy-Glow-Essence-Treatment-Collagen-Infusion-60-ml-i.182704428.7380425782", "https://shopee.co.id/Zalfa-Natural-Dewy-Glow-Essence-Treatment-Collagen-Infusion-60-ml-i.182704428.7380425782")</f>
        <v>https://shopee.co.id/Zalfa-Natural-Dewy-Glow-Essence-Treatment-Collagen-Infusion-60-ml-i.182704428.7380425782</v>
      </c>
      <c r="C3692" s="8" t="s">
        <v>5025</v>
      </c>
      <c r="D3692" s="8" t="s">
        <v>3072</v>
      </c>
      <c r="E3692" s="8" t="s">
        <v>12</v>
      </c>
      <c r="F3692" s="8" t="s">
        <v>13</v>
      </c>
      <c r="G3692" s="8" t="s">
        <v>1085</v>
      </c>
      <c r="H3692" s="16">
        <v>0.0</v>
      </c>
      <c r="I3692" s="15" t="str">
        <f>SUBSTITUTE(Sheet1!K3692, "Rp", "")</f>
        <v>0</v>
      </c>
    </row>
    <row r="3693">
      <c r="A3693" s="8" t="s">
        <v>5026</v>
      </c>
      <c r="B3693" s="13" t="str">
        <f>HYPERLINK("https://shopee.co.id/Zalfa-Natural-Lightening-Concentrate-Intensive-Serum-30-ml-i.182704428.3705693412", "https://shopee.co.id/Zalfa-Natural-Lightening-Concentrate-Intensive-Serum-30-ml-i.182704428.3705693412")</f>
        <v>https://shopee.co.id/Zalfa-Natural-Lightening-Concentrate-Intensive-Serum-30-ml-i.182704428.3705693412</v>
      </c>
      <c r="C3693" s="8" t="s">
        <v>3071</v>
      </c>
      <c r="D3693" s="8" t="s">
        <v>3072</v>
      </c>
      <c r="E3693" s="8" t="s">
        <v>12</v>
      </c>
      <c r="F3693" s="8" t="s">
        <v>13</v>
      </c>
      <c r="G3693" s="8" t="s">
        <v>1085</v>
      </c>
      <c r="H3693" s="16">
        <v>0.0</v>
      </c>
      <c r="I3693" s="15" t="str">
        <f>SUBSTITUTE(Sheet1!K3693, "Rp", "")</f>
        <v>0</v>
      </c>
    </row>
  </sheetData>
  <autoFilter ref="$A$1:$I$3693"/>
  <drawing r:id="rId1"/>
</worksheet>
</file>